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Yogga\Lab\Python\ColabScriptShit\"/>
    </mc:Choice>
  </mc:AlternateContent>
  <xr:revisionPtr revIDLastSave="0" documentId="13_ncr:1_{D6EAC085-140A-4496-9F56-5755B0329934}" xr6:coauthVersionLast="47" xr6:coauthVersionMax="47" xr10:uidLastSave="{00000000-0000-0000-0000-000000000000}"/>
  <bookViews>
    <workbookView xWindow="28680" yWindow="-120" windowWidth="29040" windowHeight="16440" xr2:uid="{E07CC940-79BF-4D4B-B6D8-6896A9ED0644}"/>
  </bookViews>
  <sheets>
    <sheet name="2014" sheetId="1" r:id="rId1"/>
    <sheet name="2014_kab" sheetId="11" r:id="rId2"/>
    <sheet name="2015" sheetId="2" r:id="rId3"/>
    <sheet name="2015_kab" sheetId="13" r:id="rId4"/>
    <sheet name="2016" sheetId="3" r:id="rId5"/>
    <sheet name="2016_kab" sheetId="14" r:id="rId6"/>
    <sheet name="2017" sheetId="4" r:id="rId7"/>
    <sheet name="2017_kab" sheetId="15" r:id="rId8"/>
    <sheet name="2018" sheetId="5" r:id="rId9"/>
    <sheet name="2018_kab" sheetId="16" r:id="rId10"/>
    <sheet name="2019" sheetId="6" r:id="rId11"/>
    <sheet name="2019_kab" sheetId="17" r:id="rId12"/>
    <sheet name="2020" sheetId="7" r:id="rId13"/>
    <sheet name="2020_kab" sheetId="18" r:id="rId14"/>
    <sheet name="2021" sheetId="8" r:id="rId15"/>
    <sheet name="2021_kab" sheetId="19" r:id="rId16"/>
    <sheet name="Perhitungan Manual" sheetId="9" r:id="rId17"/>
    <sheet name="all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07" i="14" l="1"/>
  <c r="F407" i="14"/>
  <c r="E407" i="14"/>
  <c r="D407" i="14"/>
  <c r="C407" i="14"/>
  <c r="K389" i="14"/>
  <c r="F389" i="14"/>
  <c r="E389" i="14"/>
  <c r="D389" i="14"/>
  <c r="C389" i="14"/>
  <c r="L386" i="14"/>
  <c r="K386" i="14"/>
  <c r="F386" i="14"/>
  <c r="E386" i="14"/>
  <c r="D386" i="14"/>
  <c r="C386" i="14"/>
  <c r="L347" i="14"/>
  <c r="K347" i="14"/>
  <c r="F347" i="14"/>
  <c r="E347" i="14"/>
  <c r="D347" i="14"/>
  <c r="C347" i="14"/>
  <c r="L345" i="14"/>
  <c r="K345" i="14"/>
  <c r="F345" i="14"/>
  <c r="E345" i="14"/>
  <c r="D345" i="14"/>
  <c r="C345" i="14"/>
  <c r="K344" i="14"/>
  <c r="J344" i="14"/>
  <c r="F344" i="14"/>
  <c r="E344" i="14"/>
  <c r="D344" i="14"/>
  <c r="C344" i="14"/>
  <c r="L342" i="14"/>
  <c r="K342" i="14"/>
  <c r="J342" i="14"/>
  <c r="F342" i="14"/>
  <c r="E342" i="14"/>
  <c r="D342" i="14"/>
  <c r="C342" i="14"/>
  <c r="K332" i="14"/>
  <c r="F332" i="14"/>
  <c r="E332" i="14"/>
  <c r="D332" i="14"/>
  <c r="C332" i="14"/>
  <c r="K328" i="14"/>
  <c r="F328" i="14"/>
  <c r="E328" i="14"/>
  <c r="D328" i="14"/>
  <c r="C328" i="14"/>
  <c r="L314" i="14"/>
  <c r="F314" i="14"/>
  <c r="C314" i="14"/>
  <c r="L312" i="14"/>
  <c r="J312" i="14"/>
  <c r="F312" i="14"/>
  <c r="C312" i="14"/>
  <c r="L243" i="14"/>
  <c r="K243" i="14"/>
  <c r="J243" i="14"/>
  <c r="F243" i="14"/>
  <c r="E243" i="14"/>
  <c r="D243" i="14"/>
  <c r="C243" i="14"/>
  <c r="L242" i="14"/>
  <c r="K242" i="14"/>
  <c r="J242" i="14"/>
  <c r="F242" i="14"/>
  <c r="E242" i="14"/>
  <c r="D242" i="14"/>
  <c r="C242" i="14"/>
  <c r="L240" i="14"/>
  <c r="K240" i="14"/>
  <c r="J240" i="14"/>
  <c r="F240" i="14"/>
  <c r="E240" i="14"/>
  <c r="D240" i="14"/>
  <c r="C240" i="14"/>
  <c r="K221" i="14"/>
  <c r="F221" i="14"/>
  <c r="E221" i="14"/>
  <c r="D221" i="14"/>
  <c r="C221" i="14"/>
  <c r="K212" i="14"/>
  <c r="F212" i="14"/>
  <c r="E212" i="14"/>
  <c r="D212" i="14"/>
  <c r="C212" i="14"/>
  <c r="L207" i="14"/>
  <c r="K207" i="14"/>
  <c r="J207" i="14"/>
  <c r="F207" i="14"/>
  <c r="E207" i="14"/>
  <c r="D207" i="14"/>
  <c r="C207" i="14"/>
  <c r="L205" i="14"/>
  <c r="K205" i="14"/>
  <c r="J205" i="14"/>
  <c r="F205" i="14"/>
  <c r="E205" i="14"/>
  <c r="D205" i="14"/>
  <c r="C205" i="14"/>
  <c r="L204" i="14"/>
  <c r="K204" i="14"/>
  <c r="J204" i="14"/>
  <c r="F204" i="14"/>
  <c r="E204" i="14"/>
  <c r="D204" i="14"/>
  <c r="C204" i="14"/>
  <c r="L202" i="14"/>
  <c r="K202" i="14"/>
  <c r="J202" i="14"/>
  <c r="F202" i="14"/>
  <c r="E202" i="14"/>
  <c r="D202" i="14"/>
  <c r="C202" i="14"/>
  <c r="L199" i="14"/>
  <c r="K199" i="14"/>
  <c r="J199" i="14"/>
  <c r="F199" i="14"/>
  <c r="E199" i="14"/>
  <c r="D199" i="14"/>
  <c r="C199" i="14"/>
  <c r="K179" i="14"/>
  <c r="F179" i="14"/>
  <c r="C179" i="14"/>
  <c r="K176" i="14"/>
  <c r="F176" i="14"/>
  <c r="C176" i="14"/>
  <c r="K175" i="14"/>
  <c r="F175" i="14"/>
  <c r="E175" i="14"/>
  <c r="D175" i="14"/>
  <c r="C175" i="14"/>
  <c r="L174" i="14"/>
  <c r="F174" i="14"/>
  <c r="C174" i="14"/>
  <c r="K172" i="14"/>
  <c r="F172" i="14"/>
  <c r="E172" i="14"/>
  <c r="D172" i="14"/>
  <c r="C172" i="14"/>
  <c r="K166" i="14"/>
  <c r="F166" i="14"/>
  <c r="E166" i="14"/>
  <c r="D166" i="14"/>
  <c r="C166" i="14"/>
  <c r="L150" i="14"/>
  <c r="K150" i="14"/>
  <c r="J150" i="14"/>
  <c r="F150" i="14"/>
  <c r="E150" i="14"/>
  <c r="D150" i="14"/>
  <c r="C150" i="14"/>
  <c r="K147" i="14"/>
  <c r="F147" i="14"/>
  <c r="E147" i="14"/>
  <c r="D147" i="14"/>
  <c r="C147" i="14"/>
  <c r="L145" i="14"/>
  <c r="K145" i="14"/>
  <c r="F145" i="14"/>
  <c r="E145" i="14"/>
  <c r="D145" i="14"/>
  <c r="C145" i="14"/>
  <c r="L143" i="14"/>
  <c r="K143" i="14"/>
  <c r="J143" i="14"/>
  <c r="F143" i="14"/>
  <c r="E143" i="14"/>
  <c r="D143" i="14"/>
  <c r="C143" i="14"/>
  <c r="K128" i="14"/>
  <c r="F128" i="14"/>
  <c r="E128" i="14"/>
  <c r="D128" i="14"/>
  <c r="C128" i="14"/>
  <c r="K127" i="14"/>
  <c r="F127" i="14"/>
  <c r="E127" i="14"/>
  <c r="D127" i="14"/>
  <c r="C127" i="14"/>
  <c r="K70" i="14"/>
  <c r="F70" i="14"/>
  <c r="E70" i="14"/>
  <c r="D70" i="14"/>
  <c r="C70" i="14"/>
  <c r="K54" i="14"/>
  <c r="F54" i="14"/>
  <c r="E54" i="14"/>
  <c r="D54" i="14"/>
  <c r="C54" i="14"/>
  <c r="K38" i="14"/>
  <c r="F38" i="14"/>
  <c r="E38" i="14"/>
  <c r="D38" i="14"/>
  <c r="C38" i="14"/>
  <c r="K29" i="14"/>
  <c r="F29" i="14"/>
  <c r="E29" i="14"/>
  <c r="D29" i="14"/>
  <c r="C29" i="14"/>
  <c r="K28" i="14"/>
  <c r="F28" i="14"/>
  <c r="E28" i="14"/>
  <c r="D28" i="14"/>
  <c r="C28" i="14"/>
  <c r="K27" i="14"/>
  <c r="J27" i="14"/>
  <c r="F27" i="14"/>
  <c r="E27" i="14"/>
  <c r="D27" i="14"/>
  <c r="C27" i="14"/>
  <c r="K26" i="14"/>
  <c r="F26" i="14"/>
  <c r="E26" i="14"/>
  <c r="D26" i="14"/>
  <c r="C26" i="14"/>
  <c r="K5" i="14"/>
  <c r="F5" i="14"/>
  <c r="E5" i="14"/>
  <c r="D5" i="14"/>
  <c r="C5" i="14"/>
  <c r="F27" i="15" l="1"/>
  <c r="D27" i="15"/>
  <c r="E27" i="15"/>
  <c r="C27" i="15"/>
  <c r="K27" i="15"/>
  <c r="J27" i="15"/>
  <c r="F410" i="15"/>
  <c r="D410" i="15"/>
  <c r="E410" i="15"/>
  <c r="C410" i="15"/>
  <c r="K410" i="15"/>
  <c r="F391" i="15"/>
  <c r="D391" i="15"/>
  <c r="E391" i="15"/>
  <c r="C391" i="15"/>
  <c r="K391" i="15"/>
  <c r="F388" i="15"/>
  <c r="D388" i="15"/>
  <c r="E388" i="15"/>
  <c r="C388" i="15"/>
  <c r="L388" i="15"/>
  <c r="K388" i="15"/>
  <c r="F347" i="15"/>
  <c r="D347" i="15"/>
  <c r="E347" i="15"/>
  <c r="C347" i="15"/>
  <c r="L347" i="15"/>
  <c r="K347" i="15"/>
  <c r="F345" i="15"/>
  <c r="D345" i="15"/>
  <c r="E345" i="15"/>
  <c r="C345" i="15"/>
  <c r="L345" i="15"/>
  <c r="K345" i="15"/>
  <c r="F344" i="15"/>
  <c r="D344" i="15"/>
  <c r="E344" i="15"/>
  <c r="C344" i="15"/>
  <c r="K344" i="15"/>
  <c r="J344" i="15"/>
  <c r="F341" i="15"/>
  <c r="D341" i="15"/>
  <c r="E341" i="15"/>
  <c r="C341" i="15"/>
  <c r="L341" i="15"/>
  <c r="K341" i="15"/>
  <c r="J341" i="15"/>
  <c r="F333" i="15"/>
  <c r="D333" i="15"/>
  <c r="E333" i="15"/>
  <c r="C333" i="15"/>
  <c r="K333" i="15"/>
  <c r="F329" i="15"/>
  <c r="D329" i="15"/>
  <c r="E329" i="15"/>
  <c r="C329" i="15"/>
  <c r="K329" i="15"/>
  <c r="F313" i="15"/>
  <c r="E313" i="15"/>
  <c r="C313" i="15"/>
  <c r="L313" i="15"/>
  <c r="J313" i="15"/>
  <c r="D244" i="15"/>
  <c r="E244" i="15"/>
  <c r="C244" i="15"/>
  <c r="L244" i="15"/>
  <c r="K244" i="15"/>
  <c r="J244" i="15"/>
  <c r="D241" i="15"/>
  <c r="E241" i="15"/>
  <c r="C241" i="15"/>
  <c r="L241" i="15"/>
  <c r="K241" i="15"/>
  <c r="J241" i="15"/>
  <c r="L255" i="15"/>
  <c r="F243" i="15"/>
  <c r="D243" i="15"/>
  <c r="E243" i="15"/>
  <c r="C243" i="15"/>
  <c r="L243" i="15"/>
  <c r="K243" i="15"/>
  <c r="J243" i="15"/>
  <c r="L254" i="15"/>
  <c r="F201" i="15"/>
  <c r="D201" i="15"/>
  <c r="E201" i="15"/>
  <c r="C201" i="15"/>
  <c r="L201" i="15"/>
  <c r="K201" i="15"/>
  <c r="J201" i="15"/>
  <c r="F200" i="15"/>
  <c r="D200" i="15"/>
  <c r="E200" i="15"/>
  <c r="C200" i="15"/>
  <c r="L200" i="15"/>
  <c r="K200" i="15"/>
  <c r="J200" i="15"/>
  <c r="F202" i="15"/>
  <c r="D202" i="15"/>
  <c r="E202" i="15"/>
  <c r="C202" i="15"/>
  <c r="L202" i="15"/>
  <c r="K202" i="15"/>
  <c r="J202" i="15"/>
  <c r="F204" i="15"/>
  <c r="D204" i="15"/>
  <c r="E204" i="15"/>
  <c r="C204" i="15"/>
  <c r="L204" i="15"/>
  <c r="K204" i="15"/>
  <c r="F174" i="15"/>
  <c r="D174" i="15"/>
  <c r="E174" i="15"/>
  <c r="C174" i="15"/>
  <c r="L174" i="15"/>
  <c r="K174" i="15"/>
  <c r="F177" i="15"/>
  <c r="D177" i="15"/>
  <c r="E177" i="15"/>
  <c r="C177" i="15"/>
  <c r="K177" i="15"/>
  <c r="F180" i="15"/>
  <c r="D180" i="15"/>
  <c r="E180" i="15"/>
  <c r="C180" i="15"/>
  <c r="K180" i="15"/>
  <c r="J180" i="15"/>
  <c r="F176" i="15"/>
  <c r="D176" i="15"/>
  <c r="E176" i="15"/>
  <c r="C176" i="15"/>
  <c r="K176" i="15"/>
  <c r="F167" i="15"/>
  <c r="D167" i="15"/>
  <c r="E167" i="15"/>
  <c r="C167" i="15"/>
  <c r="K167" i="15"/>
  <c r="F147" i="15"/>
  <c r="D147" i="15"/>
  <c r="E147" i="15"/>
  <c r="C147" i="15"/>
  <c r="K147" i="15"/>
  <c r="J147" i="15"/>
  <c r="F144" i="15"/>
  <c r="D144" i="15"/>
  <c r="E144" i="15"/>
  <c r="C144" i="15"/>
  <c r="L144" i="15"/>
  <c r="K144" i="15"/>
  <c r="F142" i="15"/>
  <c r="D142" i="15"/>
  <c r="E142" i="15"/>
  <c r="C142" i="15"/>
  <c r="L142" i="15"/>
  <c r="K142" i="15"/>
  <c r="F129" i="15"/>
  <c r="D129" i="15"/>
  <c r="E129" i="15"/>
  <c r="C129" i="15"/>
  <c r="K129" i="15"/>
  <c r="F128" i="15"/>
  <c r="D128" i="15"/>
  <c r="E128" i="15"/>
  <c r="C128" i="15"/>
  <c r="K128" i="15"/>
  <c r="F71" i="15"/>
  <c r="D71" i="15"/>
  <c r="E71" i="15"/>
  <c r="C71" i="15"/>
  <c r="K71" i="15"/>
  <c r="F55" i="15"/>
  <c r="D55" i="15"/>
  <c r="E55" i="15"/>
  <c r="C55" i="15"/>
  <c r="J55" i="15"/>
  <c r="F30" i="15"/>
  <c r="D30" i="15"/>
  <c r="E30" i="15"/>
  <c r="C30" i="15"/>
  <c r="K30" i="15"/>
  <c r="F28" i="15"/>
  <c r="D28" i="15"/>
  <c r="E28" i="15"/>
  <c r="C28" i="15"/>
  <c r="K28" i="15"/>
  <c r="F316" i="15"/>
  <c r="C316" i="15"/>
  <c r="L316" i="15"/>
  <c r="F221" i="15"/>
  <c r="D221" i="15"/>
  <c r="E221" i="15"/>
  <c r="C221" i="15"/>
  <c r="K221" i="15"/>
  <c r="F203" i="15"/>
  <c r="D203" i="15"/>
  <c r="E203" i="15"/>
  <c r="C203" i="15"/>
  <c r="L203" i="15"/>
  <c r="K203" i="15"/>
  <c r="J203" i="15"/>
  <c r="F175" i="15"/>
  <c r="C175" i="15"/>
  <c r="L175" i="15"/>
  <c r="F38" i="15"/>
  <c r="D38" i="15"/>
  <c r="E38" i="15"/>
  <c r="C38" i="15"/>
  <c r="K38" i="15"/>
  <c r="F24" i="15"/>
  <c r="D24" i="15"/>
  <c r="E24" i="15"/>
  <c r="C24" i="15"/>
  <c r="K24" i="15"/>
  <c r="K402" i="13" l="1"/>
  <c r="F402" i="13"/>
  <c r="E402" i="13"/>
  <c r="D402" i="13"/>
  <c r="C402" i="13"/>
  <c r="K385" i="13"/>
  <c r="F385" i="13"/>
  <c r="E385" i="13"/>
  <c r="D385" i="13"/>
  <c r="C385" i="13"/>
  <c r="L382" i="13"/>
  <c r="K382" i="13"/>
  <c r="F382" i="13"/>
  <c r="E382" i="13"/>
  <c r="D382" i="13"/>
  <c r="C382" i="13"/>
  <c r="L343" i="13"/>
  <c r="K343" i="13"/>
  <c r="F343" i="13"/>
  <c r="E343" i="13"/>
  <c r="D343" i="13"/>
  <c r="C343" i="13"/>
  <c r="L345" i="13"/>
  <c r="K345" i="13"/>
  <c r="F345" i="13"/>
  <c r="E345" i="13"/>
  <c r="D345" i="13"/>
  <c r="C345" i="13"/>
  <c r="K342" i="13"/>
  <c r="J342" i="13"/>
  <c r="F342" i="13"/>
  <c r="E342" i="13"/>
  <c r="D342" i="13"/>
  <c r="C342" i="13"/>
  <c r="L339" i="13"/>
  <c r="K339" i="13"/>
  <c r="J339" i="13"/>
  <c r="F339" i="13"/>
  <c r="E339" i="13"/>
  <c r="D339" i="13"/>
  <c r="C339" i="13"/>
  <c r="K327" i="13"/>
  <c r="F327" i="13"/>
  <c r="E327" i="13"/>
  <c r="D327" i="13"/>
  <c r="C327" i="13"/>
  <c r="K331" i="13"/>
  <c r="F331" i="13"/>
  <c r="E331" i="13"/>
  <c r="D331" i="13"/>
  <c r="C331" i="13"/>
  <c r="K312" i="13"/>
  <c r="F312" i="13"/>
  <c r="E312" i="13"/>
  <c r="D312" i="13"/>
  <c r="C312" i="13"/>
  <c r="L311" i="13"/>
  <c r="K311" i="13"/>
  <c r="F311" i="13"/>
  <c r="E311" i="13"/>
  <c r="D311" i="13"/>
  <c r="C311" i="13"/>
  <c r="J255" i="13"/>
  <c r="F255" i="13"/>
  <c r="C255" i="13"/>
  <c r="K250" i="13"/>
  <c r="F250" i="13"/>
  <c r="E250" i="13"/>
  <c r="D250" i="13"/>
  <c r="C250" i="13"/>
  <c r="J241" i="13"/>
  <c r="F241" i="13"/>
  <c r="E241" i="13"/>
  <c r="D241" i="13"/>
  <c r="C241" i="13"/>
  <c r="K219" i="13"/>
  <c r="F219" i="13"/>
  <c r="E219" i="13"/>
  <c r="D219" i="13"/>
  <c r="C219" i="13"/>
  <c r="L198" i="13"/>
  <c r="K198" i="13"/>
  <c r="J198" i="13"/>
  <c r="F198" i="13"/>
  <c r="E198" i="13"/>
  <c r="D198" i="13"/>
  <c r="C198" i="13"/>
  <c r="L207" i="13"/>
  <c r="K207" i="13"/>
  <c r="J207" i="13"/>
  <c r="F207" i="13"/>
  <c r="E207" i="13"/>
  <c r="D207" i="13"/>
  <c r="C207" i="13"/>
  <c r="L205" i="13"/>
  <c r="K205" i="13"/>
  <c r="J205" i="13"/>
  <c r="F205" i="13"/>
  <c r="E205" i="13"/>
  <c r="D205" i="13"/>
  <c r="C205" i="13"/>
  <c r="L208" i="13"/>
  <c r="K208" i="13"/>
  <c r="J208" i="13"/>
  <c r="F208" i="13"/>
  <c r="E208" i="13"/>
  <c r="D208" i="13"/>
  <c r="C208" i="13"/>
  <c r="L201" i="13"/>
  <c r="K201" i="13"/>
  <c r="J201" i="13"/>
  <c r="F201" i="13"/>
  <c r="E201" i="13"/>
  <c r="D201" i="13"/>
  <c r="C201" i="13"/>
  <c r="L202" i="13"/>
  <c r="K202" i="13"/>
  <c r="J202" i="13"/>
  <c r="F202" i="13"/>
  <c r="E202" i="13"/>
  <c r="D202" i="13"/>
  <c r="C202" i="13"/>
  <c r="K212" i="13"/>
  <c r="J212" i="13"/>
  <c r="F212" i="13"/>
  <c r="E212" i="13"/>
  <c r="D212" i="13"/>
  <c r="C212" i="13"/>
  <c r="L176" i="13"/>
  <c r="K176" i="13"/>
  <c r="F176" i="13"/>
  <c r="E176" i="13"/>
  <c r="D176" i="13"/>
  <c r="C176" i="13"/>
  <c r="K178" i="13"/>
  <c r="J178" i="13"/>
  <c r="F178" i="13"/>
  <c r="E178" i="13"/>
  <c r="D178" i="13"/>
  <c r="C178" i="13"/>
  <c r="K175" i="13"/>
  <c r="F175" i="13"/>
  <c r="E175" i="13"/>
  <c r="D175" i="13"/>
  <c r="C175" i="13"/>
  <c r="L171" i="13"/>
  <c r="K171" i="13"/>
  <c r="F171" i="13"/>
  <c r="E171" i="13"/>
  <c r="D171" i="13"/>
  <c r="C171" i="13"/>
  <c r="K174" i="13"/>
  <c r="F174" i="13"/>
  <c r="E174" i="13"/>
  <c r="D174" i="13"/>
  <c r="C174" i="13"/>
  <c r="K165" i="13"/>
  <c r="F165" i="13"/>
  <c r="E165" i="13"/>
  <c r="D165" i="13"/>
  <c r="C165" i="13"/>
  <c r="K146" i="13"/>
  <c r="J146" i="13"/>
  <c r="F146" i="13"/>
  <c r="E146" i="13"/>
  <c r="D146" i="13"/>
  <c r="C146" i="13"/>
  <c r="K144" i="13"/>
  <c r="J144" i="13"/>
  <c r="F144" i="13"/>
  <c r="E144" i="13"/>
  <c r="D144" i="13"/>
  <c r="C144" i="13"/>
  <c r="L142" i="13"/>
  <c r="K142" i="13"/>
  <c r="J142" i="13"/>
  <c r="F142" i="13"/>
  <c r="E142" i="13"/>
  <c r="D142" i="13"/>
  <c r="C142" i="13"/>
  <c r="K140" i="13"/>
  <c r="J140" i="13"/>
  <c r="F140" i="13"/>
  <c r="E140" i="13"/>
  <c r="D140" i="13"/>
  <c r="C140" i="13"/>
  <c r="L127" i="13"/>
  <c r="K127" i="13"/>
  <c r="J127" i="13"/>
  <c r="F127" i="13"/>
  <c r="E127" i="13"/>
  <c r="D127" i="13"/>
  <c r="C127" i="13"/>
  <c r="K131" i="13"/>
  <c r="F131" i="13"/>
  <c r="E131" i="13"/>
  <c r="D131" i="13"/>
  <c r="C131" i="13"/>
  <c r="K126" i="13"/>
  <c r="F126" i="13"/>
  <c r="E126" i="13"/>
  <c r="D126" i="13"/>
  <c r="C126" i="13"/>
  <c r="K70" i="13"/>
  <c r="F70" i="13"/>
  <c r="E70" i="13"/>
  <c r="D70" i="13"/>
  <c r="C70" i="13"/>
  <c r="K55" i="13"/>
  <c r="F55" i="13"/>
  <c r="E55" i="13"/>
  <c r="D55" i="13"/>
  <c r="C55" i="13"/>
  <c r="K57" i="13"/>
  <c r="F57" i="13"/>
  <c r="E57" i="13"/>
  <c r="D57" i="13"/>
  <c r="C57" i="13"/>
  <c r="K39" i="13"/>
  <c r="F39" i="13"/>
  <c r="E39" i="13"/>
  <c r="D39" i="13"/>
  <c r="C39" i="13"/>
  <c r="K30" i="13"/>
  <c r="J30" i="13"/>
  <c r="F30" i="13"/>
  <c r="E30" i="13"/>
  <c r="D30" i="13"/>
  <c r="C30" i="13"/>
  <c r="K27" i="13"/>
  <c r="F27" i="13"/>
  <c r="E27" i="13"/>
  <c r="D27" i="13"/>
  <c r="C27" i="13"/>
  <c r="K24" i="13"/>
  <c r="F24" i="13"/>
  <c r="E24" i="13"/>
  <c r="D24" i="13"/>
  <c r="C24" i="13"/>
  <c r="K5" i="13"/>
  <c r="F5" i="13"/>
  <c r="E5" i="13"/>
  <c r="D5" i="13"/>
  <c r="C5" i="13"/>
  <c r="F30" i="11"/>
  <c r="D30" i="11"/>
  <c r="E30" i="11"/>
  <c r="C30" i="11"/>
  <c r="K30" i="11"/>
  <c r="J30" i="11"/>
  <c r="F402" i="11"/>
  <c r="D402" i="11"/>
  <c r="E402" i="11"/>
  <c r="C402" i="11"/>
  <c r="K402" i="11"/>
  <c r="F382" i="11"/>
  <c r="D382" i="11"/>
  <c r="E382" i="11"/>
  <c r="C382" i="11"/>
  <c r="L382" i="11"/>
  <c r="K382" i="11"/>
  <c r="F345" i="11"/>
  <c r="D345" i="11"/>
  <c r="E345" i="11"/>
  <c r="C345" i="11"/>
  <c r="L345" i="11"/>
  <c r="K345" i="11"/>
  <c r="F343" i="11"/>
  <c r="D343" i="11"/>
  <c r="E343" i="11"/>
  <c r="C343" i="11"/>
  <c r="L343" i="11"/>
  <c r="K343" i="11"/>
  <c r="F341" i="11"/>
  <c r="D341" i="11"/>
  <c r="E341" i="11"/>
  <c r="C341" i="11"/>
  <c r="K341" i="11"/>
  <c r="J341" i="11"/>
  <c r="F339" i="11"/>
  <c r="D339" i="11"/>
  <c r="E339" i="11"/>
  <c r="C339" i="11"/>
  <c r="L339" i="11"/>
  <c r="K339" i="11"/>
  <c r="J339" i="11"/>
  <c r="D327" i="11"/>
  <c r="F327" i="11"/>
  <c r="E327" i="11"/>
  <c r="C327" i="11"/>
  <c r="K327" i="11"/>
  <c r="F311" i="11"/>
  <c r="D311" i="11"/>
  <c r="E311" i="11"/>
  <c r="C311" i="11"/>
  <c r="L311" i="11"/>
  <c r="K311" i="11"/>
  <c r="F252" i="11"/>
  <c r="C252" i="11"/>
  <c r="J252" i="11"/>
  <c r="F241" i="11"/>
  <c r="D241" i="11"/>
  <c r="E241" i="11"/>
  <c r="C241" i="11"/>
  <c r="K241" i="11"/>
  <c r="F250" i="11"/>
  <c r="D250" i="11"/>
  <c r="E250" i="11"/>
  <c r="C250" i="11"/>
  <c r="K250" i="11"/>
  <c r="F198" i="11"/>
  <c r="D198" i="11"/>
  <c r="E198" i="11"/>
  <c r="C198" i="11"/>
  <c r="L198" i="11"/>
  <c r="K198" i="11"/>
  <c r="J198" i="11"/>
  <c r="F206" i="11"/>
  <c r="D206" i="11"/>
  <c r="E206" i="11"/>
  <c r="C206" i="11"/>
  <c r="K206" i="11"/>
  <c r="F205" i="11"/>
  <c r="D205" i="11"/>
  <c r="E205" i="11"/>
  <c r="C205" i="11"/>
  <c r="K205" i="11"/>
  <c r="F209" i="11"/>
  <c r="D209" i="11"/>
  <c r="E209" i="11"/>
  <c r="C209" i="11"/>
  <c r="K209" i="11"/>
  <c r="F207" i="11"/>
  <c r="D207" i="11"/>
  <c r="E207" i="11"/>
  <c r="C207" i="11"/>
  <c r="K207" i="11"/>
  <c r="D211" i="11"/>
  <c r="E211" i="11"/>
  <c r="C211" i="11"/>
  <c r="L211" i="11"/>
  <c r="K211" i="11"/>
  <c r="J211" i="11"/>
  <c r="F171" i="11"/>
  <c r="D171" i="11"/>
  <c r="E171" i="11"/>
  <c r="C171" i="11"/>
  <c r="L171" i="11"/>
  <c r="K171" i="11"/>
  <c r="F177" i="11"/>
  <c r="D177" i="11"/>
  <c r="E177" i="11"/>
  <c r="C177" i="11"/>
  <c r="K177" i="11"/>
  <c r="F178" i="11"/>
  <c r="D178" i="11"/>
  <c r="E178" i="11"/>
  <c r="C178" i="11"/>
  <c r="K178" i="11"/>
  <c r="J178" i="11"/>
  <c r="F174" i="11"/>
  <c r="D174" i="11"/>
  <c r="E174" i="11"/>
  <c r="C174" i="11"/>
  <c r="K174" i="11"/>
  <c r="F165" i="11"/>
  <c r="D165" i="11"/>
  <c r="E165" i="11"/>
  <c r="C165" i="11"/>
  <c r="K165" i="11"/>
  <c r="F146" i="11"/>
  <c r="D146" i="11"/>
  <c r="E146" i="11"/>
  <c r="C146" i="11"/>
  <c r="K146" i="11"/>
  <c r="J146" i="11"/>
  <c r="F144" i="11"/>
  <c r="D144" i="11"/>
  <c r="E144" i="11"/>
  <c r="C144" i="11"/>
  <c r="K144" i="11"/>
  <c r="J144" i="11"/>
  <c r="F142" i="11"/>
  <c r="D142" i="11"/>
  <c r="E142" i="11"/>
  <c r="C142" i="11"/>
  <c r="L142" i="11"/>
  <c r="K142" i="11"/>
  <c r="J142" i="11"/>
  <c r="F140" i="11"/>
  <c r="D140" i="11"/>
  <c r="E140" i="11"/>
  <c r="C140" i="11"/>
  <c r="K140" i="11"/>
  <c r="J140" i="11"/>
  <c r="F128" i="11"/>
  <c r="D128" i="11"/>
  <c r="E128" i="11"/>
  <c r="C128" i="11"/>
  <c r="L128" i="11"/>
  <c r="K128" i="11"/>
  <c r="J128" i="11"/>
  <c r="F131" i="11"/>
  <c r="D131" i="11"/>
  <c r="E131" i="11"/>
  <c r="C131" i="11"/>
  <c r="K131" i="11"/>
  <c r="F70" i="11"/>
  <c r="D70" i="11"/>
  <c r="E70" i="11"/>
  <c r="C70" i="11"/>
  <c r="K70" i="11"/>
  <c r="F64" i="11"/>
  <c r="D64" i="11"/>
  <c r="E64" i="11"/>
  <c r="C64" i="11"/>
  <c r="K64" i="11"/>
  <c r="F55" i="11"/>
  <c r="D55" i="11"/>
  <c r="E55" i="11"/>
  <c r="C55" i="11"/>
  <c r="K55" i="11"/>
  <c r="F27" i="11"/>
  <c r="D27" i="11"/>
  <c r="E27" i="11"/>
  <c r="C27" i="11"/>
  <c r="K27" i="11"/>
  <c r="F5" i="11"/>
  <c r="D5" i="11"/>
  <c r="E5" i="11"/>
  <c r="C5" i="11"/>
  <c r="K5" i="11"/>
  <c r="F312" i="11"/>
  <c r="D312" i="11"/>
  <c r="E312" i="11"/>
  <c r="C312" i="11"/>
  <c r="K312" i="11"/>
  <c r="F219" i="11"/>
  <c r="D219" i="11"/>
  <c r="E219" i="11"/>
  <c r="C219" i="11"/>
  <c r="K219" i="11"/>
  <c r="F210" i="11"/>
  <c r="D210" i="11"/>
  <c r="E210" i="11"/>
  <c r="C210" i="11"/>
  <c r="K210" i="11"/>
  <c r="F200" i="11"/>
  <c r="D200" i="11"/>
  <c r="E200" i="11"/>
  <c r="C200" i="11"/>
  <c r="L200" i="11"/>
  <c r="K200" i="11"/>
  <c r="J200" i="11"/>
  <c r="F202" i="11"/>
  <c r="D202" i="11"/>
  <c r="E202" i="11"/>
  <c r="C202" i="11"/>
  <c r="K202" i="11"/>
  <c r="J202" i="11"/>
  <c r="E175" i="11"/>
  <c r="D175" i="11"/>
  <c r="C175" i="11"/>
  <c r="L175" i="11"/>
  <c r="K175" i="11"/>
  <c r="F126" i="11"/>
  <c r="D126" i="11"/>
  <c r="E126" i="11"/>
  <c r="C126" i="11"/>
  <c r="K126" i="11"/>
  <c r="F39" i="11"/>
  <c r="D39" i="11"/>
  <c r="E39" i="11"/>
  <c r="C39" i="11"/>
  <c r="K39" i="11"/>
  <c r="F24" i="11"/>
  <c r="D24" i="11"/>
  <c r="E24" i="11"/>
  <c r="C24" i="11"/>
  <c r="K24" i="11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6" i="10"/>
  <c r="D36" i="8"/>
  <c r="E36" i="8"/>
  <c r="F36" i="8"/>
  <c r="G36" i="8"/>
  <c r="H36" i="8"/>
  <c r="I36" i="8"/>
  <c r="J36" i="8"/>
  <c r="K36" i="8"/>
  <c r="L36" i="8"/>
  <c r="C36" i="8"/>
  <c r="D36" i="7"/>
  <c r="E36" i="7"/>
  <c r="F36" i="7"/>
  <c r="G36" i="7"/>
  <c r="H36" i="7"/>
  <c r="I36" i="7"/>
  <c r="J36" i="7"/>
  <c r="K36" i="7"/>
  <c r="L36" i="7"/>
  <c r="C36" i="6"/>
  <c r="C36" i="7"/>
  <c r="D36" i="6"/>
  <c r="E36" i="6"/>
  <c r="F36" i="6"/>
  <c r="G36" i="6"/>
  <c r="H36" i="6"/>
  <c r="I36" i="6"/>
  <c r="J36" i="6"/>
  <c r="K36" i="6"/>
  <c r="L36" i="6"/>
  <c r="D36" i="5"/>
  <c r="E36" i="5"/>
  <c r="F36" i="5"/>
  <c r="G36" i="5"/>
  <c r="H36" i="5"/>
  <c r="I36" i="5"/>
  <c r="J36" i="5"/>
  <c r="K36" i="5"/>
  <c r="L36" i="5"/>
  <c r="C36" i="5"/>
  <c r="D36" i="4"/>
  <c r="E36" i="4"/>
  <c r="F36" i="4"/>
  <c r="G36" i="4"/>
  <c r="H36" i="4"/>
  <c r="I36" i="4"/>
  <c r="J36" i="4"/>
  <c r="K36" i="4"/>
  <c r="L36" i="4"/>
  <c r="C36" i="4"/>
  <c r="D36" i="3"/>
  <c r="E36" i="3"/>
  <c r="F36" i="3"/>
  <c r="G36" i="3"/>
  <c r="H36" i="3"/>
  <c r="I36" i="3"/>
  <c r="J36" i="3"/>
  <c r="K36" i="3"/>
  <c r="L36" i="3"/>
  <c r="C36" i="3"/>
  <c r="D36" i="2"/>
  <c r="E36" i="2"/>
  <c r="F36" i="2"/>
  <c r="G36" i="2"/>
  <c r="H36" i="2"/>
  <c r="I36" i="2"/>
  <c r="J36" i="2"/>
  <c r="K36" i="2"/>
  <c r="L36" i="2"/>
  <c r="C36" i="2"/>
  <c r="D36" i="1"/>
  <c r="E36" i="1"/>
  <c r="F36" i="1"/>
  <c r="G36" i="1"/>
  <c r="H36" i="1"/>
  <c r="I36" i="1"/>
  <c r="J36" i="1"/>
  <c r="K36" i="1"/>
  <c r="L36" i="1"/>
  <c r="C36" i="1"/>
  <c r="C50" i="9"/>
  <c r="C49" i="9"/>
  <c r="C48" i="9"/>
  <c r="C47" i="9"/>
  <c r="C46" i="9"/>
  <c r="C45" i="9"/>
  <c r="C44" i="9"/>
  <c r="C43" i="9"/>
  <c r="C39" i="9"/>
  <c r="C36" i="9"/>
  <c r="F4" i="9" s="1"/>
  <c r="G4" i="9" s="1"/>
  <c r="F10" i="9"/>
  <c r="G10" i="9" s="1"/>
  <c r="F13" i="9"/>
  <c r="G13" i="9" s="1"/>
  <c r="F34" i="9"/>
  <c r="G34" i="9" s="1"/>
  <c r="D36" i="9"/>
  <c r="E36" i="9"/>
  <c r="K10" i="9"/>
  <c r="J10" i="9"/>
  <c r="J11" i="9"/>
  <c r="M49" i="9"/>
  <c r="N49" i="9"/>
  <c r="L49" i="9"/>
  <c r="M48" i="9"/>
  <c r="N48" i="9"/>
  <c r="L48" i="9"/>
  <c r="N47" i="9"/>
  <c r="M47" i="9"/>
  <c r="L47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J12" i="9"/>
  <c r="J13" i="9"/>
  <c r="J14" i="9"/>
  <c r="J15" i="9"/>
  <c r="J16" i="9"/>
  <c r="J17" i="9"/>
  <c r="J18" i="9"/>
  <c r="J19" i="9"/>
  <c r="J20" i="9"/>
  <c r="M20" i="9" s="1"/>
  <c r="J21" i="9"/>
  <c r="J22" i="9"/>
  <c r="J23" i="9"/>
  <c r="J24" i="9"/>
  <c r="J25" i="9"/>
  <c r="J26" i="9"/>
  <c r="J27" i="9"/>
  <c r="J28" i="9"/>
  <c r="J29" i="9"/>
  <c r="J30" i="9"/>
  <c r="J31" i="9"/>
  <c r="J32" i="9"/>
  <c r="M32" i="9" s="1"/>
  <c r="J33" i="9"/>
  <c r="J34" i="9"/>
  <c r="J35" i="9"/>
  <c r="J36" i="9"/>
  <c r="J37" i="9"/>
  <c r="J38" i="9"/>
  <c r="J39" i="9"/>
  <c r="J40" i="9"/>
  <c r="J41" i="9"/>
  <c r="J42" i="9"/>
  <c r="J43" i="9"/>
  <c r="F29" i="9" l="1"/>
  <c r="G29" i="9" s="1"/>
  <c r="F22" i="9"/>
  <c r="G22" i="9" s="1"/>
  <c r="L61" i="9"/>
  <c r="F19" i="9"/>
  <c r="G19" i="9" s="1"/>
  <c r="F31" i="9"/>
  <c r="G31" i="9" s="1"/>
  <c r="F25" i="9"/>
  <c r="G25" i="9" s="1"/>
  <c r="F16" i="9"/>
  <c r="G16" i="9" s="1"/>
  <c r="F27" i="9"/>
  <c r="G27" i="9" s="1"/>
  <c r="F18" i="9"/>
  <c r="G18" i="9" s="1"/>
  <c r="F7" i="9"/>
  <c r="G7" i="9" s="1"/>
  <c r="F35" i="9"/>
  <c r="G35" i="9" s="1"/>
  <c r="F26" i="9"/>
  <c r="G26" i="9" s="1"/>
  <c r="F17" i="9"/>
  <c r="G17" i="9" s="1"/>
  <c r="F6" i="9"/>
  <c r="G6" i="9" s="1"/>
  <c r="M40" i="9"/>
  <c r="M16" i="9"/>
  <c r="L75" i="9"/>
  <c r="F33" i="9"/>
  <c r="G33" i="9" s="1"/>
  <c r="F24" i="9"/>
  <c r="G24" i="9" s="1"/>
  <c r="F15" i="9"/>
  <c r="G15" i="9" s="1"/>
  <c r="M24" i="9"/>
  <c r="F32" i="9"/>
  <c r="G32" i="9" s="1"/>
  <c r="F23" i="9"/>
  <c r="G23" i="9" s="1"/>
  <c r="F14" i="9"/>
  <c r="G14" i="9" s="1"/>
  <c r="F30" i="9"/>
  <c r="G30" i="9" s="1"/>
  <c r="F21" i="9"/>
  <c r="G21" i="9" s="1"/>
  <c r="F11" i="9"/>
  <c r="G11" i="9" s="1"/>
  <c r="L63" i="9"/>
  <c r="J65" i="9"/>
  <c r="L91" i="9"/>
  <c r="F5" i="9"/>
  <c r="G5" i="9" s="1"/>
  <c r="L87" i="9"/>
  <c r="F3" i="9"/>
  <c r="G3" i="9" s="1"/>
  <c r="L83" i="9"/>
  <c r="L67" i="9"/>
  <c r="L79" i="9"/>
  <c r="F9" i="9"/>
  <c r="G9" i="9" s="1"/>
  <c r="C51" i="9"/>
  <c r="L62" i="9"/>
  <c r="L71" i="9"/>
  <c r="F8" i="9"/>
  <c r="G8" i="9" s="1"/>
  <c r="J66" i="9"/>
  <c r="L58" i="9"/>
  <c r="L88" i="9"/>
  <c r="L84" i="9"/>
  <c r="L80" i="9"/>
  <c r="L76" i="9"/>
  <c r="L72" i="9"/>
  <c r="L68" i="9"/>
  <c r="L64" i="9"/>
  <c r="L60" i="9"/>
  <c r="J81" i="9"/>
  <c r="L59" i="9"/>
  <c r="L90" i="9"/>
  <c r="L86" i="9"/>
  <c r="L82" i="9"/>
  <c r="L78" i="9"/>
  <c r="L74" i="9"/>
  <c r="L70" i="9"/>
  <c r="L66" i="9"/>
  <c r="M41" i="9"/>
  <c r="M33" i="9"/>
  <c r="M25" i="9"/>
  <c r="M17" i="9"/>
  <c r="K62" i="9"/>
  <c r="K65" i="9"/>
  <c r="L89" i="9"/>
  <c r="L85" i="9"/>
  <c r="L81" i="9"/>
  <c r="L77" i="9"/>
  <c r="L73" i="9"/>
  <c r="L69" i="9"/>
  <c r="L65" i="9"/>
  <c r="F2" i="9"/>
  <c r="G2" i="9" s="1"/>
  <c r="F28" i="9"/>
  <c r="G28" i="9" s="1"/>
  <c r="F20" i="9"/>
  <c r="G20" i="9" s="1"/>
  <c r="F12" i="9"/>
  <c r="G12" i="9" s="1"/>
  <c r="K61" i="9"/>
  <c r="K89" i="9"/>
  <c r="K81" i="9"/>
  <c r="K59" i="9"/>
  <c r="K85" i="9"/>
  <c r="K77" i="9"/>
  <c r="K73" i="9"/>
  <c r="K69" i="9"/>
  <c r="K58" i="9"/>
  <c r="K84" i="9"/>
  <c r="K76" i="9"/>
  <c r="K68" i="9"/>
  <c r="K60" i="9"/>
  <c r="K91" i="9"/>
  <c r="K83" i="9"/>
  <c r="K75" i="9"/>
  <c r="K67" i="9"/>
  <c r="K90" i="9"/>
  <c r="K82" i="9"/>
  <c r="K74" i="9"/>
  <c r="K66" i="9"/>
  <c r="K80" i="9"/>
  <c r="K72" i="9"/>
  <c r="K87" i="9"/>
  <c r="K79" i="9"/>
  <c r="K71" i="9"/>
  <c r="K63" i="9"/>
  <c r="K88" i="9"/>
  <c r="K64" i="9"/>
  <c r="K86" i="9"/>
  <c r="K78" i="9"/>
  <c r="K70" i="9"/>
  <c r="J78" i="9"/>
  <c r="J62" i="9"/>
  <c r="J89" i="9"/>
  <c r="J73" i="9"/>
  <c r="J88" i="9"/>
  <c r="J72" i="9"/>
  <c r="J87" i="9"/>
  <c r="J71" i="9"/>
  <c r="J86" i="9"/>
  <c r="J70" i="9"/>
  <c r="J80" i="9"/>
  <c r="J64" i="9"/>
  <c r="J79" i="9"/>
  <c r="J63" i="9"/>
  <c r="J85" i="9"/>
  <c r="J77" i="9"/>
  <c r="J69" i="9"/>
  <c r="J61" i="9"/>
  <c r="J58" i="9"/>
  <c r="J84" i="9"/>
  <c r="J76" i="9"/>
  <c r="J68" i="9"/>
  <c r="M68" i="9" s="1"/>
  <c r="J60" i="9"/>
  <c r="M60" i="9" s="1"/>
  <c r="J91" i="9"/>
  <c r="J83" i="9"/>
  <c r="J75" i="9"/>
  <c r="J67" i="9"/>
  <c r="J59" i="9"/>
  <c r="J90" i="9"/>
  <c r="J82" i="9"/>
  <c r="J74" i="9"/>
  <c r="M43" i="9"/>
  <c r="M27" i="9"/>
  <c r="M19" i="9"/>
  <c r="M11" i="9"/>
  <c r="D54" i="9" s="1"/>
  <c r="M29" i="9"/>
  <c r="M35" i="9"/>
  <c r="M23" i="9"/>
  <c r="M39" i="9"/>
  <c r="M31" i="9"/>
  <c r="M15" i="9"/>
  <c r="M21" i="9"/>
  <c r="M37" i="9"/>
  <c r="M13" i="9"/>
  <c r="M12" i="9"/>
  <c r="M36" i="9"/>
  <c r="M28" i="9"/>
  <c r="M42" i="9"/>
  <c r="M34" i="9"/>
  <c r="M26" i="9"/>
  <c r="M18" i="9"/>
  <c r="M38" i="9"/>
  <c r="M30" i="9"/>
  <c r="M22" i="9"/>
  <c r="M14" i="9"/>
  <c r="M10" i="9"/>
  <c r="M63" i="9" l="1"/>
  <c r="M76" i="9"/>
  <c r="M65" i="9"/>
  <c r="M87" i="9"/>
  <c r="M84" i="9"/>
  <c r="M59" i="9"/>
  <c r="M64" i="9"/>
  <c r="M58" i="9"/>
  <c r="M61" i="9"/>
  <c r="M62" i="9"/>
  <c r="G36" i="9"/>
  <c r="M66" i="9"/>
  <c r="M81" i="9"/>
  <c r="M85" i="9"/>
  <c r="M80" i="9"/>
  <c r="M89" i="9"/>
  <c r="M82" i="9"/>
  <c r="M70" i="9"/>
  <c r="M72" i="9"/>
  <c r="M90" i="9"/>
  <c r="M79" i="9"/>
  <c r="M88" i="9"/>
  <c r="M73" i="9"/>
  <c r="M67" i="9"/>
  <c r="M69" i="9"/>
  <c r="M78" i="9"/>
  <c r="M77" i="9"/>
  <c r="M83" i="9"/>
  <c r="M86" i="9"/>
  <c r="M91" i="9"/>
  <c r="M71" i="9"/>
  <c r="M75" i="9"/>
  <c r="M74" i="9"/>
</calcChain>
</file>

<file path=xl/sharedStrings.xml><?xml version="1.0" encoding="utf-8"?>
<sst xmlns="http://schemas.openxmlformats.org/spreadsheetml/2006/main" count="7468" uniqueCount="1392">
  <si>
    <t>No</t>
  </si>
  <si>
    <t>Provinsi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</si>
  <si>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</si>
  <si>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</si>
  <si>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</si>
  <si>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</si>
  <si>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</si>
  <si>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</si>
  <si>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</si>
  <si>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Kepulauan Bangka Belitung</t>
  </si>
  <si>
    <t>Bengkulu</t>
  </si>
  <si>
    <t>Lampung</t>
  </si>
  <si>
    <t>DKI Jakarta</t>
  </si>
  <si>
    <t>-</t>
  </si>
  <si>
    <t>Jawa Barat</t>
  </si>
  <si>
    <t>Banten</t>
  </si>
  <si>
    <t>Jawa Tengah</t>
  </si>
  <si>
    <t>DI.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</si>
  <si>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</si>
  <si>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</si>
  <si>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</si>
  <si>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</si>
  <si>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</si>
  <si>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</si>
  <si>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</si>
  <si>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</si>
  <si>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</si>
  <si>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</si>
  <si>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</si>
  <si>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</si>
  <si>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</si>
  <si>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</si>
  <si>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</si>
  <si>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Maluku</t>
  </si>
  <si>
    <t>Maluku Utara</t>
  </si>
  <si>
    <t>Papua</t>
  </si>
  <si>
    <t>Papua Barat</t>
  </si>
  <si>
    <t>Luas_Areal_2014</t>
  </si>
  <si>
    <t>Produktiv_2014</t>
  </si>
  <si>
    <t>Produksi_2014</t>
  </si>
  <si>
    <t>Luas_Areal_2015</t>
  </si>
  <si>
    <t>Produktiv_2015</t>
  </si>
  <si>
    <t>Produksi_2015</t>
  </si>
  <si>
    <t>Luas_Areal_2016</t>
  </si>
  <si>
    <t>Produktiv_2016</t>
  </si>
  <si>
    <t>Produksi_2016</t>
  </si>
  <si>
    <t>Luas_Areal_2017</t>
  </si>
  <si>
    <t>Produktiv_2017</t>
  </si>
  <si>
    <t>Produksi_2017</t>
  </si>
  <si>
    <t>Luas_Areal_2018</t>
  </si>
  <si>
    <t>Produktiv_2018</t>
  </si>
  <si>
    <t>Produksi_2018</t>
  </si>
  <si>
    <t>Luas_Areal_2019</t>
  </si>
  <si>
    <t>Produktiv_2019</t>
  </si>
  <si>
    <t>Produksi_2019</t>
  </si>
  <si>
    <t>Luas_Areal_2020</t>
  </si>
  <si>
    <t>Produktiv_2020</t>
  </si>
  <si>
    <t>Produksi_2020</t>
  </si>
  <si>
    <t>Step 1</t>
  </si>
  <si>
    <t>Tentukan Jumlah Cluster</t>
  </si>
  <si>
    <t>Step 2</t>
  </si>
  <si>
    <t>Inisialisasi titik Pusat Cluster</t>
  </si>
  <si>
    <t>Step 3</t>
  </si>
  <si>
    <r>
      <t xml:space="preserve">Menghitung Jarak data Dengan Titik pusat Cluster </t>
    </r>
    <r>
      <rPr>
        <b/>
        <sz val="11"/>
        <color theme="1"/>
        <rFont val="Calibri"/>
        <family val="2"/>
        <scheme val="minor"/>
      </rPr>
      <t>(Euclidean Distance)</t>
    </r>
  </si>
  <si>
    <t>Step 4</t>
  </si>
  <si>
    <t>Kelompokan Data Terdekat dengan Pusat Cluster</t>
  </si>
  <si>
    <t>Step 5</t>
  </si>
  <si>
    <t>Hitung kembali pusat centroid pada iterasi ke 1 menggunakna persamaan</t>
  </si>
  <si>
    <t>Step 6</t>
  </si>
  <si>
    <t>Jika data berpindah maka ulangi perhitungan Step 1</t>
  </si>
  <si>
    <t>K - Means</t>
  </si>
  <si>
    <t>Optimasi Jumlah Cluster</t>
  </si>
  <si>
    <t>Latihan K Means menggunakan data tahun 2014</t>
  </si>
  <si>
    <t>Jumlah Cluster</t>
  </si>
  <si>
    <t>Tentukan Titik Centroid Secara Acak</t>
  </si>
  <si>
    <t>Centroid</t>
  </si>
  <si>
    <t>C1</t>
  </si>
  <si>
    <t>C2</t>
  </si>
  <si>
    <t>C3</t>
  </si>
  <si>
    <t>C = 3</t>
  </si>
  <si>
    <t>Cluster</t>
  </si>
  <si>
    <t>Jarak Terdekat</t>
  </si>
  <si>
    <t>Data Ke</t>
  </si>
  <si>
    <t>Total</t>
  </si>
  <si>
    <t>3 &amp; 4</t>
  </si>
  <si>
    <t>Hitung kembali pusat centroid</t>
  </si>
  <si>
    <t>Fix</t>
  </si>
  <si>
    <t>Ove</t>
  </si>
  <si>
    <t>Move</t>
  </si>
  <si>
    <t xml:space="preserve">Jika ada daat yang berpindah maka ulangi ke Step 2 hingga data yang berada di Step 5 tidak berubah </t>
  </si>
  <si>
    <t>5 = Return Step 3 &amp; 4</t>
  </si>
  <si>
    <t>Mean</t>
  </si>
  <si>
    <t>Deviation</t>
  </si>
  <si>
    <t>Deviation 2</t>
  </si>
  <si>
    <t>SSE</t>
  </si>
  <si>
    <t>Jumlah_Petani</t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</si>
  <si>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</si>
  <si>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</si>
  <si>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</t>
    </r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</si>
  <si>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</t>
    </r>
  </si>
  <si>
    <t>Areal_Perkebunan_Pemerintah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</si>
  <si>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</t>
    </r>
  </si>
  <si>
    <t>Produksi_2021</t>
  </si>
  <si>
    <t>Produktiv_2021</t>
  </si>
  <si>
    <t>Luas_Areal_2021</t>
  </si>
  <si>
    <t>Indonesia</t>
  </si>
  <si>
    <t>Jumlah_Petani_2014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</si>
  <si>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Rakyat_2014</t>
    </r>
  </si>
  <si>
    <t>Areal_Perkebunan_Pemerintah_2014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</si>
  <si>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</si>
  <si>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</si>
  <si>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</si>
  <si>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Damage_2014</t>
    </r>
  </si>
  <si>
    <t>Jumlah_Petani_2015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</si>
  <si>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Rakyat_2015</t>
    </r>
  </si>
  <si>
    <t>Areal_Perkebunan_Pemerintah_2015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</si>
  <si>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</si>
  <si>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</si>
  <si>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</si>
  <si>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Damage_2015</t>
    </r>
  </si>
  <si>
    <t>Jumlah_Petani_2016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</si>
  <si>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Rakyat_2016</t>
    </r>
  </si>
  <si>
    <t>Areal_Perkebunan_Pemerintah_2016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</si>
  <si>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</si>
  <si>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</si>
  <si>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</si>
  <si>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Damage_2016</t>
    </r>
  </si>
  <si>
    <t>Jumlah_Petani_2017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</si>
  <si>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Rakyat_2017</t>
    </r>
  </si>
  <si>
    <t>Areal_Perkebunan_Pemerintah_2017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</si>
  <si>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</si>
  <si>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</si>
  <si>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</si>
  <si>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Damage_2017</t>
    </r>
  </si>
  <si>
    <t>Jumlah_Petani_2018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</si>
  <si>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Rakyat_2018</t>
    </r>
  </si>
  <si>
    <t>Areal_Perkebunan_Pemerintah_2018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</si>
  <si>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</si>
  <si>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</si>
  <si>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</si>
  <si>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Damage_2018</t>
    </r>
  </si>
  <si>
    <t>Jumlah_Petani_2019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</si>
  <si>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Rakyat_2019</t>
    </r>
  </si>
  <si>
    <t>Areal_Perkebunan_Pemerintah_2019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</si>
  <si>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</si>
  <si>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</si>
  <si>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</si>
  <si>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Damage_2019</t>
    </r>
  </si>
  <si>
    <t>Jumlah_Petani_2020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</si>
  <si>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Rakyat_2020</t>
    </r>
  </si>
  <si>
    <t>Areal_Perkebunan_Pemerintah_2020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</si>
  <si>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</si>
  <si>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</si>
  <si>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</si>
  <si>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Damage_2020</t>
    </r>
  </si>
  <si>
    <t>Jumlah_Petani_2021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</si>
  <si>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Rakyat_2021</t>
    </r>
  </si>
  <si>
    <t>Areal_Perkebunan_Pemerintah_2021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</si>
  <si>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</si>
  <si>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</si>
  <si>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</si>
  <si>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Damage_2021</t>
    </r>
  </si>
  <si>
    <t>Kabupaten_Kota</t>
  </si>
  <si>
    <t>TBM</t>
  </si>
  <si>
    <t>TM</t>
  </si>
  <si>
    <t>TR</t>
  </si>
  <si>
    <t>Areal_perkebunan_rakyat</t>
  </si>
  <si>
    <t>Areal_perkebunan_pemerintah</t>
  </si>
  <si>
    <t>Areal_perkebunan_swasta</t>
  </si>
  <si>
    <t>Kab Pidie</t>
  </si>
  <si>
    <t>Kab Pidie Jaya</t>
  </si>
  <si>
    <t>Kab Bireun</t>
  </si>
  <si>
    <t>Kab Aceh Tengah</t>
  </si>
  <si>
    <t>Kab Aceh Utara</t>
  </si>
  <si>
    <t>Kab Lhokseumawe</t>
  </si>
  <si>
    <t>Kab Aceh Timur</t>
  </si>
  <si>
    <t>Kab Langsa</t>
  </si>
  <si>
    <t>Kab Aceh Tamiang</t>
  </si>
  <si>
    <t>Kab Aceh Tenggara</t>
  </si>
  <si>
    <t>Kab Gayo Lues</t>
  </si>
  <si>
    <t>Kab Aceh Jaya</t>
  </si>
  <si>
    <t>Kab Aceh Barat</t>
  </si>
  <si>
    <t>Kab Nagan Raya</t>
  </si>
  <si>
    <t>Kab Simeuleu</t>
  </si>
  <si>
    <t>Kab Aceh Singkil</t>
  </si>
  <si>
    <t>Kab Aceh Selatan</t>
  </si>
  <si>
    <t>Kota Subulussalam</t>
  </si>
  <si>
    <t>Kab Bener Meriah</t>
  </si>
  <si>
    <t>Kab Aceh Barat Daya</t>
  </si>
  <si>
    <t>Kab Deli Serdang</t>
  </si>
  <si>
    <t>Kab Langkat</t>
  </si>
  <si>
    <t>Kab. Simalungun</t>
  </si>
  <si>
    <t>Kab. Karo</t>
  </si>
  <si>
    <t>Kab. Dairi</t>
  </si>
  <si>
    <t>Kab. Tapanuli Utara</t>
  </si>
  <si>
    <t>Kab. Tapanuli Tengah</t>
  </si>
  <si>
    <t>Kab. Nias</t>
  </si>
  <si>
    <t>Kab. Nias Utara</t>
  </si>
  <si>
    <t>Kab. Nias Barat</t>
  </si>
  <si>
    <t>Kota Gunung Sitoli</t>
  </si>
  <si>
    <t>Kab. Nias Selatan</t>
  </si>
  <si>
    <t>Kab. Tapanuli Selatan</t>
  </si>
  <si>
    <t>Kab. Labuhan Batu</t>
  </si>
  <si>
    <t>Kab. Labuhan Batu Utara</t>
  </si>
  <si>
    <t>Kab. Labuhan Batu Selatan</t>
  </si>
  <si>
    <t>Kab. Asahan</t>
  </si>
  <si>
    <t>Kab. Mandailing Natal</t>
  </si>
  <si>
    <t>Kab. Toba Samosir</t>
  </si>
  <si>
    <t xml:space="preserve">Kab. Humbang Hasundutan </t>
  </si>
  <si>
    <t>Kab. Pak-pak Bharat</t>
  </si>
  <si>
    <t>Kab. Samosir</t>
  </si>
  <si>
    <t>Kab. Serdang Bedagai</t>
  </si>
  <si>
    <t xml:space="preserve">Kab. Padang Lawas Utara </t>
  </si>
  <si>
    <t>Kab. Batu Bara</t>
  </si>
  <si>
    <t>Kab Aceh Besar</t>
  </si>
  <si>
    <t>Kota Sabag</t>
  </si>
  <si>
    <t xml:space="preserve">Kab. Mentawai </t>
  </si>
  <si>
    <t>Kab. Pesisir Selatan</t>
  </si>
  <si>
    <t>Kab. Solok</t>
  </si>
  <si>
    <t>Kab. Sijunjung</t>
  </si>
  <si>
    <t>Kab. Tanah Datar</t>
  </si>
  <si>
    <t>Kab. Padang Pariaman</t>
  </si>
  <si>
    <t>Kota Pariaman</t>
  </si>
  <si>
    <t>Kab. Agam</t>
  </si>
  <si>
    <t>Kab. Lima Puluh Koto</t>
  </si>
  <si>
    <t>Kab. Pasaman</t>
  </si>
  <si>
    <t>Kab. Solok Selatan</t>
  </si>
  <si>
    <t>Kab. Dharmasraya</t>
  </si>
  <si>
    <t xml:space="preserve">Kab. Pasaman Barat </t>
  </si>
  <si>
    <t>Kota Padang</t>
  </si>
  <si>
    <t xml:space="preserve">Kota Solok </t>
  </si>
  <si>
    <t>Kota Sawahlunto</t>
  </si>
  <si>
    <t>Kota Padang Panjan</t>
  </si>
  <si>
    <t xml:space="preserve">Kota Bukittinggi </t>
  </si>
  <si>
    <t>Kota Payakumbuh</t>
  </si>
  <si>
    <t xml:space="preserve">Kab. Kampar </t>
  </si>
  <si>
    <t xml:space="preserve">Kab. Rokan Hulu </t>
  </si>
  <si>
    <t xml:space="preserve">Kab. Pelalawan </t>
  </si>
  <si>
    <t xml:space="preserve">Kab. Indragiri Hulu </t>
  </si>
  <si>
    <t xml:space="preserve">Kab. Kuantan Sengingi </t>
  </si>
  <si>
    <t xml:space="preserve">Kab. Bengkalis </t>
  </si>
  <si>
    <t xml:space="preserve">Kab. Rokan Hilir </t>
  </si>
  <si>
    <t xml:space="preserve">Kab. Dumai </t>
  </si>
  <si>
    <t xml:space="preserve">Kab. Siak </t>
  </si>
  <si>
    <t xml:space="preserve">Kab. Indragiri Hilir </t>
  </si>
  <si>
    <t xml:space="preserve">Kab. Pekanbaru </t>
  </si>
  <si>
    <t>Kab. Kepulauan Meranti</t>
  </si>
  <si>
    <t xml:space="preserve">Kab. Karimun </t>
  </si>
  <si>
    <t xml:space="preserve">Kota  Batam </t>
  </si>
  <si>
    <t xml:space="preserve">Kab.  Kep. Anambas </t>
  </si>
  <si>
    <t xml:space="preserve">Kab. Batanghari </t>
  </si>
  <si>
    <t xml:space="preserve">Kab. Muaro Jambi </t>
  </si>
  <si>
    <t xml:space="preserve">Kab. Bungo </t>
  </si>
  <si>
    <t xml:space="preserve">Kab. T e b o </t>
  </si>
  <si>
    <t xml:space="preserve">Kab. Merangin </t>
  </si>
  <si>
    <t xml:space="preserve">Kab. Sarolangun </t>
  </si>
  <si>
    <t>Kab. Tanjung Jabung Barat</t>
  </si>
  <si>
    <t xml:space="preserve">Kab. Tanjung Jabung Timur </t>
  </si>
  <si>
    <t>Kab. Kerinci</t>
  </si>
  <si>
    <t>Kota Sungai Penuh</t>
  </si>
  <si>
    <t xml:space="preserve">Kab. Lahat </t>
  </si>
  <si>
    <t xml:space="preserve">Kab. Empat Lawang </t>
  </si>
  <si>
    <t xml:space="preserve">Kota Pagar Alam </t>
  </si>
  <si>
    <t xml:space="preserve">Kab. Musi Banyuasin </t>
  </si>
  <si>
    <t xml:space="preserve">Kab. Banyu Asin </t>
  </si>
  <si>
    <t xml:space="preserve">Kab. Musi Rawas </t>
  </si>
  <si>
    <t xml:space="preserve">Kota Lubuk Linggau </t>
  </si>
  <si>
    <t xml:space="preserve">Kab. Ogan Komering Ulu </t>
  </si>
  <si>
    <t xml:space="preserve">Kab. OKI </t>
  </si>
  <si>
    <t xml:space="preserve">Kab. Ogan Ilir </t>
  </si>
  <si>
    <t xml:space="preserve">Kab. OKU Selatan </t>
  </si>
  <si>
    <t xml:space="preserve">Kab. OKU Timur </t>
  </si>
  <si>
    <t xml:space="preserve">Kab. Muara Enim </t>
  </si>
  <si>
    <t xml:space="preserve">Kab. Musi Rawas Utara </t>
  </si>
  <si>
    <t xml:space="preserve">Kab. Bangka </t>
  </si>
  <si>
    <t xml:space="preserve">Kab. Bangka Tengah </t>
  </si>
  <si>
    <t xml:space="preserve">Kab. Bangka Selatan </t>
  </si>
  <si>
    <t xml:space="preserve">Kab. Bangka Barat </t>
  </si>
  <si>
    <t xml:space="preserve">Kab. Belitung </t>
  </si>
  <si>
    <t xml:space="preserve">Kab. Belitung Timur </t>
  </si>
  <si>
    <t>Kota Pangkal Pinang</t>
  </si>
  <si>
    <t xml:space="preserve">Kab. Bengkulu utara </t>
  </si>
  <si>
    <t xml:space="preserve">Kab. Muko-muko </t>
  </si>
  <si>
    <t xml:space="preserve">Kab. Rejang lebong </t>
  </si>
  <si>
    <t xml:space="preserve">Kab. Kepahyang </t>
  </si>
  <si>
    <t xml:space="preserve">Kab. Lebong </t>
  </si>
  <si>
    <t xml:space="preserve">Kab. Bengkulu Selatan </t>
  </si>
  <si>
    <t xml:space="preserve">Kab. Seluma </t>
  </si>
  <si>
    <t xml:space="preserve">Kab. Kaur </t>
  </si>
  <si>
    <t xml:space="preserve">Kota Bengkulu </t>
  </si>
  <si>
    <t>Kab. Bengkulu Tengah</t>
  </si>
  <si>
    <t xml:space="preserve"> 8  249 </t>
  </si>
  <si>
    <t xml:space="preserve">Kab. Lampung Selatan </t>
  </si>
  <si>
    <t xml:space="preserve">Kab. Pesawaran </t>
  </si>
  <si>
    <t xml:space="preserve">Kab. Lampung Tengah </t>
  </si>
  <si>
    <t xml:space="preserve">Kab. Lampung Timur </t>
  </si>
  <si>
    <t xml:space="preserve">Kab. Lampung Utara </t>
  </si>
  <si>
    <t xml:space="preserve">Kab. Way Kanan </t>
  </si>
  <si>
    <t xml:space="preserve">Kab. Lampung Barat </t>
  </si>
  <si>
    <t xml:space="preserve">Kab. Tulang Bawang </t>
  </si>
  <si>
    <t xml:space="preserve">Kab. Tanggamus </t>
  </si>
  <si>
    <t xml:space="preserve">Kota Bandar Lampung </t>
  </si>
  <si>
    <t xml:space="preserve">Kab. Pringsewu </t>
  </si>
  <si>
    <t xml:space="preserve">Kab. Tulang Bawang Barat </t>
  </si>
  <si>
    <t xml:space="preserve">Kab. Mesuji </t>
  </si>
  <si>
    <t xml:space="preserve">Kota Metro </t>
  </si>
  <si>
    <t xml:space="preserve">Kab. Pesisir Barat </t>
  </si>
  <si>
    <t xml:space="preserve">Kab. Bogor </t>
  </si>
  <si>
    <t xml:space="preserve">Kota Bogor </t>
  </si>
  <si>
    <t xml:space="preserve">Kab. Sukabumi </t>
  </si>
  <si>
    <t xml:space="preserve">Kota Sukabumi </t>
  </si>
  <si>
    <t xml:space="preserve">Kab. Cianjur </t>
  </si>
  <si>
    <t xml:space="preserve">Kab. Majalengka </t>
  </si>
  <si>
    <t xml:space="preserve">Kab. Kuningan </t>
  </si>
  <si>
    <t xml:space="preserve">Kab. Cirebon </t>
  </si>
  <si>
    <t xml:space="preserve">Kota Cirebon </t>
  </si>
  <si>
    <t xml:space="preserve">Kab. Indramayu </t>
  </si>
  <si>
    <t xml:space="preserve">Kab. Subang </t>
  </si>
  <si>
    <t xml:space="preserve">Kab. Purwakarta </t>
  </si>
  <si>
    <t xml:space="preserve">Kab. Karawang </t>
  </si>
  <si>
    <t xml:space="preserve">Kab. Bekasi </t>
  </si>
  <si>
    <t xml:space="preserve">Kab. Bandung </t>
  </si>
  <si>
    <t xml:space="preserve">Kota Bandung </t>
  </si>
  <si>
    <t xml:space="preserve">Kab. Sumedang </t>
  </si>
  <si>
    <t xml:space="preserve">Kab. Garut </t>
  </si>
  <si>
    <t xml:space="preserve">Kab. Tasikmalaya </t>
  </si>
  <si>
    <t xml:space="preserve">Kota Tasikmalaya </t>
  </si>
  <si>
    <t xml:space="preserve">Kab. Ciamis </t>
  </si>
  <si>
    <t xml:space="preserve">Kota Banjar </t>
  </si>
  <si>
    <t>Kab. Bandung Barat</t>
  </si>
  <si>
    <t xml:space="preserve">Kab. Pangandaran </t>
  </si>
  <si>
    <t xml:space="preserve">Kab. Pandeglang </t>
  </si>
  <si>
    <t xml:space="preserve">Kab. Lebak </t>
  </si>
  <si>
    <t xml:space="preserve">Kab. Serang </t>
  </si>
  <si>
    <t xml:space="preserve">Kota Cilegon </t>
  </si>
  <si>
    <t xml:space="preserve">Kota Serang </t>
  </si>
  <si>
    <t>Kab. Tangerang</t>
  </si>
  <si>
    <t xml:space="preserve">Kab. Semarang </t>
  </si>
  <si>
    <t xml:space="preserve">Kab. Kendal </t>
  </si>
  <si>
    <t xml:space="preserve">Kab. Pemalang </t>
  </si>
  <si>
    <t xml:space="preserve">Kab. Pekalongan </t>
  </si>
  <si>
    <t xml:space="preserve">Kab. Batang </t>
  </si>
  <si>
    <t xml:space="preserve">Kab. Tegal </t>
  </si>
  <si>
    <t xml:space="preserve">Kab. Brebes </t>
  </si>
  <si>
    <t xml:space="preserve">Kab. Purbalingga </t>
  </si>
  <si>
    <t xml:space="preserve">Kab. Cilacap </t>
  </si>
  <si>
    <t xml:space="preserve">Kab. Banyumas </t>
  </si>
  <si>
    <t xml:space="preserve">Kab. Banjarnegara </t>
  </si>
  <si>
    <t xml:space="preserve">Kab. Kebumen </t>
  </si>
  <si>
    <t xml:space="preserve">Kab. Purworejo </t>
  </si>
  <si>
    <t xml:space="preserve">Kab. Magelang </t>
  </si>
  <si>
    <t xml:space="preserve">Kab. Boyolali </t>
  </si>
  <si>
    <t xml:space="preserve">Kab. Temanggung </t>
  </si>
  <si>
    <t xml:space="preserve">Kab. Wonosobo </t>
  </si>
  <si>
    <t xml:space="preserve">Kab. Wonogiri </t>
  </si>
  <si>
    <t xml:space="preserve">Kab. Kudus </t>
  </si>
  <si>
    <t xml:space="preserve">Kab. Pati </t>
  </si>
  <si>
    <t xml:space="preserve">Kab. Jepara </t>
  </si>
  <si>
    <t>Kab. Karang Anyar</t>
  </si>
  <si>
    <t xml:space="preserve">Kab. Gunung Kidul </t>
  </si>
  <si>
    <t xml:space="preserve">Kab. Bantul </t>
  </si>
  <si>
    <t xml:space="preserve">Kab. Sleman </t>
  </si>
  <si>
    <t xml:space="preserve">Kab. Kulon Progo </t>
  </si>
  <si>
    <t>Kota Yogyakarta</t>
  </si>
  <si>
    <t>DIY</t>
  </si>
  <si>
    <t xml:space="preserve">Kab. Gresik </t>
  </si>
  <si>
    <t xml:space="preserve">Kab. Jombang </t>
  </si>
  <si>
    <t xml:space="preserve">Kab. Tuban </t>
  </si>
  <si>
    <t xml:space="preserve">Kab. Madiun </t>
  </si>
  <si>
    <t xml:space="preserve">Kab. Magetan </t>
  </si>
  <si>
    <t xml:space="preserve">Kab. Ngawi </t>
  </si>
  <si>
    <t xml:space="preserve">Kab. Kediri </t>
  </si>
  <si>
    <t xml:space="preserve">Kab. Ponorogo </t>
  </si>
  <si>
    <t xml:space="preserve">Kab. Pacitan </t>
  </si>
  <si>
    <t xml:space="preserve">Kab. Nganjuk </t>
  </si>
  <si>
    <t xml:space="preserve">Kab. Blitar </t>
  </si>
  <si>
    <t xml:space="preserve">Kab. Tulungagung </t>
  </si>
  <si>
    <t xml:space="preserve">Kab. Trenggalek </t>
  </si>
  <si>
    <t xml:space="preserve">Kab. Malang </t>
  </si>
  <si>
    <t xml:space="preserve">Kab. Probolinggo </t>
  </si>
  <si>
    <t xml:space="preserve">Kab. Lumajang </t>
  </si>
  <si>
    <t xml:space="preserve">Kab. Jember </t>
  </si>
  <si>
    <t xml:space="preserve">Kab. Bondowoso </t>
  </si>
  <si>
    <t xml:space="preserve">Kab. Banyuwangi </t>
  </si>
  <si>
    <t xml:space="preserve">Kab. Bangkalan </t>
  </si>
  <si>
    <t xml:space="preserve">Kab. Pamekasan </t>
  </si>
  <si>
    <t>Kab. Sumenep</t>
  </si>
  <si>
    <t>Kab. Jembrana</t>
  </si>
  <si>
    <t>Kab. Tabanan</t>
  </si>
  <si>
    <t>Kab. Badung</t>
  </si>
  <si>
    <t>Kab. Gianyar</t>
  </si>
  <si>
    <t>Kab. Bangli</t>
  </si>
  <si>
    <t>Kab. Klungkung</t>
  </si>
  <si>
    <t>Kab. Karangasem</t>
  </si>
  <si>
    <t>Kab. Buleleng</t>
  </si>
  <si>
    <t>Kota Denpasar</t>
  </si>
  <si>
    <t>Kab. Lombok Barat</t>
  </si>
  <si>
    <t>Kab. Lombok Tengah</t>
  </si>
  <si>
    <t>Kab. Lombok Timur</t>
  </si>
  <si>
    <t>Kab. Lombok Utara</t>
  </si>
  <si>
    <t>Kab. Sumbawa</t>
  </si>
  <si>
    <t>Kab. Sumbawa Barat</t>
  </si>
  <si>
    <t>Kab. Dompu</t>
  </si>
  <si>
    <t>Kab. Bima</t>
  </si>
  <si>
    <t>Kota Bima</t>
  </si>
  <si>
    <t>Kota Mataram</t>
  </si>
  <si>
    <t>Kab. Kupang</t>
  </si>
  <si>
    <t>Kab. Timor Tengah Selatan</t>
  </si>
  <si>
    <t>Kab. Timor Tengah Utara</t>
  </si>
  <si>
    <t>Kab. B e l u</t>
  </si>
  <si>
    <t>Kab. A l o r</t>
  </si>
  <si>
    <t>Kab. Lembata</t>
  </si>
  <si>
    <t>Kab. Flores Timur</t>
  </si>
  <si>
    <t>Kab. Sikka</t>
  </si>
  <si>
    <t>Kab. E n d e</t>
  </si>
  <si>
    <t>Kab. Ngada</t>
  </si>
  <si>
    <t>Kab. Nagekeo</t>
  </si>
  <si>
    <t>Kab. Manggarai</t>
  </si>
  <si>
    <t>Kab. Manggarai Timur</t>
  </si>
  <si>
    <t>Kab. Manggarai Barat</t>
  </si>
  <si>
    <t>Kab. Sumba Timur</t>
  </si>
  <si>
    <t>Kab. Sumba Barat</t>
  </si>
  <si>
    <t>Kab. Sumba Barat Daya</t>
  </si>
  <si>
    <t>Kab. Sumba Tengah</t>
  </si>
  <si>
    <t>Kab. Malaka</t>
  </si>
  <si>
    <t>Kab. Rote Ndao</t>
  </si>
  <si>
    <t>Kab. Pontianak</t>
  </si>
  <si>
    <t>Kab. Landak</t>
  </si>
  <si>
    <t>Kab. Sambas</t>
  </si>
  <si>
    <t>Kab. Bengkayang</t>
  </si>
  <si>
    <t>Kab. Singkawang</t>
  </si>
  <si>
    <t>Kab. Sanggau</t>
  </si>
  <si>
    <t>Kab. Sekadau</t>
  </si>
  <si>
    <t>Kab. Sintang</t>
  </si>
  <si>
    <t>Kab. Melawi</t>
  </si>
  <si>
    <t>Kab. Kapuas Hulu</t>
  </si>
  <si>
    <t>Kab. Ketapang</t>
  </si>
  <si>
    <t>Kab. Kayong Utara</t>
  </si>
  <si>
    <t>Kab. Kubu Raya</t>
  </si>
  <si>
    <t>Kab. Menpawah</t>
  </si>
  <si>
    <t>Kab. Mura</t>
  </si>
  <si>
    <t>Kab. Barito Utara</t>
  </si>
  <si>
    <t>Kab. Barito Selatan</t>
  </si>
  <si>
    <t>Kab. Barito Timur</t>
  </si>
  <si>
    <t>Kota Palangkaraya</t>
  </si>
  <si>
    <t>Kab. Kota Waringin Barat</t>
  </si>
  <si>
    <t>Kab. Sukamara</t>
  </si>
  <si>
    <t>Kab. Lamandau</t>
  </si>
  <si>
    <t>Kab. Katingan</t>
  </si>
  <si>
    <t>Kab. Kapuas</t>
  </si>
  <si>
    <t>Kab. Tabalong</t>
  </si>
  <si>
    <t>Kab. Hulu Sungai Utara</t>
  </si>
  <si>
    <t>Kab. Hulu Sungai Selatan</t>
  </si>
  <si>
    <t>Kab. Hulu Sungai Tengah</t>
  </si>
  <si>
    <t>Kab. Tanah Laut</t>
  </si>
  <si>
    <t>Kab. Kotabaru</t>
  </si>
  <si>
    <t>Kab. Tanah Bumbu</t>
  </si>
  <si>
    <t>Kab. Banjar</t>
  </si>
  <si>
    <t>Kota Banjarmasin</t>
  </si>
  <si>
    <t>Kota Samarinda</t>
  </si>
  <si>
    <t>Kota Balikpapan</t>
  </si>
  <si>
    <t>Kab. Kutai Kertanegara</t>
  </si>
  <si>
    <t>Kab. Kutai Barat</t>
  </si>
  <si>
    <t>Kab. Kutai Timur</t>
  </si>
  <si>
    <t>Kab. Bontang</t>
  </si>
  <si>
    <t>Kab. Paser</t>
  </si>
  <si>
    <t>Kab. Penajam Paser Utara</t>
  </si>
  <si>
    <t>Kab. Berau</t>
  </si>
  <si>
    <t>Kab. Mahakam Hulu</t>
  </si>
  <si>
    <t>Kab. Bulungan</t>
  </si>
  <si>
    <t>Kab. Malinau</t>
  </si>
  <si>
    <t>Kab. Nunukan</t>
  </si>
  <si>
    <t>Kab. Tarakan</t>
  </si>
  <si>
    <t>Kab. Tana Tidung</t>
  </si>
  <si>
    <t>Kab. Minahasa</t>
  </si>
  <si>
    <t>Kab. Minahasa Selatan</t>
  </si>
  <si>
    <t>Kab. Minahasa Utara</t>
  </si>
  <si>
    <t>Kab. Minahasa Tenggara</t>
  </si>
  <si>
    <t>Kab. Bolmong Selatan</t>
  </si>
  <si>
    <t>Kab. Bolmong Timur</t>
  </si>
  <si>
    <t>Kab. Bolaang Mongondow</t>
  </si>
  <si>
    <t>Kab. Bolmong Utara</t>
  </si>
  <si>
    <t>Kab. Kep. Sangihe</t>
  </si>
  <si>
    <t>Kab. Kep. Talaud</t>
  </si>
  <si>
    <t>Kab. Kep. Sitaro</t>
  </si>
  <si>
    <t>Kota Manado</t>
  </si>
  <si>
    <t>Kota Bitung</t>
  </si>
  <si>
    <t>Kota Tomohon</t>
  </si>
  <si>
    <t>Kota Kotamobagu</t>
  </si>
  <si>
    <t>Kab. Bone Bolango</t>
  </si>
  <si>
    <t>Kab. Gorontalo</t>
  </si>
  <si>
    <t>Kab. Gorontalo Utara</t>
  </si>
  <si>
    <t>Kab. Boalemo</t>
  </si>
  <si>
    <t>Kab. Pohuwato</t>
  </si>
  <si>
    <t>Kota P a l u</t>
  </si>
  <si>
    <t>Kab. Donggala</t>
  </si>
  <si>
    <t>Kab. Sigi Biromaru</t>
  </si>
  <si>
    <t>Kab. Parigi Mountong</t>
  </si>
  <si>
    <t>Kab. P o s o</t>
  </si>
  <si>
    <t>Kab. Morowali</t>
  </si>
  <si>
    <t>Kab. Banggai</t>
  </si>
  <si>
    <t>Kab. Banggai Kepulauan</t>
  </si>
  <si>
    <t>Kab. Toli-toli</t>
  </si>
  <si>
    <t>Kab. Buol</t>
  </si>
  <si>
    <t>Kab. Toja una-una</t>
  </si>
  <si>
    <t>Kab. Morowali Utara</t>
  </si>
  <si>
    <t>Kab. Banggai Laut</t>
  </si>
  <si>
    <t>Kab. L u w u</t>
  </si>
  <si>
    <t>Kab. L u w u Utara</t>
  </si>
  <si>
    <t>Kab. L u w u Timur</t>
  </si>
  <si>
    <t>Kab. Palopo</t>
  </si>
  <si>
    <t>Kab. Tanatoraja</t>
  </si>
  <si>
    <t>Kab. Toraja Utara</t>
  </si>
  <si>
    <t>Kab. Bone</t>
  </si>
  <si>
    <t>Kab. Soppeng</t>
  </si>
  <si>
    <t>Kab. W a j o</t>
  </si>
  <si>
    <t>Kab. Sinjai</t>
  </si>
  <si>
    <t>Kab. Bulukumba</t>
  </si>
  <si>
    <t>Kab. Selayar</t>
  </si>
  <si>
    <t>Kab. Bantaeng</t>
  </si>
  <si>
    <t>Kab. Jeneponto</t>
  </si>
  <si>
    <t>Kab. Takalar</t>
  </si>
  <si>
    <t>Kab. Gowa</t>
  </si>
  <si>
    <t>Kab. Maros</t>
  </si>
  <si>
    <t>Kab. Pangkajene Kepulauan</t>
  </si>
  <si>
    <t>Kab. Barru</t>
  </si>
  <si>
    <t>Kab. Pinrang</t>
  </si>
  <si>
    <t>Kab. Sidenreng Rappang</t>
  </si>
  <si>
    <t>Kab. Enrekang</t>
  </si>
  <si>
    <t>Kab. Polewali Mandar</t>
  </si>
  <si>
    <t>Kab. Mamasa</t>
  </si>
  <si>
    <t>Kab. Majene</t>
  </si>
  <si>
    <t>Kab. Mamuju</t>
  </si>
  <si>
    <t>Kab. Mamuju Tengah</t>
  </si>
  <si>
    <t>Kab. Mamuju Utara</t>
  </si>
  <si>
    <t>Kab. Konawe</t>
  </si>
  <si>
    <t>Kab. Kolaka</t>
  </si>
  <si>
    <t>Kab. M u n a</t>
  </si>
  <si>
    <t>Kab. Buton</t>
  </si>
  <si>
    <t>Kota Kendari</t>
  </si>
  <si>
    <t>Kota Bau-Bau</t>
  </si>
  <si>
    <t>Kab. Konawe Selatan</t>
  </si>
  <si>
    <t>Kota Bombana</t>
  </si>
  <si>
    <t>Kota Wakatobi</t>
  </si>
  <si>
    <t>Kab. Kolaka Utara</t>
  </si>
  <si>
    <t>Kab. Konawe Utara</t>
  </si>
  <si>
    <t>Kab. Buton Utara</t>
  </si>
  <si>
    <t>Kab. Kolaka Timur</t>
  </si>
  <si>
    <t>Kab. Konawe Kepulauan</t>
  </si>
  <si>
    <t>Kab. Maluku Tenggara Barat</t>
  </si>
  <si>
    <t>Kab. Maluku Baratdaya</t>
  </si>
  <si>
    <t>Kab. Maluku Tenggara</t>
  </si>
  <si>
    <t>Kota Tual</t>
  </si>
  <si>
    <t>Kab. Kep. Aru</t>
  </si>
  <si>
    <t>Kab. Maluku Tengah</t>
  </si>
  <si>
    <t>Kab. Seeram Bagian Timur</t>
  </si>
  <si>
    <t>Kab. Buru</t>
  </si>
  <si>
    <t>Kab. Buru Selatan</t>
  </si>
  <si>
    <t>Kab. Seram Bagian Barat</t>
  </si>
  <si>
    <t>Kota Ambon</t>
  </si>
  <si>
    <t>Kab. Halmahera Utara</t>
  </si>
  <si>
    <t>Kab. Morotai</t>
  </si>
  <si>
    <t>Kab. Halmahera Selatan</t>
  </si>
  <si>
    <t>Kab. Halmahera Timur</t>
  </si>
  <si>
    <t>Kab. Halmahera Barat</t>
  </si>
  <si>
    <t>Kab. Halmahera Tengah</t>
  </si>
  <si>
    <t>Kab. Kepulauan Sula</t>
  </si>
  <si>
    <t>Kota Tidore Kep.</t>
  </si>
  <si>
    <t>Kota Ternate</t>
  </si>
  <si>
    <t>Kab. Taliabu</t>
  </si>
  <si>
    <t>Kab. Jayapura</t>
  </si>
  <si>
    <t>Kab. Keeroom</t>
  </si>
  <si>
    <t>Kab. Sarmi</t>
  </si>
  <si>
    <t>Kab. Asmat</t>
  </si>
  <si>
    <t>Kab. Boven Digul</t>
  </si>
  <si>
    <t>Kab. Mappi</t>
  </si>
  <si>
    <t>Kab. Yahukimo</t>
  </si>
  <si>
    <t>Kab. Kep. Yapen</t>
  </si>
  <si>
    <t>Kab. Waropen</t>
  </si>
  <si>
    <t>Kab. Nabire</t>
  </si>
  <si>
    <t>Kab. Biak Numfor</t>
  </si>
  <si>
    <t>Kab. Puncak Jaya</t>
  </si>
  <si>
    <t>Kota Jayapura</t>
  </si>
  <si>
    <t>Kab. Mimika</t>
  </si>
  <si>
    <t>Kab. Manokwari</t>
  </si>
  <si>
    <t>Kab. Sorong</t>
  </si>
  <si>
    <t>Kab. Sorong Selatan</t>
  </si>
  <si>
    <t>Kab. Raja Ampat</t>
  </si>
  <si>
    <t>Kab. Teluk Bintuni</t>
  </si>
  <si>
    <t>Kota Teluk Wondama</t>
  </si>
  <si>
    <t>Kab. Fak-fak</t>
  </si>
  <si>
    <t>Kab. Kaimana</t>
  </si>
  <si>
    <t>Kota Sorong</t>
  </si>
  <si>
    <t>Kab. Tambraw</t>
  </si>
  <si>
    <t>Kab. Maybret</t>
  </si>
  <si>
    <t>Kab. Aceh Besar</t>
  </si>
  <si>
    <t>Kab.Pidie</t>
  </si>
  <si>
    <t>Kab.Pidie Jaya</t>
  </si>
  <si>
    <t>Kab.Bireun</t>
  </si>
  <si>
    <t>Kab.Aceh Tengah</t>
  </si>
  <si>
    <t>Kab.Aceh Utara</t>
  </si>
  <si>
    <t>Kab.Lhokseumawe</t>
  </si>
  <si>
    <t>Kab.Aceh Timur</t>
  </si>
  <si>
    <t>Kep Bangka Belitung</t>
  </si>
  <si>
    <t>Kab.Langsa</t>
  </si>
  <si>
    <t>Kab.Aceh Tamiang</t>
  </si>
  <si>
    <t>Kab.Aceh Tenggara</t>
  </si>
  <si>
    <t>Kab.Gayo Lues</t>
  </si>
  <si>
    <t>Kab.Aceh Jaya</t>
  </si>
  <si>
    <t>Kab.Aceh Barat</t>
  </si>
  <si>
    <t>Di Yogyakarta</t>
  </si>
  <si>
    <t>Kab.Nagan Raya</t>
  </si>
  <si>
    <t>Kab.Simeuleu</t>
  </si>
  <si>
    <t>Kab.Aceh Barat Daya</t>
  </si>
  <si>
    <t>NTB</t>
  </si>
  <si>
    <t>Kab.Aceh Selatan</t>
  </si>
  <si>
    <t>NTT</t>
  </si>
  <si>
    <t>Kota Aceh Singkil</t>
  </si>
  <si>
    <t>Kota Sabang</t>
  </si>
  <si>
    <t>Kab.Bener Meriah</t>
  </si>
  <si>
    <t>1..012</t>
  </si>
  <si>
    <t>Kab. Padang Lawas</t>
  </si>
  <si>
    <t xml:space="preserve">Kab. Padang Lawas </t>
  </si>
  <si>
    <t>Kota P. Sidimpuan</t>
  </si>
  <si>
    <t>Kab Bintan</t>
  </si>
  <si>
    <t>Kab Pasang Kayu</t>
  </si>
  <si>
    <t>Kab. Muna Barat</t>
  </si>
  <si>
    <t>Kab. Buton Selatan</t>
  </si>
  <si>
    <t>Kab. Buton Tengah</t>
  </si>
  <si>
    <t>Kab. Pegunungan Bintang</t>
  </si>
  <si>
    <t>Kab. Memberamo Raya</t>
  </si>
  <si>
    <t>Kab Manokwari Selatan</t>
  </si>
  <si>
    <r>
      <rPr>
        <sz val="9"/>
        <color rgb="FF010202"/>
        <rFont val="Times New Roman"/>
        <family val="1"/>
      </rPr>
      <t>Kab.   Simeuleu</t>
    </r>
  </si>
  <si>
    <r>
      <rPr>
        <sz val="9"/>
        <color rgb="FF010202"/>
        <rFont val="Times New Roman"/>
        <family val="1"/>
      </rPr>
      <t>Kab.   Aceh Singkil</t>
    </r>
  </si>
  <si>
    <r>
      <rPr>
        <sz val="9"/>
        <color rgb="FF010202"/>
        <rFont val="Times New Roman"/>
        <family val="1"/>
      </rPr>
      <t>Kab.   Aceh Selatan</t>
    </r>
  </si>
  <si>
    <r>
      <rPr>
        <sz val="9"/>
        <color rgb="FF010202"/>
        <rFont val="Times New Roman"/>
        <family val="1"/>
      </rPr>
      <t>Kab.   Aceh Tenggara</t>
    </r>
  </si>
  <si>
    <r>
      <rPr>
        <sz val="9"/>
        <color rgb="FF010202"/>
        <rFont val="Times New Roman"/>
        <family val="1"/>
      </rPr>
      <t>Kab.   Aceh Timur</t>
    </r>
  </si>
  <si>
    <r>
      <rPr>
        <sz val="9"/>
        <color rgb="FF010202"/>
        <rFont val="Times New Roman"/>
        <family val="1"/>
      </rPr>
      <t>Kab.   Aceh Tengah</t>
    </r>
  </si>
  <si>
    <r>
      <rPr>
        <sz val="9"/>
        <color rgb="FF010202"/>
        <rFont val="Times New Roman"/>
        <family val="1"/>
      </rPr>
      <t>Kab.   Aceh Barat</t>
    </r>
  </si>
  <si>
    <r>
      <rPr>
        <sz val="9"/>
        <color rgb="FF010202"/>
        <rFont val="Times New Roman"/>
        <family val="1"/>
      </rPr>
      <t>Kab.   Aceh Besar</t>
    </r>
  </si>
  <si>
    <r>
      <rPr>
        <sz val="9"/>
        <color rgb="FF010202"/>
        <rFont val="Times New Roman"/>
        <family val="1"/>
      </rPr>
      <t>Kab.   Pidie</t>
    </r>
  </si>
  <si>
    <r>
      <rPr>
        <sz val="9"/>
        <color rgb="FF010202"/>
        <rFont val="Times New Roman"/>
        <family val="1"/>
      </rPr>
      <t>Kab.   Bireun</t>
    </r>
  </si>
  <si>
    <r>
      <rPr>
        <sz val="9"/>
        <color rgb="FF010202"/>
        <rFont val="Times New Roman"/>
        <family val="1"/>
      </rPr>
      <t>Kab.   Aceh Utara</t>
    </r>
  </si>
  <si>
    <r>
      <rPr>
        <sz val="9"/>
        <color rgb="FF010202"/>
        <rFont val="Times New Roman"/>
        <family val="1"/>
      </rPr>
      <t>Kab.   Aceh Barat Daya</t>
    </r>
  </si>
  <si>
    <r>
      <rPr>
        <sz val="9"/>
        <color rgb="FF010202"/>
        <rFont val="Times New Roman"/>
        <family val="1"/>
      </rPr>
      <t>Kab.   Gayo Lues</t>
    </r>
  </si>
  <si>
    <r>
      <rPr>
        <sz val="9"/>
        <color rgb="FF010202"/>
        <rFont val="Times New Roman"/>
        <family val="1"/>
      </rPr>
      <t>Kab.   Aceh Tamiang</t>
    </r>
  </si>
  <si>
    <r>
      <rPr>
        <sz val="9"/>
        <color rgb="FF010202"/>
        <rFont val="Times New Roman"/>
        <family val="1"/>
      </rPr>
      <t>Kab.   Nagan Raya</t>
    </r>
  </si>
  <si>
    <r>
      <rPr>
        <sz val="9"/>
        <color rgb="FF010202"/>
        <rFont val="Times New Roman"/>
        <family val="1"/>
      </rPr>
      <t>Kab.   Aceh Jaya</t>
    </r>
  </si>
  <si>
    <r>
      <rPr>
        <sz val="9"/>
        <color rgb="FF010202"/>
        <rFont val="Times New Roman"/>
        <family val="1"/>
      </rPr>
      <t>Kab.   Bener Meriah</t>
    </r>
  </si>
  <si>
    <r>
      <rPr>
        <sz val="9"/>
        <color rgb="FF010202"/>
        <rFont val="Times New Roman"/>
        <family val="1"/>
      </rPr>
      <t>Kab.   Pidie Jaya</t>
    </r>
  </si>
  <si>
    <r>
      <rPr>
        <sz val="9"/>
        <color rgb="FF010202"/>
        <rFont val="Times New Roman"/>
        <family val="1"/>
      </rPr>
      <t>Kota   Sabang</t>
    </r>
  </si>
  <si>
    <r>
      <rPr>
        <sz val="9"/>
        <color rgb="FF010202"/>
        <rFont val="Times New Roman"/>
        <family val="1"/>
      </rPr>
      <t>Kota   Langsa</t>
    </r>
  </si>
  <si>
    <r>
      <rPr>
        <sz val="9"/>
        <color rgb="FF010202"/>
        <rFont val="Times New Roman"/>
        <family val="1"/>
      </rPr>
      <t>Kota   Lhokseumawe</t>
    </r>
  </si>
  <si>
    <r>
      <rPr>
        <sz val="9"/>
        <color rgb="FF010202"/>
        <rFont val="Times New Roman"/>
        <family val="1"/>
      </rPr>
      <t>Kota   Subulussalam</t>
    </r>
  </si>
  <si>
    <t>Kab. Kampar</t>
  </si>
  <si>
    <t>Kab. Rokan Hulu</t>
  </si>
  <si>
    <t>Kab. Bengkalis</t>
  </si>
  <si>
    <t>Kab. Rokan Hilir</t>
  </si>
  <si>
    <t>Kab. Pekanbaru</t>
  </si>
  <si>
    <t>Kab. Dumai</t>
  </si>
  <si>
    <t>Kab. Bintan</t>
  </si>
  <si>
    <t>Kab. Merangin</t>
  </si>
  <si>
    <t>Kab. Sarolangun</t>
  </si>
  <si>
    <t>Kab. Batanghari</t>
  </si>
  <si>
    <t>Kab. Muaro Jambi</t>
  </si>
  <si>
    <t>Kab. Tanjung Jabung Timur</t>
  </si>
  <si>
    <t>Kab. T e b o</t>
  </si>
  <si>
    <t>Kab. Bungo</t>
  </si>
  <si>
    <t>Kab. Sungai Penuh</t>
  </si>
  <si>
    <t>Kota Bogor</t>
  </si>
  <si>
    <t>Kota Sukabumi</t>
  </si>
  <si>
    <t>Kota Cirebon</t>
  </si>
  <si>
    <t>Kota Bandung</t>
  </si>
  <si>
    <t>Kota Tasikmalaya</t>
  </si>
  <si>
    <t>Kota Banjar</t>
  </si>
  <si>
    <t>Kab Bogor</t>
  </si>
  <si>
    <t>Kab Semarang</t>
  </si>
  <si>
    <t>Kab Kendal</t>
  </si>
  <si>
    <t>Kab Pemalang</t>
  </si>
  <si>
    <t>Kab Sukabumi</t>
  </si>
  <si>
    <t>Kab Cianjur</t>
  </si>
  <si>
    <t>Kab Bandung</t>
  </si>
  <si>
    <t>Kab Garut</t>
  </si>
  <si>
    <t>Kab Tasikmalaya</t>
  </si>
  <si>
    <t>Kab Ciamis</t>
  </si>
  <si>
    <t>Kab Kuningan</t>
  </si>
  <si>
    <t>Kab Cirebon</t>
  </si>
  <si>
    <t>Kab Majalengka</t>
  </si>
  <si>
    <t>Kab Sumedang</t>
  </si>
  <si>
    <t>Kab Indramayu</t>
  </si>
  <si>
    <t>Kab Subang</t>
  </si>
  <si>
    <t>Kab Purwakarta</t>
  </si>
  <si>
    <t>Kab Karawang</t>
  </si>
  <si>
    <t>Kab Bekasi</t>
  </si>
  <si>
    <t>Kab Bandung Barat</t>
  </si>
  <si>
    <t>Kab Pangandaran</t>
  </si>
  <si>
    <t>Kab Cilacap</t>
  </si>
  <si>
    <t>Kab Banyumas</t>
  </si>
  <si>
    <t>Kab Purbalingga</t>
  </si>
  <si>
    <t>Kab Banjarnegara</t>
  </si>
  <si>
    <t>Kab Kebumen</t>
  </si>
  <si>
    <t>Kab Purworejo</t>
  </si>
  <si>
    <t>Kab Wonosobo</t>
  </si>
  <si>
    <t>Kab Magelang</t>
  </si>
  <si>
    <t>Kab Boyolali</t>
  </si>
  <si>
    <t>Kab Sukoharjo</t>
  </si>
  <si>
    <t>Kab Wonogiri</t>
  </si>
  <si>
    <t>Kab Karang Anyar</t>
  </si>
  <si>
    <t>Kab Pati</t>
  </si>
  <si>
    <t>Kab Kudus</t>
  </si>
  <si>
    <t>Kab Jepara</t>
  </si>
  <si>
    <t>Kab Temanggung</t>
  </si>
  <si>
    <t>Kab Batang</t>
  </si>
  <si>
    <t>Kab Pekalongan</t>
  </si>
  <si>
    <t>Kab Tegal</t>
  </si>
  <si>
    <t>Kab Brebes</t>
  </si>
  <si>
    <r>
      <rPr>
        <sz val="9"/>
        <color rgb="FF010202"/>
        <rFont val="Times New Roman"/>
        <family val="1"/>
      </rPr>
      <t>Kab.    Ponorogo</t>
    </r>
  </si>
  <si>
    <r>
      <rPr>
        <sz val="9"/>
        <color rgb="FF010202"/>
        <rFont val="Times New Roman"/>
        <family val="1"/>
      </rPr>
      <t>Kab.    Trenggalek</t>
    </r>
  </si>
  <si>
    <r>
      <rPr>
        <sz val="9"/>
        <color rgb="FF010202"/>
        <rFont val="Times New Roman"/>
        <family val="1"/>
      </rPr>
      <t>Kab.    Tulungagung</t>
    </r>
  </si>
  <si>
    <r>
      <rPr>
        <sz val="9"/>
        <color rgb="FF010202"/>
        <rFont val="Times New Roman"/>
        <family val="1"/>
      </rPr>
      <t>Kab.    Blitar</t>
    </r>
  </si>
  <si>
    <r>
      <rPr>
        <sz val="9"/>
        <color rgb="FF010202"/>
        <rFont val="Times New Roman"/>
        <family val="1"/>
      </rPr>
      <t>Kab.    Kediri</t>
    </r>
  </si>
  <si>
    <r>
      <rPr>
        <sz val="9"/>
        <color rgb="FF010202"/>
        <rFont val="Times New Roman"/>
        <family val="1"/>
      </rPr>
      <t>Kab.    Malang</t>
    </r>
  </si>
  <si>
    <r>
      <rPr>
        <sz val="9"/>
        <color rgb="FF010202"/>
        <rFont val="Times New Roman"/>
        <family val="1"/>
      </rPr>
      <t>Kab.    Lumajang</t>
    </r>
  </si>
  <si>
    <r>
      <rPr>
        <sz val="9"/>
        <color rgb="FF010202"/>
        <rFont val="Times New Roman"/>
        <family val="1"/>
      </rPr>
      <t>Kab.    Jember</t>
    </r>
  </si>
  <si>
    <r>
      <rPr>
        <sz val="9"/>
        <color rgb="FF010202"/>
        <rFont val="Times New Roman"/>
        <family val="1"/>
      </rPr>
      <t>Kab.    Banyuwangi</t>
    </r>
  </si>
  <si>
    <r>
      <rPr>
        <sz val="9"/>
        <color rgb="FF010202"/>
        <rFont val="Times New Roman"/>
        <family val="1"/>
      </rPr>
      <t>Kab.    Bondowoso</t>
    </r>
  </si>
  <si>
    <r>
      <rPr>
        <sz val="9"/>
        <color rgb="FF010202"/>
        <rFont val="Times New Roman"/>
        <family val="1"/>
      </rPr>
      <t>Kab.    Probolinggo</t>
    </r>
  </si>
  <si>
    <r>
      <rPr>
        <sz val="9"/>
        <color rgb="FF010202"/>
        <rFont val="Times New Roman"/>
        <family val="1"/>
      </rPr>
      <t>Kab.    Jombang</t>
    </r>
  </si>
  <si>
    <r>
      <rPr>
        <sz val="9"/>
        <color rgb="FF010202"/>
        <rFont val="Times New Roman"/>
        <family val="1"/>
      </rPr>
      <t>Kab.    Nganjuk</t>
    </r>
  </si>
  <si>
    <r>
      <rPr>
        <sz val="9"/>
        <color rgb="FF010202"/>
        <rFont val="Times New Roman"/>
        <family val="1"/>
      </rPr>
      <t>Kab.    Madiun</t>
    </r>
  </si>
  <si>
    <r>
      <rPr>
        <sz val="9"/>
        <color rgb="FF010202"/>
        <rFont val="Times New Roman"/>
        <family val="1"/>
      </rPr>
      <t>Kab.    Magetan</t>
    </r>
  </si>
  <si>
    <r>
      <rPr>
        <sz val="9"/>
        <color rgb="FF010202"/>
        <rFont val="Times New Roman"/>
        <family val="1"/>
      </rPr>
      <t>Kab.    Ngawi</t>
    </r>
  </si>
  <si>
    <r>
      <rPr>
        <sz val="9"/>
        <color rgb="FF010202"/>
        <rFont val="Times New Roman"/>
        <family val="1"/>
      </rPr>
      <t>Kab.    Tuban</t>
    </r>
  </si>
  <si>
    <r>
      <rPr>
        <sz val="9"/>
        <color rgb="FF010202"/>
        <rFont val="Times New Roman"/>
        <family val="1"/>
      </rPr>
      <t>Kab.    Gresik</t>
    </r>
  </si>
  <si>
    <r>
      <rPr>
        <sz val="9"/>
        <color rgb="FF010202"/>
        <rFont val="Times New Roman"/>
        <family val="1"/>
      </rPr>
      <t>Kab.    Bangkalan</t>
    </r>
  </si>
  <si>
    <r>
      <rPr>
        <sz val="9"/>
        <color rgb="FF010202"/>
        <rFont val="Times New Roman"/>
        <family val="1"/>
      </rPr>
      <t>Kab.    Pamekasan</t>
    </r>
  </si>
  <si>
    <r>
      <rPr>
        <sz val="9"/>
        <color rgb="FF010202"/>
        <rFont val="Times New Roman"/>
        <family val="1"/>
      </rPr>
      <t>Kab.    Sumenep</t>
    </r>
  </si>
  <si>
    <t>Kab. Kota Waringin Timur</t>
  </si>
  <si>
    <t>Kab Seruyan</t>
  </si>
  <si>
    <t>Kab Barito Timur</t>
  </si>
  <si>
    <t>Kab. Murung Raya</t>
  </si>
  <si>
    <r>
      <rPr>
        <sz val="9"/>
        <color rgb="FF010202"/>
        <rFont val="Times New Roman"/>
        <family val="1"/>
      </rPr>
      <t>Kab.   Nias</t>
    </r>
  </si>
  <si>
    <r>
      <rPr>
        <sz val="9"/>
        <color rgb="FF010202"/>
        <rFont val="Times New Roman"/>
        <family val="1"/>
      </rPr>
      <t>Kab.   Mandailing Natal</t>
    </r>
  </si>
  <si>
    <r>
      <rPr>
        <sz val="9"/>
        <color rgb="FF010202"/>
        <rFont val="Times New Roman"/>
        <family val="1"/>
      </rPr>
      <t>Kab.   Tapanuli Selatan</t>
    </r>
  </si>
  <si>
    <r>
      <rPr>
        <sz val="9"/>
        <color rgb="FF010202"/>
        <rFont val="Times New Roman"/>
        <family val="1"/>
      </rPr>
      <t>Kab.   Tapanuli Tengah</t>
    </r>
  </si>
  <si>
    <r>
      <rPr>
        <sz val="9"/>
        <color rgb="FF010202"/>
        <rFont val="Times New Roman"/>
        <family val="1"/>
      </rPr>
      <t>Kab.   Tapanuli Utara</t>
    </r>
  </si>
  <si>
    <r>
      <rPr>
        <sz val="9"/>
        <color rgb="FF010202"/>
        <rFont val="Times New Roman"/>
        <family val="1"/>
      </rPr>
      <t>Kab.   Toba Samosir</t>
    </r>
  </si>
  <si>
    <r>
      <rPr>
        <sz val="9"/>
        <color rgb="FF010202"/>
        <rFont val="Times New Roman"/>
        <family val="1"/>
      </rPr>
      <t>Kab.   Labuhan batu</t>
    </r>
  </si>
  <si>
    <r>
      <rPr>
        <sz val="9"/>
        <color rgb="FF010202"/>
        <rFont val="Times New Roman"/>
        <family val="1"/>
      </rPr>
      <t>Kab.   Asahan</t>
    </r>
  </si>
  <si>
    <r>
      <rPr>
        <sz val="9"/>
        <color rgb="FF010202"/>
        <rFont val="Times New Roman"/>
        <family val="1"/>
      </rPr>
      <t>Kab.   Simalungun</t>
    </r>
  </si>
  <si>
    <r>
      <rPr>
        <sz val="9"/>
        <color rgb="FF010202"/>
        <rFont val="Times New Roman"/>
        <family val="1"/>
      </rPr>
      <t>Kab.   Dairi</t>
    </r>
  </si>
  <si>
    <r>
      <rPr>
        <sz val="9"/>
        <color rgb="FF010202"/>
        <rFont val="Times New Roman"/>
        <family val="1"/>
      </rPr>
      <t>Kab.   Karo</t>
    </r>
  </si>
  <si>
    <r>
      <rPr>
        <sz val="9"/>
        <color rgb="FF010202"/>
        <rFont val="Times New Roman"/>
        <family val="1"/>
      </rPr>
      <t>Kab.   Langkat</t>
    </r>
  </si>
  <si>
    <r>
      <rPr>
        <sz val="9"/>
        <color rgb="FF010202"/>
        <rFont val="Times New Roman"/>
        <family val="1"/>
      </rPr>
      <t>Kab.   Humbang Hasundutan</t>
    </r>
  </si>
  <si>
    <r>
      <rPr>
        <sz val="9"/>
        <color rgb="FF010202"/>
        <rFont val="Times New Roman"/>
        <family val="1"/>
      </rPr>
      <t>Kab.   Samosir</t>
    </r>
  </si>
  <si>
    <r>
      <rPr>
        <sz val="9"/>
        <color rgb="FF010202"/>
        <rFont val="Times New Roman"/>
        <family val="1"/>
      </rPr>
      <t>Kab.   Serdang Bedagai</t>
    </r>
  </si>
  <si>
    <r>
      <rPr>
        <sz val="9"/>
        <color rgb="FF010202"/>
        <rFont val="Times New Roman"/>
        <family val="1"/>
      </rPr>
      <t>Kab.   Batu Bara</t>
    </r>
  </si>
  <si>
    <r>
      <rPr>
        <sz val="9"/>
        <color rgb="FF010202"/>
        <rFont val="Times New Roman"/>
        <family val="1"/>
      </rPr>
      <t>Kab.   Padang Lawas utara</t>
    </r>
  </si>
  <si>
    <r>
      <rPr>
        <sz val="9"/>
        <color rgb="FF010202"/>
        <rFont val="Times New Roman"/>
        <family val="1"/>
      </rPr>
      <t>Kab.   Padang Lawas</t>
    </r>
  </si>
  <si>
    <r>
      <rPr>
        <sz val="9"/>
        <color rgb="FF010202"/>
        <rFont val="Times New Roman"/>
        <family val="1"/>
      </rPr>
      <t>Kab.   Labuhan batu Selatan</t>
    </r>
  </si>
  <si>
    <r>
      <rPr>
        <sz val="9"/>
        <color rgb="FF010202"/>
        <rFont val="Times New Roman"/>
        <family val="1"/>
      </rPr>
      <t>Kab.   Labuhan batu Utara</t>
    </r>
  </si>
  <si>
    <r>
      <rPr>
        <sz val="9"/>
        <color rgb="FF010202"/>
        <rFont val="Times New Roman"/>
        <family val="1"/>
      </rPr>
      <t>Kab.   Nias Barat</t>
    </r>
  </si>
  <si>
    <r>
      <rPr>
        <sz val="9"/>
        <color rgb="FF010202"/>
        <rFont val="Times New Roman"/>
        <family val="1"/>
      </rPr>
      <t>Kota   P. Sidimpuan</t>
    </r>
  </si>
  <si>
    <r>
      <rPr>
        <sz val="9"/>
        <color rgb="FF010202"/>
        <rFont val="Times New Roman"/>
        <family val="1"/>
      </rPr>
      <t>Kota   Gunung Sitoli</t>
    </r>
  </si>
  <si>
    <r>
      <rPr>
        <sz val="9"/>
        <color rgb="FF010202"/>
        <rFont val="Times New Roman"/>
        <family val="1"/>
      </rPr>
      <t>Kab.   Ogan Komering Ulu</t>
    </r>
  </si>
  <si>
    <r>
      <rPr>
        <sz val="9"/>
        <color rgb="FF010202"/>
        <rFont val="Times New Roman"/>
        <family val="1"/>
      </rPr>
      <t>Kab.   OKI</t>
    </r>
  </si>
  <si>
    <r>
      <rPr>
        <sz val="9"/>
        <color rgb="FF010202"/>
        <rFont val="Times New Roman"/>
        <family val="1"/>
      </rPr>
      <t>Kab.   Muara Enim</t>
    </r>
  </si>
  <si>
    <r>
      <rPr>
        <sz val="9"/>
        <color rgb="FF010202"/>
        <rFont val="Times New Roman"/>
        <family val="1"/>
      </rPr>
      <t>Kab.   Musi Rawas</t>
    </r>
  </si>
  <si>
    <r>
      <rPr>
        <sz val="9"/>
        <color rgb="FF010202"/>
        <rFont val="Times New Roman"/>
        <family val="1"/>
      </rPr>
      <t>Kab.   Musi Banyuasin</t>
    </r>
  </si>
  <si>
    <r>
      <rPr>
        <sz val="9"/>
        <color rgb="FF010202"/>
        <rFont val="Times New Roman"/>
        <family val="1"/>
      </rPr>
      <t>Kab.   Banyu Asin</t>
    </r>
  </si>
  <si>
    <r>
      <rPr>
        <sz val="9"/>
        <color rgb="FF010202"/>
        <rFont val="Times New Roman"/>
        <family val="1"/>
      </rPr>
      <t>Kab.   OKU Timur</t>
    </r>
  </si>
  <si>
    <r>
      <rPr>
        <sz val="9"/>
        <color rgb="FF010202"/>
        <rFont val="Times New Roman"/>
        <family val="1"/>
      </rPr>
      <t>Kab.   Ogan Ilir</t>
    </r>
  </si>
  <si>
    <r>
      <rPr>
        <sz val="9"/>
        <color rgb="FF010202"/>
        <rFont val="Times New Roman"/>
        <family val="1"/>
      </rPr>
      <t>Kab.   Empat Lawang</t>
    </r>
  </si>
  <si>
    <r>
      <rPr>
        <sz val="9"/>
        <color rgb="FF010202"/>
        <rFont val="Times New Roman"/>
        <family val="1"/>
      </rPr>
      <t>Kab.   Musi Rawas Utara</t>
    </r>
  </si>
  <si>
    <r>
      <rPr>
        <sz val="9"/>
        <color rgb="FF010202"/>
        <rFont val="Times New Roman"/>
        <family val="1"/>
      </rPr>
      <t>Kota   Lubuk Linggau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</si>
  <si>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Kuantan Sengingi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</si>
  <si>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Indragiri Hulu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</si>
  <si>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Indragiri Hilir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</si>
  <si>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Pelalawan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</si>
  <si>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Siak</t>
    </r>
  </si>
  <si>
    <r>
      <rPr>
        <sz val="9"/>
        <color rgb="FF010202"/>
        <rFont val="Times New Roman"/>
        <family val="1"/>
      </rPr>
      <t>Kab.   Belitung</t>
    </r>
  </si>
  <si>
    <r>
      <rPr>
        <sz val="9"/>
        <color rgb="FF010202"/>
        <rFont val="Times New Roman"/>
        <family val="1"/>
      </rPr>
      <t>Kab.   Bangka Barat</t>
    </r>
  </si>
  <si>
    <r>
      <rPr>
        <sz val="9"/>
        <color rgb="FF010202"/>
        <rFont val="Times New Roman"/>
        <family val="1"/>
      </rPr>
      <t>Kab.   Bangka Tengah</t>
    </r>
  </si>
  <si>
    <r>
      <rPr>
        <sz val="9"/>
        <color rgb="FF010202"/>
        <rFont val="Times New Roman"/>
        <family val="1"/>
      </rPr>
      <t>Kab.   Bangka Selatan</t>
    </r>
  </si>
  <si>
    <r>
      <rPr>
        <sz val="9"/>
        <color rgb="FF010202"/>
        <rFont val="Times New Roman"/>
        <family val="1"/>
      </rPr>
      <t>Kab.   Belitung Timur</t>
    </r>
  </si>
  <si>
    <r>
      <rPr>
        <sz val="9"/>
        <color rgb="FF010202"/>
        <rFont val="Times New Roman"/>
        <family val="1"/>
      </rPr>
      <t>Kota   Pangkal Pinang</t>
    </r>
  </si>
  <si>
    <r>
      <rPr>
        <sz val="9"/>
        <color rgb="FF010202"/>
        <rFont val="Times New Roman"/>
        <family val="1"/>
      </rPr>
      <t>Kab.   Bengkulu Selatan</t>
    </r>
  </si>
  <si>
    <r>
      <rPr>
        <sz val="9"/>
        <color rgb="FF010202"/>
        <rFont val="Times New Roman"/>
        <family val="1"/>
      </rPr>
      <t>Kab.   Rejang lebong</t>
    </r>
  </si>
  <si>
    <r>
      <rPr>
        <sz val="9"/>
        <color rgb="FF010202"/>
        <rFont val="Times New Roman"/>
        <family val="1"/>
      </rPr>
      <t>Kab.   Seluma</t>
    </r>
  </si>
  <si>
    <r>
      <rPr>
        <sz val="9"/>
        <color rgb="FF010202"/>
        <rFont val="Times New Roman"/>
        <family val="1"/>
      </rPr>
      <t>Kab.   Lebong</t>
    </r>
  </si>
  <si>
    <r>
      <rPr>
        <sz val="9"/>
        <color rgb="FF010202"/>
        <rFont val="Times New Roman"/>
        <family val="1"/>
      </rPr>
      <t>Kab.   Kepahyang</t>
    </r>
  </si>
  <si>
    <r>
      <rPr>
        <sz val="9"/>
        <color rgb="FF010202"/>
        <rFont val="Times New Roman"/>
        <family val="1"/>
      </rPr>
      <t>Kab.   Bengkulu Tengah</t>
    </r>
  </si>
  <si>
    <r>
      <rPr>
        <sz val="9"/>
        <color rgb="FF010202"/>
        <rFont val="Times New Roman"/>
        <family val="1"/>
      </rPr>
      <t>Kota   Bengkulu</t>
    </r>
  </si>
  <si>
    <r>
      <rPr>
        <sz val="9"/>
        <color rgb="FF010202"/>
        <rFont val="Times New Roman"/>
        <family val="1"/>
      </rPr>
      <t>Kab.   Lampung Barat</t>
    </r>
  </si>
  <si>
    <r>
      <rPr>
        <sz val="9"/>
        <color rgb="FF010202"/>
        <rFont val="Times New Roman"/>
        <family val="1"/>
      </rPr>
      <t>Kab.   Tanggamus</t>
    </r>
  </si>
  <si>
    <r>
      <rPr>
        <sz val="9"/>
        <color rgb="FF010202"/>
        <rFont val="Times New Roman"/>
        <family val="1"/>
      </rPr>
      <t>Kab.   Lampung Timur</t>
    </r>
  </si>
  <si>
    <r>
      <rPr>
        <sz val="9"/>
        <color rgb="FF010202"/>
        <rFont val="Times New Roman"/>
        <family val="1"/>
      </rPr>
      <t>Kab.   Lampung Tengah</t>
    </r>
  </si>
  <si>
    <r>
      <rPr>
        <sz val="9"/>
        <color rgb="FF010202"/>
        <rFont val="Times New Roman"/>
        <family val="1"/>
      </rPr>
      <t>Kab.   Lampung Utara</t>
    </r>
  </si>
  <si>
    <r>
      <rPr>
        <sz val="9"/>
        <color rgb="FF010202"/>
        <rFont val="Times New Roman"/>
        <family val="1"/>
      </rPr>
      <t>Kab.   Way Kanan</t>
    </r>
  </si>
  <si>
    <r>
      <rPr>
        <sz val="9"/>
        <color rgb="FF010202"/>
        <rFont val="Times New Roman"/>
        <family val="1"/>
      </rPr>
      <t>Kab.   Tulang Bawang</t>
    </r>
  </si>
  <si>
    <r>
      <rPr>
        <sz val="9"/>
        <color rgb="FF010202"/>
        <rFont val="Times New Roman"/>
        <family val="1"/>
      </rPr>
      <t>Kab.   Pringsewu</t>
    </r>
  </si>
  <si>
    <r>
      <rPr>
        <sz val="9"/>
        <color rgb="FF010202"/>
        <rFont val="Times New Roman"/>
        <family val="1"/>
      </rPr>
      <t>Kab.   Mesuji</t>
    </r>
  </si>
  <si>
    <r>
      <rPr>
        <sz val="9"/>
        <color rgb="FF010202"/>
        <rFont val="Times New Roman"/>
        <family val="1"/>
      </rPr>
      <t>Kab.   Tulang Bawang Barat</t>
    </r>
  </si>
  <si>
    <r>
      <rPr>
        <sz val="9"/>
        <color rgb="FF010202"/>
        <rFont val="Times New Roman"/>
        <family val="1"/>
      </rPr>
      <t>Kab.   Pesisir Barat</t>
    </r>
  </si>
  <si>
    <r>
      <rPr>
        <sz val="9"/>
        <color rgb="FF010202"/>
        <rFont val="Times New Roman"/>
        <family val="1"/>
      </rPr>
      <t>Kota   Bandar Lampung</t>
    </r>
  </si>
  <si>
    <r>
      <rPr>
        <sz val="9"/>
        <color rgb="FF010202"/>
        <rFont val="Times New Roman"/>
        <family val="1"/>
      </rPr>
      <t>Kota   Metro</t>
    </r>
  </si>
  <si>
    <r>
      <rPr>
        <sz val="9"/>
        <color rgb="FF010202"/>
        <rFont val="Times New Roman"/>
        <family val="1"/>
      </rPr>
      <t>Kab.    Kep. Selayar</t>
    </r>
  </si>
  <si>
    <r>
      <rPr>
        <sz val="9"/>
        <color rgb="FF010202"/>
        <rFont val="Times New Roman"/>
        <family val="1"/>
      </rPr>
      <t>Kab.    Bulukumba</t>
    </r>
  </si>
  <si>
    <r>
      <rPr>
        <sz val="9"/>
        <color rgb="FF010202"/>
        <rFont val="Times New Roman"/>
        <family val="1"/>
      </rPr>
      <t>Kab.    Bantaeng</t>
    </r>
  </si>
  <si>
    <r>
      <rPr>
        <sz val="9"/>
        <color rgb="FF010202"/>
        <rFont val="Times New Roman"/>
        <family val="1"/>
      </rPr>
      <t>Kab.    Jeneponto</t>
    </r>
  </si>
  <si>
    <r>
      <rPr>
        <sz val="9"/>
        <color rgb="FF010202"/>
        <rFont val="Times New Roman"/>
        <family val="1"/>
      </rPr>
      <t>Kab.    Takalar</t>
    </r>
  </si>
  <si>
    <r>
      <rPr>
        <sz val="9"/>
        <color rgb="FF010202"/>
        <rFont val="Times New Roman"/>
        <family val="1"/>
      </rPr>
      <t>Kab.    Gowa</t>
    </r>
  </si>
  <si>
    <r>
      <rPr>
        <sz val="9"/>
        <color rgb="FF010202"/>
        <rFont val="Times New Roman"/>
        <family val="1"/>
      </rPr>
      <t>Kab.    Sinjai</t>
    </r>
  </si>
  <si>
    <r>
      <rPr>
        <sz val="9"/>
        <color rgb="FF010202"/>
        <rFont val="Times New Roman"/>
        <family val="1"/>
      </rPr>
      <t>Kab.    Maros</t>
    </r>
  </si>
  <si>
    <r>
      <rPr>
        <sz val="9"/>
        <color rgb="FF010202"/>
        <rFont val="Times New Roman"/>
        <family val="1"/>
      </rPr>
      <t>Kab.    Pangkajene Kepulauan</t>
    </r>
  </si>
  <si>
    <r>
      <rPr>
        <sz val="9"/>
        <color rgb="FF010202"/>
        <rFont val="Times New Roman"/>
        <family val="1"/>
      </rPr>
      <t>Kab.    Barru</t>
    </r>
  </si>
  <si>
    <r>
      <rPr>
        <sz val="9"/>
        <color rgb="FF010202"/>
        <rFont val="Times New Roman"/>
        <family val="1"/>
      </rPr>
      <t>Kab.    Bone</t>
    </r>
  </si>
  <si>
    <r>
      <rPr>
        <sz val="9"/>
        <color rgb="FF010202"/>
        <rFont val="Times New Roman"/>
        <family val="1"/>
      </rPr>
      <t>Kab.    Soppeng</t>
    </r>
  </si>
  <si>
    <r>
      <rPr>
        <sz val="9"/>
        <color rgb="FF010202"/>
        <rFont val="Times New Roman"/>
        <family val="1"/>
      </rPr>
      <t>Kab.    W a j o</t>
    </r>
  </si>
  <si>
    <r>
      <rPr>
        <sz val="9"/>
        <color rgb="FF010202"/>
        <rFont val="Times New Roman"/>
        <family val="1"/>
      </rPr>
      <t>Kab.    Sidenreng Rappang</t>
    </r>
  </si>
  <si>
    <r>
      <rPr>
        <sz val="9"/>
        <color rgb="FF010202"/>
        <rFont val="Times New Roman"/>
        <family val="1"/>
      </rPr>
      <t>Kab.    Pinrang</t>
    </r>
  </si>
  <si>
    <r>
      <rPr>
        <sz val="9"/>
        <color rgb="FF010202"/>
        <rFont val="Times New Roman"/>
        <family val="1"/>
      </rPr>
      <t>Kab.    Enrekang</t>
    </r>
  </si>
  <si>
    <r>
      <rPr>
        <sz val="9"/>
        <color rgb="FF010202"/>
        <rFont val="Times New Roman"/>
        <family val="1"/>
      </rPr>
      <t>Kab.    L u w u</t>
    </r>
  </si>
  <si>
    <r>
      <rPr>
        <sz val="9"/>
        <color rgb="FF010202"/>
        <rFont val="Times New Roman"/>
        <family val="1"/>
      </rPr>
      <t>Kab.    Tanatoraja</t>
    </r>
  </si>
  <si>
    <r>
      <rPr>
        <sz val="9"/>
        <color rgb="FF010202"/>
        <rFont val="Times New Roman"/>
        <family val="1"/>
      </rPr>
      <t>Kab.    L u w u  Utara</t>
    </r>
  </si>
  <si>
    <r>
      <rPr>
        <sz val="9"/>
        <color rgb="FF010202"/>
        <rFont val="Times New Roman"/>
        <family val="1"/>
      </rPr>
      <t>Kab.    L u w u  Timur</t>
    </r>
  </si>
  <si>
    <r>
      <rPr>
        <sz val="9"/>
        <color rgb="FF010202"/>
        <rFont val="Times New Roman"/>
        <family val="1"/>
      </rPr>
      <t>Kab.    Toraja Utara</t>
    </r>
  </si>
  <si>
    <r>
      <rPr>
        <sz val="9"/>
        <color rgb="FF010202"/>
        <rFont val="Times New Roman"/>
        <family val="1"/>
      </rPr>
      <t>Kota    Palopo</t>
    </r>
  </si>
  <si>
    <r>
      <rPr>
        <sz val="9"/>
        <color rgb="FF010202"/>
        <rFont val="Times New Roman"/>
        <family val="1"/>
      </rPr>
      <t>Kab.   Majene</t>
    </r>
  </si>
  <si>
    <r>
      <rPr>
        <sz val="9"/>
        <color rgb="FF010202"/>
        <rFont val="Times New Roman"/>
        <family val="1"/>
      </rPr>
      <t>Kab.   Polewali Mandar</t>
    </r>
  </si>
  <si>
    <r>
      <rPr>
        <sz val="9"/>
        <color rgb="FF010202"/>
        <rFont val="Times New Roman"/>
        <family val="1"/>
      </rPr>
      <t>Kab.   Mamasa</t>
    </r>
  </si>
  <si>
    <r>
      <rPr>
        <sz val="9"/>
        <color rgb="FF010202"/>
        <rFont val="Times New Roman"/>
        <family val="1"/>
      </rPr>
      <t>Kab.   Mamuju</t>
    </r>
  </si>
  <si>
    <r>
      <rPr>
        <sz val="9"/>
        <color rgb="FF010202"/>
        <rFont val="Times New Roman"/>
        <family val="1"/>
      </rPr>
      <t>Kab.   Pasangkayu/ Mamuju Ut</t>
    </r>
  </si>
  <si>
    <r>
      <rPr>
        <sz val="9"/>
        <color rgb="FF010202"/>
        <rFont val="Times New Roman"/>
        <family val="1"/>
      </rPr>
      <t>Kab.   Mamuju Tengah</t>
    </r>
  </si>
  <si>
    <r>
      <rPr>
        <sz val="9"/>
        <color rgb="FF010202"/>
        <rFont val="Times New Roman"/>
        <family val="1"/>
      </rPr>
      <t>Kab.   Buton</t>
    </r>
  </si>
  <si>
    <r>
      <rPr>
        <sz val="9"/>
        <color rgb="FF010202"/>
        <rFont val="Times New Roman"/>
        <family val="1"/>
      </rPr>
      <t>Kab.   M u n a</t>
    </r>
  </si>
  <si>
    <r>
      <rPr>
        <sz val="9"/>
        <color rgb="FF010202"/>
        <rFont val="Times New Roman"/>
        <family val="1"/>
      </rPr>
      <t>Kab.   Konawe</t>
    </r>
  </si>
  <si>
    <r>
      <rPr>
        <sz val="9"/>
        <color rgb="FF010202"/>
        <rFont val="Times New Roman"/>
        <family val="1"/>
      </rPr>
      <t>Kab.   Kolaka</t>
    </r>
  </si>
  <si>
    <r>
      <rPr>
        <sz val="9"/>
        <color rgb="FF010202"/>
        <rFont val="Times New Roman"/>
        <family val="1"/>
      </rPr>
      <t>Kab.   Konawe  Selatan</t>
    </r>
  </si>
  <si>
    <r>
      <rPr>
        <sz val="9"/>
        <color rgb="FF010202"/>
        <rFont val="Times New Roman"/>
        <family val="1"/>
      </rPr>
      <t>Kota   Bombana</t>
    </r>
  </si>
  <si>
    <r>
      <rPr>
        <sz val="9"/>
        <color rgb="FF010202"/>
        <rFont val="Times New Roman"/>
        <family val="1"/>
      </rPr>
      <t>Kota   Wakatobi</t>
    </r>
  </si>
  <si>
    <r>
      <rPr>
        <sz val="9"/>
        <color rgb="FF010202"/>
        <rFont val="Times New Roman"/>
        <family val="1"/>
      </rPr>
      <t>Kab.   Kolaka Utara</t>
    </r>
  </si>
  <si>
    <r>
      <rPr>
        <sz val="9"/>
        <color rgb="FF010202"/>
        <rFont val="Times New Roman"/>
        <family val="1"/>
      </rPr>
      <t>Kab.   Buton Utara</t>
    </r>
  </si>
  <si>
    <r>
      <rPr>
        <sz val="9"/>
        <color rgb="FF010202"/>
        <rFont val="Times New Roman"/>
        <family val="1"/>
      </rPr>
      <t>Kab.   Konawe Utara</t>
    </r>
  </si>
  <si>
    <r>
      <rPr>
        <sz val="9"/>
        <color rgb="FF010202"/>
        <rFont val="Times New Roman"/>
        <family val="1"/>
      </rPr>
      <t>Kab.   Kolaka Timur</t>
    </r>
  </si>
  <si>
    <r>
      <rPr>
        <sz val="9"/>
        <color rgb="FF010202"/>
        <rFont val="Times New Roman"/>
        <family val="1"/>
      </rPr>
      <t>Kab.   Konawe Kepulauan</t>
    </r>
  </si>
  <si>
    <r>
      <rPr>
        <sz val="9"/>
        <color rgb="FF010202"/>
        <rFont val="Times New Roman"/>
        <family val="1"/>
      </rPr>
      <t>Kab.   Muna Barat</t>
    </r>
  </si>
  <si>
    <r>
      <rPr>
        <sz val="9"/>
        <color rgb="FF010202"/>
        <rFont val="Times New Roman"/>
        <family val="1"/>
      </rPr>
      <t>Kab.   Buton Tengah</t>
    </r>
  </si>
  <si>
    <r>
      <rPr>
        <sz val="9"/>
        <color rgb="FF010202"/>
        <rFont val="Times New Roman"/>
        <family val="1"/>
      </rPr>
      <t>Kab.   Buton Selatan</t>
    </r>
  </si>
  <si>
    <r>
      <rPr>
        <sz val="9"/>
        <color rgb="FF010202"/>
        <rFont val="Times New Roman"/>
        <family val="1"/>
      </rPr>
      <t>Kota   Kendari</t>
    </r>
  </si>
  <si>
    <r>
      <rPr>
        <sz val="9"/>
        <color rgb="FF010202"/>
        <rFont val="Times New Roman"/>
        <family val="1"/>
      </rPr>
      <t>Kab.   Maluku Tenggara Barat</t>
    </r>
  </si>
  <si>
    <r>
      <rPr>
        <sz val="9"/>
        <color rgb="FF010202"/>
        <rFont val="Times New Roman"/>
        <family val="1"/>
      </rPr>
      <t>Kab.   Maluku Tenggara</t>
    </r>
  </si>
  <si>
    <r>
      <rPr>
        <sz val="9"/>
        <color rgb="FF010202"/>
        <rFont val="Times New Roman"/>
        <family val="1"/>
      </rPr>
      <t>Kab.   Maluku Tengah</t>
    </r>
  </si>
  <si>
    <r>
      <rPr>
        <sz val="9"/>
        <color rgb="FF010202"/>
        <rFont val="Times New Roman"/>
        <family val="1"/>
      </rPr>
      <t>Kab.   Buru</t>
    </r>
  </si>
  <si>
    <r>
      <rPr>
        <sz val="9"/>
        <color rgb="FF010202"/>
        <rFont val="Times New Roman"/>
        <family val="1"/>
      </rPr>
      <t>Kab.   Kep. Aru</t>
    </r>
  </si>
  <si>
    <r>
      <rPr>
        <sz val="9"/>
        <color rgb="FF010202"/>
        <rFont val="Times New Roman"/>
        <family val="1"/>
      </rPr>
      <t>Kab.   Seram Bagian Barat</t>
    </r>
  </si>
  <si>
    <r>
      <rPr>
        <sz val="9"/>
        <color rgb="FF010202"/>
        <rFont val="Times New Roman"/>
        <family val="1"/>
      </rPr>
      <t>Kab.   Seram Bagian Timur</t>
    </r>
  </si>
  <si>
    <r>
      <rPr>
        <sz val="9"/>
        <color rgb="FF010202"/>
        <rFont val="Times New Roman"/>
        <family val="1"/>
      </rPr>
      <t>Kab.   Maluku Baratdaya</t>
    </r>
  </si>
  <si>
    <r>
      <rPr>
        <sz val="9"/>
        <color rgb="FF010202"/>
        <rFont val="Times New Roman"/>
        <family val="1"/>
      </rPr>
      <t>Kab.   Buru Selatan</t>
    </r>
  </si>
  <si>
    <r>
      <rPr>
        <sz val="9"/>
        <color rgb="FF010202"/>
        <rFont val="Times New Roman"/>
        <family val="1"/>
      </rPr>
      <t>Kota   Ambon</t>
    </r>
  </si>
  <si>
    <r>
      <rPr>
        <sz val="9"/>
        <color rgb="FF010202"/>
        <rFont val="Times New Roman"/>
        <family val="1"/>
      </rPr>
      <t>Kota   Tual</t>
    </r>
  </si>
  <si>
    <r>
      <rPr>
        <sz val="9"/>
        <color rgb="FF010202"/>
        <rFont val="Times New Roman"/>
        <family val="1"/>
      </rPr>
      <t>Kab.   Halmahera Barat</t>
    </r>
  </si>
  <si>
    <r>
      <rPr>
        <sz val="9"/>
        <color rgb="FF010202"/>
        <rFont val="Times New Roman"/>
        <family val="1"/>
      </rPr>
      <t>Kab.   Halmahera Tengah</t>
    </r>
  </si>
  <si>
    <r>
      <rPr>
        <sz val="9"/>
        <color rgb="FF010202"/>
        <rFont val="Times New Roman"/>
        <family val="1"/>
      </rPr>
      <t>Kab.   Kepulauan Sula</t>
    </r>
  </si>
  <si>
    <r>
      <rPr>
        <sz val="9"/>
        <color rgb="FF010202"/>
        <rFont val="Times New Roman"/>
        <family val="1"/>
      </rPr>
      <t>Kab.   Halmahera Selatan</t>
    </r>
  </si>
  <si>
    <r>
      <rPr>
        <sz val="9"/>
        <color rgb="FF010202"/>
        <rFont val="Times New Roman"/>
        <family val="1"/>
      </rPr>
      <t>Kab.   Halmahera Utara</t>
    </r>
  </si>
  <si>
    <r>
      <rPr>
        <sz val="9"/>
        <color rgb="FF010202"/>
        <rFont val="Times New Roman"/>
        <family val="1"/>
      </rPr>
      <t>Kab.   Halmahera Timur</t>
    </r>
  </si>
  <si>
    <r>
      <rPr>
        <sz val="9"/>
        <color rgb="FF010202"/>
        <rFont val="Times New Roman"/>
        <family val="1"/>
      </rPr>
      <t>Kab.   Pulau Morotai</t>
    </r>
  </si>
  <si>
    <r>
      <rPr>
        <sz val="9"/>
        <color rgb="FF010202"/>
        <rFont val="Times New Roman"/>
        <family val="1"/>
      </rPr>
      <t>Kab.   Pulau Taliabu</t>
    </r>
  </si>
  <si>
    <r>
      <rPr>
        <sz val="9"/>
        <color rgb="FF010202"/>
        <rFont val="Times New Roman"/>
        <family val="1"/>
      </rPr>
      <t>Kota   Ternate</t>
    </r>
  </si>
  <si>
    <r>
      <rPr>
        <sz val="9"/>
        <color rgb="FF010202"/>
        <rFont val="Times New Roman"/>
        <family val="1"/>
      </rPr>
      <t>Kota   Tidore Kep.</t>
    </r>
  </si>
  <si>
    <r>
      <rPr>
        <sz val="9"/>
        <color rgb="FF010202"/>
        <rFont val="Times New Roman"/>
        <family val="1"/>
      </rPr>
      <t>Kab.   Jayapura</t>
    </r>
  </si>
  <si>
    <r>
      <rPr>
        <sz val="9"/>
        <color rgb="FF010202"/>
        <rFont val="Times New Roman"/>
        <family val="1"/>
      </rPr>
      <t>Kab.   Nabire</t>
    </r>
  </si>
  <si>
    <r>
      <rPr>
        <sz val="9"/>
        <color rgb="FF010202"/>
        <rFont val="Times New Roman"/>
        <family val="1"/>
      </rPr>
      <t>Kab.   Kep. Yapen</t>
    </r>
  </si>
  <si>
    <r>
      <rPr>
        <sz val="9"/>
        <color rgb="FF010202"/>
        <rFont val="Times New Roman"/>
        <family val="1"/>
      </rPr>
      <t>Kab.   Biak Numfor</t>
    </r>
  </si>
  <si>
    <r>
      <rPr>
        <sz val="9"/>
        <color rgb="FF010202"/>
        <rFont val="Times New Roman"/>
        <family val="1"/>
      </rPr>
      <t>Kab.   Puncak Jaya</t>
    </r>
  </si>
  <si>
    <r>
      <rPr>
        <sz val="9"/>
        <color rgb="FF010202"/>
        <rFont val="Times New Roman"/>
        <family val="1"/>
      </rPr>
      <t>Kab.   Mimika</t>
    </r>
  </si>
  <si>
    <r>
      <rPr>
        <sz val="9"/>
        <color rgb="FF010202"/>
        <rFont val="Times New Roman"/>
        <family val="1"/>
      </rPr>
      <t>Kab.   Boven Digoel</t>
    </r>
  </si>
  <si>
    <r>
      <rPr>
        <sz val="9"/>
        <color rgb="FF010202"/>
        <rFont val="Times New Roman"/>
        <family val="1"/>
      </rPr>
      <t>Kab.   Mappi</t>
    </r>
  </si>
  <si>
    <r>
      <rPr>
        <sz val="9"/>
        <color rgb="FF010202"/>
        <rFont val="Times New Roman"/>
        <family val="1"/>
      </rPr>
      <t>Kab.   Yahukimo</t>
    </r>
  </si>
  <si>
    <r>
      <rPr>
        <sz val="9"/>
        <color rgb="FF010202"/>
        <rFont val="Times New Roman"/>
        <family val="1"/>
      </rPr>
      <t>Kab.   Pegunungan Bintang</t>
    </r>
  </si>
  <si>
    <r>
      <rPr>
        <sz val="9"/>
        <color rgb="FF010202"/>
        <rFont val="Times New Roman"/>
        <family val="1"/>
      </rPr>
      <t>Kab.   Sarmi</t>
    </r>
  </si>
  <si>
    <r>
      <rPr>
        <sz val="9"/>
        <color rgb="FF010202"/>
        <rFont val="Times New Roman"/>
        <family val="1"/>
      </rPr>
      <t>Kab.   Keerom</t>
    </r>
  </si>
  <si>
    <r>
      <rPr>
        <sz val="9"/>
        <color rgb="FF010202"/>
        <rFont val="Times New Roman"/>
        <family val="1"/>
      </rPr>
      <t>Kab.   Waropen</t>
    </r>
  </si>
  <si>
    <r>
      <rPr>
        <sz val="9"/>
        <color rgb="FF010202"/>
        <rFont val="Times New Roman"/>
        <family val="1"/>
      </rPr>
      <t>Kab.   Memberamo Raya</t>
    </r>
  </si>
  <si>
    <r>
      <rPr>
        <sz val="9"/>
        <color rgb="FF010202"/>
        <rFont val="Times New Roman"/>
        <family val="1"/>
      </rPr>
      <t>Kota   Jayapura</t>
    </r>
  </si>
  <si>
    <r>
      <rPr>
        <sz val="9"/>
        <color rgb="FF010202"/>
        <rFont val="Times New Roman"/>
        <family val="1"/>
      </rPr>
      <t>Kab.   Kaimana</t>
    </r>
  </si>
  <si>
    <r>
      <rPr>
        <sz val="9"/>
        <color rgb="FF010202"/>
        <rFont val="Times New Roman"/>
        <family val="1"/>
      </rPr>
      <t>Kab.   Teluk Wondama</t>
    </r>
  </si>
  <si>
    <r>
      <rPr>
        <sz val="9"/>
        <color rgb="FF010202"/>
        <rFont val="Times New Roman"/>
        <family val="1"/>
      </rPr>
      <t>Kab.   Teluk Bintuni</t>
    </r>
  </si>
  <si>
    <r>
      <rPr>
        <sz val="9"/>
        <color rgb="FF010202"/>
        <rFont val="Times New Roman"/>
        <family val="1"/>
      </rPr>
      <t>Kab.   Manokwari</t>
    </r>
  </si>
  <si>
    <r>
      <rPr>
        <sz val="9"/>
        <color rgb="FF010202"/>
        <rFont val="Times New Roman"/>
        <family val="1"/>
      </rPr>
      <t>Kab.   Sorong Selatan</t>
    </r>
  </si>
  <si>
    <r>
      <rPr>
        <sz val="9"/>
        <color rgb="FF010202"/>
        <rFont val="Times New Roman"/>
        <family val="1"/>
      </rPr>
      <t>Kab.   Sorong</t>
    </r>
  </si>
  <si>
    <r>
      <rPr>
        <sz val="9"/>
        <color rgb="FF010202"/>
        <rFont val="Times New Roman"/>
        <family val="1"/>
      </rPr>
      <t>Kab.   Raja Ampat</t>
    </r>
  </si>
  <si>
    <r>
      <rPr>
        <sz val="9"/>
        <color rgb="FF010202"/>
        <rFont val="Times New Roman"/>
        <family val="1"/>
      </rPr>
      <t>Kab.   Tambrauw</t>
    </r>
  </si>
  <si>
    <r>
      <rPr>
        <sz val="9"/>
        <color rgb="FF010202"/>
        <rFont val="Times New Roman"/>
        <family val="1"/>
      </rPr>
      <t>Kab.   Maybrat</t>
    </r>
  </si>
  <si>
    <r>
      <rPr>
        <sz val="9"/>
        <color rgb="FF010202"/>
        <rFont val="Times New Roman"/>
        <family val="1"/>
      </rPr>
      <t>Kab.   Manokwari Selatan</t>
    </r>
  </si>
  <si>
    <r>
      <rPr>
        <sz val="9"/>
        <color rgb="FF010202"/>
        <rFont val="Times New Roman"/>
        <family val="1"/>
      </rPr>
      <t>Kota   Sorong</t>
    </r>
  </si>
  <si>
    <t>Kab. Kuantan Sengingi</t>
  </si>
  <si>
    <t>Kab. Indragiri Hulu</t>
  </si>
  <si>
    <t>Kab. Indragiri Hilir</t>
  </si>
  <si>
    <t>Kab. Pelalawan</t>
  </si>
  <si>
    <t>Kab .Siak</t>
  </si>
  <si>
    <t>Kab .Kampar</t>
  </si>
  <si>
    <t>Kab. Karimun Bintan</t>
  </si>
  <si>
    <t>Kab. Natuna</t>
  </si>
  <si>
    <t>Kab. Lingga</t>
  </si>
  <si>
    <t>Kota Tanjung Pinang</t>
  </si>
  <si>
    <t>Kab. Pasangkayu/ Mamuju Utara</t>
  </si>
  <si>
    <t>Mamuju Tengah</t>
  </si>
  <si>
    <t>Kab. Muna</t>
  </si>
  <si>
    <t>Kab. Konawe  Selatan</t>
  </si>
  <si>
    <t>Kab. Bombana</t>
  </si>
  <si>
    <t>Kab. Wakatobi</t>
  </si>
  <si>
    <t>Kab. Kendari</t>
  </si>
  <si>
    <t>Kab. Seram Bagian Timur</t>
  </si>
  <si>
    <t>Kab. Pulau Morotai</t>
  </si>
  <si>
    <t>Kab. Pulau Taliabu</t>
  </si>
  <si>
    <t>Kab. Boven Digoel</t>
  </si>
  <si>
    <t>Kab. Keerom</t>
  </si>
  <si>
    <r>
      <rPr>
        <sz val="9"/>
        <color rgb="FF231F20"/>
        <rFont val="Times New Roman"/>
        <family val="1"/>
      </rPr>
      <t>Kab.      Simeuleu</t>
    </r>
  </si>
  <si>
    <r>
      <rPr>
        <sz val="9"/>
        <color rgb="FF231F20"/>
        <rFont val="Times New Roman"/>
        <family val="1"/>
      </rPr>
      <t>Kab.      Aceh Singkil</t>
    </r>
  </si>
  <si>
    <r>
      <rPr>
        <sz val="9"/>
        <color rgb="FF231F20"/>
        <rFont val="Times New Roman"/>
        <family val="1"/>
      </rPr>
      <t>Kab.      Aceh Selatan</t>
    </r>
  </si>
  <si>
    <r>
      <rPr>
        <sz val="9"/>
        <color rgb="FF231F20"/>
        <rFont val="Times New Roman"/>
        <family val="1"/>
      </rPr>
      <t>Kab.      Aceh Tenggara</t>
    </r>
  </si>
  <si>
    <r>
      <rPr>
        <sz val="9"/>
        <color rgb="FF231F20"/>
        <rFont val="Times New Roman"/>
        <family val="1"/>
      </rPr>
      <t>Kab.      Aceh Timur</t>
    </r>
  </si>
  <si>
    <r>
      <rPr>
        <sz val="9"/>
        <color rgb="FF231F20"/>
        <rFont val="Times New Roman"/>
        <family val="1"/>
      </rPr>
      <t>Kab.      Aceh Tengah</t>
    </r>
  </si>
  <si>
    <r>
      <rPr>
        <sz val="9"/>
        <color rgb="FF231F20"/>
        <rFont val="Times New Roman"/>
        <family val="1"/>
      </rPr>
      <t>Kab.      Aceh Barat</t>
    </r>
  </si>
  <si>
    <r>
      <rPr>
        <sz val="9"/>
        <color rgb="FF231F20"/>
        <rFont val="Times New Roman"/>
        <family val="1"/>
      </rPr>
      <t>Kab.      Aceh Besar</t>
    </r>
  </si>
  <si>
    <r>
      <rPr>
        <sz val="9"/>
        <color rgb="FF231F20"/>
        <rFont val="Times New Roman"/>
        <family val="1"/>
      </rPr>
      <t>Kab.      Pidie</t>
    </r>
  </si>
  <si>
    <r>
      <rPr>
        <sz val="9"/>
        <color rgb="FF231F20"/>
        <rFont val="Times New Roman"/>
        <family val="1"/>
      </rPr>
      <t>Kab.      Bireun</t>
    </r>
  </si>
  <si>
    <r>
      <rPr>
        <sz val="9"/>
        <color rgb="FF231F20"/>
        <rFont val="Times New Roman"/>
        <family val="1"/>
      </rPr>
      <t>Kab.      Aceh Utara</t>
    </r>
  </si>
  <si>
    <r>
      <rPr>
        <sz val="9"/>
        <color rgb="FF231F20"/>
        <rFont val="Times New Roman"/>
        <family val="1"/>
      </rPr>
      <t>Kab.      Aceh Barat Daya</t>
    </r>
  </si>
  <si>
    <r>
      <rPr>
        <sz val="9"/>
        <color rgb="FF231F20"/>
        <rFont val="Times New Roman"/>
        <family val="1"/>
      </rPr>
      <t>Kab.      Gayo Lues</t>
    </r>
  </si>
  <si>
    <r>
      <rPr>
        <sz val="9"/>
        <color rgb="FF231F20"/>
        <rFont val="Times New Roman"/>
        <family val="1"/>
      </rPr>
      <t>Kab.      Aceh Tamiang</t>
    </r>
  </si>
  <si>
    <r>
      <rPr>
        <sz val="9"/>
        <color rgb="FF231F20"/>
        <rFont val="Times New Roman"/>
        <family val="1"/>
      </rPr>
      <t>Kab.      Nagan Raya</t>
    </r>
  </si>
  <si>
    <r>
      <rPr>
        <sz val="9"/>
        <color rgb="FF231F20"/>
        <rFont val="Times New Roman"/>
        <family val="1"/>
      </rPr>
      <t>Kab.      Aceh Jaya</t>
    </r>
  </si>
  <si>
    <r>
      <rPr>
        <sz val="9"/>
        <color rgb="FF231F20"/>
        <rFont val="Times New Roman"/>
        <family val="1"/>
      </rPr>
      <t>Kab.      Bener Meriah</t>
    </r>
  </si>
  <si>
    <r>
      <rPr>
        <sz val="9"/>
        <color rgb="FF231F20"/>
        <rFont val="Times New Roman"/>
        <family val="1"/>
      </rPr>
      <t>Kab.      Pidie Jaya</t>
    </r>
  </si>
  <si>
    <r>
      <rPr>
        <sz val="9"/>
        <color rgb="FF231F20"/>
        <rFont val="Times New Roman"/>
        <family val="1"/>
      </rPr>
      <t>Kota      Banda Aceh</t>
    </r>
  </si>
  <si>
    <r>
      <rPr>
        <sz val="9"/>
        <color rgb="FF231F20"/>
        <rFont val="Times New Roman"/>
        <family val="1"/>
      </rPr>
      <t>Kota      Sabang</t>
    </r>
  </si>
  <si>
    <r>
      <rPr>
        <sz val="9"/>
        <color rgb="FF231F20"/>
        <rFont val="Times New Roman"/>
        <family val="1"/>
      </rPr>
      <t>Kota      Langsa</t>
    </r>
  </si>
  <si>
    <r>
      <rPr>
        <sz val="9"/>
        <color rgb="FF231F20"/>
        <rFont val="Times New Roman"/>
        <family val="1"/>
      </rPr>
      <t>Kota      Lhokseumawe</t>
    </r>
  </si>
  <si>
    <r>
      <rPr>
        <sz val="9"/>
        <color rgb="FF231F20"/>
        <rFont val="Times New Roman"/>
        <family val="1"/>
      </rPr>
      <t>Kota      Subulussalam</t>
    </r>
  </si>
  <si>
    <r>
      <rPr>
        <sz val="9"/>
        <color rgb="FF231F20"/>
        <rFont val="Times New Roman"/>
        <family val="1"/>
      </rPr>
      <t>Kab.      Nias</t>
    </r>
  </si>
  <si>
    <r>
      <rPr>
        <sz val="9"/>
        <color rgb="FF231F20"/>
        <rFont val="Times New Roman"/>
        <family val="1"/>
      </rPr>
      <t>Kab.      Mandailing Natal</t>
    </r>
  </si>
  <si>
    <r>
      <rPr>
        <sz val="9"/>
        <color rgb="FF231F20"/>
        <rFont val="Times New Roman"/>
        <family val="1"/>
      </rPr>
      <t>Kab.      Tapanuli Selatan</t>
    </r>
  </si>
  <si>
    <r>
      <rPr>
        <sz val="9"/>
        <color rgb="FF231F20"/>
        <rFont val="Times New Roman"/>
        <family val="1"/>
      </rPr>
      <t>Kab.      Tapanuli Tengah</t>
    </r>
  </si>
  <si>
    <r>
      <rPr>
        <sz val="9"/>
        <color rgb="FF231F20"/>
        <rFont val="Times New Roman"/>
        <family val="1"/>
      </rPr>
      <t>Kab.      Tapanuli Utara</t>
    </r>
  </si>
  <si>
    <r>
      <rPr>
        <sz val="9"/>
        <color rgb="FF231F20"/>
        <rFont val="Times New Roman"/>
        <family val="1"/>
      </rPr>
      <t>Kab.      Toba Samosir</t>
    </r>
  </si>
  <si>
    <r>
      <rPr>
        <sz val="9"/>
        <color rgb="FF231F20"/>
        <rFont val="Times New Roman"/>
        <family val="1"/>
      </rPr>
      <t>Kab.      Labuhan batu</t>
    </r>
  </si>
  <si>
    <r>
      <rPr>
        <sz val="9"/>
        <color rgb="FF231F20"/>
        <rFont val="Times New Roman"/>
        <family val="1"/>
      </rPr>
      <t>Kab.      Asahan</t>
    </r>
  </si>
  <si>
    <r>
      <rPr>
        <sz val="9"/>
        <color rgb="FF231F20"/>
        <rFont val="Times New Roman"/>
        <family val="1"/>
      </rPr>
      <t>Kab.      Simalungun</t>
    </r>
  </si>
  <si>
    <r>
      <rPr>
        <sz val="9"/>
        <color rgb="FF231F20"/>
        <rFont val="Times New Roman"/>
        <family val="1"/>
      </rPr>
      <t>Kab.      Dairi</t>
    </r>
  </si>
  <si>
    <r>
      <rPr>
        <sz val="9"/>
        <color rgb="FF231F20"/>
        <rFont val="Times New Roman"/>
        <family val="1"/>
      </rPr>
      <t>Kab.      Karo</t>
    </r>
  </si>
  <si>
    <r>
      <rPr>
        <sz val="9"/>
        <color rgb="FF231F20"/>
        <rFont val="Times New Roman"/>
        <family val="1"/>
      </rPr>
      <t>Kab.      Deli Serdang</t>
    </r>
  </si>
  <si>
    <r>
      <rPr>
        <sz val="9"/>
        <color rgb="FF231F20"/>
        <rFont val="Times New Roman"/>
        <family val="1"/>
      </rPr>
      <t>Kab.      Langkat</t>
    </r>
  </si>
  <si>
    <r>
      <rPr>
        <sz val="9"/>
        <color rgb="FF231F20"/>
        <rFont val="Times New Roman"/>
        <family val="1"/>
      </rPr>
      <t>Kab.      Nias Selatan</t>
    </r>
  </si>
  <si>
    <r>
      <rPr>
        <sz val="9"/>
        <color rgb="FF231F20"/>
        <rFont val="Times New Roman"/>
        <family val="1"/>
      </rPr>
      <t>Kab.      Humbang Hasundutan</t>
    </r>
  </si>
  <si>
    <r>
      <rPr>
        <sz val="9"/>
        <color rgb="FF231F20"/>
        <rFont val="Times New Roman"/>
        <family val="1"/>
      </rPr>
      <t>Kab.      Samosir</t>
    </r>
  </si>
  <si>
    <r>
      <rPr>
        <sz val="9"/>
        <color rgb="FF231F20"/>
        <rFont val="Times New Roman"/>
        <family val="1"/>
      </rPr>
      <t>Kab.      Serdang Bedagai</t>
    </r>
  </si>
  <si>
    <r>
      <rPr>
        <sz val="9"/>
        <color rgb="FF231F20"/>
        <rFont val="Times New Roman"/>
        <family val="1"/>
      </rPr>
      <t>Kab.      Batu Bara</t>
    </r>
  </si>
  <si>
    <r>
      <rPr>
        <sz val="9"/>
        <color rgb="FF231F20"/>
        <rFont val="Times New Roman"/>
        <family val="1"/>
      </rPr>
      <t>Kab.      Padang Lawas utara</t>
    </r>
  </si>
  <si>
    <r>
      <rPr>
        <sz val="9"/>
        <color rgb="FF231F20"/>
        <rFont val="Times New Roman"/>
        <family val="1"/>
      </rPr>
      <t>Kab.      Padang Lawas</t>
    </r>
  </si>
  <si>
    <r>
      <rPr>
        <sz val="9"/>
        <color rgb="FF231F20"/>
        <rFont val="Times New Roman"/>
        <family val="1"/>
      </rPr>
      <t>Kab.      Labuhan batu Selatan</t>
    </r>
  </si>
  <si>
    <r>
      <rPr>
        <sz val="9"/>
        <color rgb="FF231F20"/>
        <rFont val="Times New Roman"/>
        <family val="1"/>
      </rPr>
      <t>Kab.      Labuhan batu Utara</t>
    </r>
  </si>
  <si>
    <r>
      <rPr>
        <sz val="9"/>
        <color rgb="FF231F20"/>
        <rFont val="Times New Roman"/>
        <family val="1"/>
      </rPr>
      <t>Kab.      Nias Utara</t>
    </r>
  </si>
  <si>
    <r>
      <rPr>
        <sz val="9"/>
        <color rgb="FF231F20"/>
        <rFont val="Times New Roman"/>
        <family val="1"/>
      </rPr>
      <t>Kab.      Nias Barat</t>
    </r>
  </si>
  <si>
    <r>
      <rPr>
        <sz val="9"/>
        <color rgb="FF231F20"/>
        <rFont val="Times New Roman"/>
        <family val="1"/>
      </rPr>
      <t>Kota      Sibolga</t>
    </r>
  </si>
  <si>
    <r>
      <rPr>
        <sz val="9"/>
        <color rgb="FF231F20"/>
        <rFont val="Times New Roman"/>
        <family val="1"/>
      </rPr>
      <t>Kota      Tanjung Balai</t>
    </r>
  </si>
  <si>
    <r>
      <rPr>
        <sz val="9"/>
        <color rgb="FF231F20"/>
        <rFont val="Times New Roman"/>
        <family val="1"/>
      </rPr>
      <t>Kota      Pematang Siantar</t>
    </r>
  </si>
  <si>
    <r>
      <rPr>
        <sz val="9"/>
        <color rgb="FF231F20"/>
        <rFont val="Times New Roman"/>
        <family val="1"/>
      </rPr>
      <t>Kota      Tebing Tinggi</t>
    </r>
  </si>
  <si>
    <r>
      <rPr>
        <sz val="9"/>
        <color rgb="FF231F20"/>
        <rFont val="Times New Roman"/>
        <family val="1"/>
      </rPr>
      <t>Kota      Medan</t>
    </r>
  </si>
  <si>
    <r>
      <rPr>
        <sz val="9"/>
        <color rgb="FF231F20"/>
        <rFont val="Times New Roman"/>
        <family val="1"/>
      </rPr>
      <t>Kota      Binjai</t>
    </r>
  </si>
  <si>
    <r>
      <rPr>
        <sz val="9"/>
        <color rgb="FF231F20"/>
        <rFont val="Times New Roman"/>
        <family val="1"/>
      </rPr>
      <t>Kota      P. Sidimpuan</t>
    </r>
  </si>
  <si>
    <r>
      <rPr>
        <sz val="9"/>
        <color rgb="FF231F20"/>
        <rFont val="Times New Roman"/>
        <family val="1"/>
      </rPr>
      <t>Kota      Gunung Sitoli</t>
    </r>
  </si>
  <si>
    <r>
      <rPr>
        <sz val="9"/>
        <color rgb="FF231F20"/>
        <rFont val="Times New Roman"/>
        <family val="1"/>
      </rPr>
      <t>Kab.      Kerinci</t>
    </r>
  </si>
  <si>
    <r>
      <rPr>
        <sz val="9"/>
        <color rgb="FF231F20"/>
        <rFont val="Times New Roman"/>
        <family val="1"/>
      </rPr>
      <t>Kab.      Merangin</t>
    </r>
  </si>
  <si>
    <r>
      <rPr>
        <sz val="9"/>
        <color rgb="FF231F20"/>
        <rFont val="Times New Roman"/>
        <family val="1"/>
      </rPr>
      <t>Kab.      Sarolangun</t>
    </r>
  </si>
  <si>
    <r>
      <rPr>
        <sz val="9"/>
        <color rgb="FF231F20"/>
        <rFont val="Times New Roman"/>
        <family val="1"/>
      </rPr>
      <t>Kab.      Batanghari</t>
    </r>
  </si>
  <si>
    <r>
      <rPr>
        <sz val="9"/>
        <color rgb="FF231F20"/>
        <rFont val="Times New Roman"/>
        <family val="1"/>
      </rPr>
      <t>Kab.      Muaro Jambi</t>
    </r>
  </si>
  <si>
    <r>
      <rPr>
        <sz val="9"/>
        <color rgb="FF231F20"/>
        <rFont val="Times New Roman"/>
        <family val="1"/>
      </rPr>
      <t>Kab.      Tanjung Jabung Timur</t>
    </r>
  </si>
  <si>
    <r>
      <rPr>
        <sz val="9"/>
        <color rgb="FF231F20"/>
        <rFont val="Times New Roman"/>
        <family val="1"/>
      </rPr>
      <t>Kab.      Tanjung Jabung Barat</t>
    </r>
  </si>
  <si>
    <r>
      <rPr>
        <sz val="9"/>
        <color rgb="FF231F20"/>
        <rFont val="Times New Roman"/>
        <family val="1"/>
      </rPr>
      <t>Kab.      T e b o</t>
    </r>
  </si>
  <si>
    <r>
      <rPr>
        <sz val="9"/>
        <color rgb="FF231F20"/>
        <rFont val="Times New Roman"/>
        <family val="1"/>
      </rPr>
      <t>Kab.      Bungo</t>
    </r>
  </si>
  <si>
    <r>
      <rPr>
        <sz val="9"/>
        <color rgb="FF231F20"/>
        <rFont val="Times New Roman"/>
        <family val="1"/>
      </rPr>
      <t>Kota      Jambi</t>
    </r>
  </si>
  <si>
    <r>
      <rPr>
        <sz val="9"/>
        <color rgb="FF231F20"/>
        <rFont val="Times New Roman"/>
        <family val="1"/>
      </rPr>
      <t>Kota      Sungai Penuh</t>
    </r>
  </si>
  <si>
    <r>
      <rPr>
        <sz val="9"/>
        <color rgb="FF231F20"/>
        <rFont val="Times New Roman"/>
        <family val="1"/>
      </rPr>
      <t>Kab.      Ogan Komering Ulu</t>
    </r>
  </si>
  <si>
    <r>
      <rPr>
        <sz val="9"/>
        <color rgb="FF231F20"/>
        <rFont val="Times New Roman"/>
        <family val="1"/>
      </rPr>
      <t>Kab.      OKI</t>
    </r>
  </si>
  <si>
    <r>
      <rPr>
        <sz val="9"/>
        <color rgb="FF231F20"/>
        <rFont val="Times New Roman"/>
        <family val="1"/>
      </rPr>
      <t>Kab.      Muara Enim</t>
    </r>
  </si>
  <si>
    <r>
      <rPr>
        <sz val="9"/>
        <color rgb="FF231F20"/>
        <rFont val="Times New Roman"/>
        <family val="1"/>
      </rPr>
      <t>Kab.      Lahat</t>
    </r>
  </si>
  <si>
    <r>
      <rPr>
        <sz val="9"/>
        <color rgb="FF231F20"/>
        <rFont val="Times New Roman"/>
        <family val="1"/>
      </rPr>
      <t>Kab.      Musi Rawas</t>
    </r>
  </si>
  <si>
    <r>
      <rPr>
        <sz val="9"/>
        <color rgb="FF231F20"/>
        <rFont val="Times New Roman"/>
        <family val="1"/>
      </rPr>
      <t>Kab.      Musi Banyuasin</t>
    </r>
  </si>
  <si>
    <r>
      <rPr>
        <sz val="9"/>
        <color rgb="FF231F20"/>
        <rFont val="Times New Roman"/>
        <family val="1"/>
      </rPr>
      <t>Kab.      Banyu Asin</t>
    </r>
  </si>
  <si>
    <r>
      <rPr>
        <sz val="9"/>
        <color rgb="FF231F20"/>
        <rFont val="Times New Roman"/>
        <family val="1"/>
      </rPr>
      <t>Kab.      OKU Selatan</t>
    </r>
  </si>
  <si>
    <r>
      <rPr>
        <sz val="9"/>
        <color rgb="FF231F20"/>
        <rFont val="Times New Roman"/>
        <family val="1"/>
      </rPr>
      <t>Kab.      OKU Timur</t>
    </r>
  </si>
  <si>
    <r>
      <rPr>
        <sz val="9"/>
        <color rgb="FF231F20"/>
        <rFont val="Times New Roman"/>
        <family val="1"/>
      </rPr>
      <t>Kab.      Ogan Ilir</t>
    </r>
  </si>
  <si>
    <r>
      <rPr>
        <sz val="9"/>
        <color rgb="FF231F20"/>
        <rFont val="Times New Roman"/>
        <family val="1"/>
      </rPr>
      <t>Kab.      Empat Lawang</t>
    </r>
  </si>
  <si>
    <r>
      <rPr>
        <sz val="9"/>
        <color rgb="FF231F20"/>
        <rFont val="Times New Roman"/>
        <family val="1"/>
      </rPr>
      <t>Kab.      Penukal Abab</t>
    </r>
    <r>
      <rPr>
        <sz val="9"/>
        <rFont val="Times New Roman"/>
        <family val="1"/>
      </rPr>
      <t xml:space="preserve"> Lematang Ilir</t>
    </r>
  </si>
  <si>
    <r>
      <rPr>
        <sz val="9"/>
        <color rgb="FF231F20"/>
        <rFont val="Times New Roman"/>
        <family val="1"/>
      </rPr>
      <t>Kab.      Musi Rawas Utara</t>
    </r>
  </si>
  <si>
    <r>
      <rPr>
        <sz val="9"/>
        <color rgb="FF231F20"/>
        <rFont val="Times New Roman"/>
        <family val="1"/>
      </rPr>
      <t>Kota      Palembang</t>
    </r>
  </si>
  <si>
    <r>
      <rPr>
        <sz val="9"/>
        <color rgb="FF231F20"/>
        <rFont val="Times New Roman"/>
        <family val="1"/>
      </rPr>
      <t>Kota      Prabumulih</t>
    </r>
  </si>
  <si>
    <r>
      <rPr>
        <sz val="9"/>
        <color rgb="FF231F20"/>
        <rFont val="Times New Roman"/>
        <family val="1"/>
      </rPr>
      <t>Kota      Pagar Alam</t>
    </r>
  </si>
  <si>
    <r>
      <rPr>
        <sz val="9"/>
        <color rgb="FF231F20"/>
        <rFont val="Times New Roman"/>
        <family val="1"/>
      </rPr>
      <t>Kota      Lubuk Linggau</t>
    </r>
  </si>
  <si>
    <r>
      <rPr>
        <sz val="9"/>
        <color rgb="FF231F20"/>
        <rFont val="Times New Roman"/>
        <family val="1"/>
      </rPr>
      <t>Kab.      Bangka</t>
    </r>
  </si>
  <si>
    <r>
      <rPr>
        <sz val="9"/>
        <color rgb="FF231F20"/>
        <rFont val="Times New Roman"/>
        <family val="1"/>
      </rPr>
      <t>Kab.      Belitung</t>
    </r>
  </si>
  <si>
    <r>
      <rPr>
        <sz val="9"/>
        <color rgb="FF231F20"/>
        <rFont val="Times New Roman"/>
        <family val="1"/>
      </rPr>
      <t>Kab.      Bangka Barat</t>
    </r>
  </si>
  <si>
    <r>
      <rPr>
        <sz val="9"/>
        <color rgb="FF231F20"/>
        <rFont val="Times New Roman"/>
        <family val="1"/>
      </rPr>
      <t>Kab.      Bangka Tengah</t>
    </r>
  </si>
  <si>
    <r>
      <rPr>
        <sz val="9"/>
        <color rgb="FF231F20"/>
        <rFont val="Times New Roman"/>
        <family val="1"/>
      </rPr>
      <t>Kab.      Bangka Selatan</t>
    </r>
  </si>
  <si>
    <r>
      <rPr>
        <sz val="9"/>
        <color rgb="FF231F20"/>
        <rFont val="Times New Roman"/>
        <family val="1"/>
      </rPr>
      <t>Kab.      Belitung Timur</t>
    </r>
  </si>
  <si>
    <r>
      <rPr>
        <sz val="9"/>
        <color rgb="FF231F20"/>
        <rFont val="Times New Roman"/>
        <family val="1"/>
      </rPr>
      <t>Kota      Pangkal Pinang</t>
    </r>
  </si>
  <si>
    <r>
      <rPr>
        <sz val="9"/>
        <color rgb="FF231F20"/>
        <rFont val="Times New Roman"/>
        <family val="1"/>
      </rPr>
      <t>Kab.      Bengkulu Selatan</t>
    </r>
  </si>
  <si>
    <r>
      <rPr>
        <sz val="9"/>
        <color rgb="FF231F20"/>
        <rFont val="Times New Roman"/>
        <family val="1"/>
      </rPr>
      <t>Kab.      Rejang lebong</t>
    </r>
  </si>
  <si>
    <r>
      <rPr>
        <sz val="9"/>
        <color rgb="FF231F20"/>
        <rFont val="Times New Roman"/>
        <family val="1"/>
      </rPr>
      <t>Kab.      Bengkulu utara</t>
    </r>
  </si>
  <si>
    <r>
      <rPr>
        <sz val="9"/>
        <color rgb="FF231F20"/>
        <rFont val="Times New Roman"/>
        <family val="1"/>
      </rPr>
      <t>Kab.      Kaur</t>
    </r>
  </si>
  <si>
    <r>
      <rPr>
        <sz val="9"/>
        <color rgb="FF231F20"/>
        <rFont val="Times New Roman"/>
        <family val="1"/>
      </rPr>
      <t>Kab.      Seluma</t>
    </r>
  </si>
  <si>
    <r>
      <rPr>
        <sz val="9"/>
        <color rgb="FF231F20"/>
        <rFont val="Times New Roman"/>
        <family val="1"/>
      </rPr>
      <t>Kab.      Lebong</t>
    </r>
  </si>
  <si>
    <r>
      <rPr>
        <sz val="9"/>
        <color rgb="FF231F20"/>
        <rFont val="Times New Roman"/>
        <family val="1"/>
      </rPr>
      <t>Kab.      Kepahyang</t>
    </r>
  </si>
  <si>
    <r>
      <rPr>
        <sz val="9"/>
        <color rgb="FF231F20"/>
        <rFont val="Times New Roman"/>
        <family val="1"/>
      </rPr>
      <t>Kab.      Bengkulu Tengah</t>
    </r>
  </si>
  <si>
    <r>
      <rPr>
        <sz val="9"/>
        <color rgb="FF231F20"/>
        <rFont val="Times New Roman"/>
        <family val="1"/>
      </rPr>
      <t>Kota      Bengkulu</t>
    </r>
  </si>
  <si>
    <r>
      <rPr>
        <sz val="9"/>
        <color rgb="FF231F20"/>
        <rFont val="Times New Roman"/>
        <family val="1"/>
      </rPr>
      <t>Kab.      Lampung Barat</t>
    </r>
  </si>
  <si>
    <r>
      <rPr>
        <sz val="9"/>
        <color rgb="FF231F20"/>
        <rFont val="Times New Roman"/>
        <family val="1"/>
      </rPr>
      <t>Kab.      Tanggamus</t>
    </r>
  </si>
  <si>
    <r>
      <rPr>
        <sz val="9"/>
        <color rgb="FF231F20"/>
        <rFont val="Times New Roman"/>
        <family val="1"/>
      </rPr>
      <t>Kab.      Lampung Selatan</t>
    </r>
  </si>
  <si>
    <r>
      <rPr>
        <sz val="9"/>
        <color rgb="FF231F20"/>
        <rFont val="Times New Roman"/>
        <family val="1"/>
      </rPr>
      <t>Kab.      Lampung Timur</t>
    </r>
  </si>
  <si>
    <r>
      <rPr>
        <sz val="9"/>
        <color rgb="FF231F20"/>
        <rFont val="Times New Roman"/>
        <family val="1"/>
      </rPr>
      <t>Kab.      Lampung Tengah</t>
    </r>
  </si>
  <si>
    <r>
      <rPr>
        <sz val="9"/>
        <color rgb="FF231F20"/>
        <rFont val="Times New Roman"/>
        <family val="1"/>
      </rPr>
      <t>Kab.      Lampung Utara</t>
    </r>
  </si>
  <si>
    <r>
      <rPr>
        <sz val="9"/>
        <color rgb="FF231F20"/>
        <rFont val="Times New Roman"/>
        <family val="1"/>
      </rPr>
      <t>Kab.      Way Kanan</t>
    </r>
  </si>
  <si>
    <r>
      <rPr>
        <sz val="9"/>
        <color rgb="FF231F20"/>
        <rFont val="Times New Roman"/>
        <family val="1"/>
      </rPr>
      <t>Kab.      Tulang Bawang</t>
    </r>
  </si>
  <si>
    <r>
      <rPr>
        <sz val="9"/>
        <color rgb="FF231F20"/>
        <rFont val="Times New Roman"/>
        <family val="1"/>
      </rPr>
      <t>Kab.      Pesawaran</t>
    </r>
  </si>
  <si>
    <r>
      <rPr>
        <sz val="9"/>
        <color rgb="FF231F20"/>
        <rFont val="Times New Roman"/>
        <family val="1"/>
      </rPr>
      <t>Kab.      Pringsewu</t>
    </r>
  </si>
  <si>
    <r>
      <rPr>
        <sz val="9"/>
        <color rgb="FF231F20"/>
        <rFont val="Times New Roman"/>
        <family val="1"/>
      </rPr>
      <t>Kab.      Mesuji</t>
    </r>
  </si>
  <si>
    <r>
      <rPr>
        <sz val="9"/>
        <color rgb="FF231F20"/>
        <rFont val="Times New Roman"/>
        <family val="1"/>
      </rPr>
      <t>Kab.      Tulang Bawang Barat</t>
    </r>
  </si>
  <si>
    <r>
      <rPr>
        <sz val="9"/>
        <color rgb="FF231F20"/>
        <rFont val="Times New Roman"/>
        <family val="1"/>
      </rPr>
      <t>Kab.      Pesisir Barat</t>
    </r>
  </si>
  <si>
    <r>
      <rPr>
        <sz val="9"/>
        <color rgb="FF231F20"/>
        <rFont val="Times New Roman"/>
        <family val="1"/>
      </rPr>
      <t>Kota      Bandar Lampung</t>
    </r>
  </si>
  <si>
    <r>
      <rPr>
        <sz val="9"/>
        <color rgb="FF231F20"/>
        <rFont val="Times New Roman"/>
        <family val="1"/>
      </rPr>
      <t>Kota      Metro</t>
    </r>
  </si>
  <si>
    <r>
      <rPr>
        <sz val="9"/>
        <color rgb="FF231F20"/>
        <rFont val="Times New Roman"/>
        <family val="1"/>
      </rPr>
      <t>Kab.      Bogor</t>
    </r>
  </si>
  <si>
    <r>
      <rPr>
        <sz val="9"/>
        <color rgb="FF231F20"/>
        <rFont val="Times New Roman"/>
        <family val="1"/>
      </rPr>
      <t>Kab.      Sukabumi</t>
    </r>
  </si>
  <si>
    <r>
      <rPr>
        <sz val="9"/>
        <color rgb="FF231F20"/>
        <rFont val="Times New Roman"/>
        <family val="1"/>
      </rPr>
      <t>Kab.      Cianjur</t>
    </r>
  </si>
  <si>
    <r>
      <rPr>
        <sz val="9"/>
        <color rgb="FF231F20"/>
        <rFont val="Times New Roman"/>
        <family val="1"/>
      </rPr>
      <t>Kab.      Bandung</t>
    </r>
  </si>
  <si>
    <r>
      <rPr>
        <sz val="9"/>
        <color rgb="FF231F20"/>
        <rFont val="Times New Roman"/>
        <family val="1"/>
      </rPr>
      <t>Kab.      Garut</t>
    </r>
  </si>
  <si>
    <r>
      <rPr>
        <sz val="9"/>
        <color rgb="FF231F20"/>
        <rFont val="Times New Roman"/>
        <family val="1"/>
      </rPr>
      <t>Kab.      Tasikmalaya</t>
    </r>
  </si>
  <si>
    <r>
      <rPr>
        <sz val="9"/>
        <color rgb="FF231F20"/>
        <rFont val="Times New Roman"/>
        <family val="1"/>
      </rPr>
      <t>Kab.      Ciamis</t>
    </r>
  </si>
  <si>
    <r>
      <rPr>
        <sz val="9"/>
        <color rgb="FF231F20"/>
        <rFont val="Times New Roman"/>
        <family val="1"/>
      </rPr>
      <t>Kab.      Kuningan</t>
    </r>
  </si>
  <si>
    <r>
      <rPr>
        <sz val="9"/>
        <color rgb="FF231F20"/>
        <rFont val="Times New Roman"/>
        <family val="1"/>
      </rPr>
      <t>Kab.      Cirebon</t>
    </r>
  </si>
  <si>
    <r>
      <rPr>
        <sz val="9"/>
        <color rgb="FF231F20"/>
        <rFont val="Times New Roman"/>
        <family val="1"/>
      </rPr>
      <t>Kab.      Majalengka</t>
    </r>
  </si>
  <si>
    <r>
      <rPr>
        <sz val="9"/>
        <color rgb="FF231F20"/>
        <rFont val="Times New Roman"/>
        <family val="1"/>
      </rPr>
      <t>Kab.      Sumedang</t>
    </r>
  </si>
  <si>
    <r>
      <rPr>
        <sz val="9"/>
        <color rgb="FF231F20"/>
        <rFont val="Times New Roman"/>
        <family val="1"/>
      </rPr>
      <t>Kab.      Indramayu</t>
    </r>
  </si>
  <si>
    <r>
      <rPr>
        <sz val="9"/>
        <color rgb="FF231F20"/>
        <rFont val="Times New Roman"/>
        <family val="1"/>
      </rPr>
      <t>Kab.      Subang</t>
    </r>
  </si>
  <si>
    <r>
      <rPr>
        <sz val="9"/>
        <color rgb="FF231F20"/>
        <rFont val="Times New Roman"/>
        <family val="1"/>
      </rPr>
      <t>Kab.      Purwakarta</t>
    </r>
  </si>
  <si>
    <r>
      <rPr>
        <sz val="9"/>
        <color rgb="FF231F20"/>
        <rFont val="Times New Roman"/>
        <family val="1"/>
      </rPr>
      <t>Kab.      Karawang</t>
    </r>
  </si>
  <si>
    <r>
      <rPr>
        <sz val="9"/>
        <color rgb="FF231F20"/>
        <rFont val="Times New Roman"/>
        <family val="1"/>
      </rPr>
      <t>Kab.      Bekasi</t>
    </r>
  </si>
  <si>
    <r>
      <rPr>
        <sz val="9"/>
        <color rgb="FF231F20"/>
        <rFont val="Times New Roman"/>
        <family val="1"/>
      </rPr>
      <t>Kab.      Bandung Barat</t>
    </r>
  </si>
  <si>
    <r>
      <rPr>
        <sz val="9"/>
        <color rgb="FF231F20"/>
        <rFont val="Times New Roman"/>
        <family val="1"/>
      </rPr>
      <t>Kab.      Pangandaran</t>
    </r>
  </si>
  <si>
    <r>
      <rPr>
        <sz val="9"/>
        <color rgb="FF231F20"/>
        <rFont val="Times New Roman"/>
        <family val="1"/>
      </rPr>
      <t>Kota      Bogor</t>
    </r>
  </si>
  <si>
    <r>
      <rPr>
        <sz val="9"/>
        <color rgb="FF231F20"/>
        <rFont val="Times New Roman"/>
        <family val="1"/>
      </rPr>
      <t>Kota      Sukabumi</t>
    </r>
  </si>
  <si>
    <r>
      <rPr>
        <sz val="9"/>
        <color rgb="FF231F20"/>
        <rFont val="Times New Roman"/>
        <family val="1"/>
      </rPr>
      <t>Kota      Bandung</t>
    </r>
  </si>
  <si>
    <r>
      <rPr>
        <sz val="9"/>
        <color rgb="FF231F20"/>
        <rFont val="Times New Roman"/>
        <family val="1"/>
      </rPr>
      <t>Kota      Cirebon</t>
    </r>
  </si>
  <si>
    <r>
      <rPr>
        <sz val="9"/>
        <color rgb="FF231F20"/>
        <rFont val="Times New Roman"/>
        <family val="1"/>
      </rPr>
      <t>Kota      Bekasi</t>
    </r>
  </si>
  <si>
    <r>
      <rPr>
        <sz val="9"/>
        <color rgb="FF231F20"/>
        <rFont val="Times New Roman"/>
        <family val="1"/>
      </rPr>
      <t>Kota      Depok</t>
    </r>
  </si>
  <si>
    <r>
      <rPr>
        <sz val="9"/>
        <color rgb="FF231F20"/>
        <rFont val="Times New Roman"/>
        <family val="1"/>
      </rPr>
      <t>Kota      Cimahi</t>
    </r>
  </si>
  <si>
    <r>
      <rPr>
        <sz val="9"/>
        <color rgb="FF231F20"/>
        <rFont val="Times New Roman"/>
        <family val="1"/>
      </rPr>
      <t>Kota      Tasikmalaya</t>
    </r>
  </si>
  <si>
    <r>
      <rPr>
        <sz val="9"/>
        <color rgb="FF231F20"/>
        <rFont val="Times New Roman"/>
        <family val="1"/>
      </rPr>
      <t>Kota      Banjar</t>
    </r>
  </si>
  <si>
    <r>
      <rPr>
        <sz val="9"/>
        <color rgb="FF231F20"/>
        <rFont val="Times New Roman"/>
        <family val="1"/>
      </rPr>
      <t>Kab.      Pandeglang</t>
    </r>
  </si>
  <si>
    <r>
      <rPr>
        <sz val="9"/>
        <color rgb="FF231F20"/>
        <rFont val="Times New Roman"/>
        <family val="1"/>
      </rPr>
      <t>Kab.      Lebak</t>
    </r>
  </si>
  <si>
    <r>
      <rPr>
        <sz val="9"/>
        <color rgb="FF231F20"/>
        <rFont val="Times New Roman"/>
        <family val="1"/>
      </rPr>
      <t>Kab.      Tangerang</t>
    </r>
  </si>
  <si>
    <r>
      <rPr>
        <sz val="9"/>
        <color rgb="FF231F20"/>
        <rFont val="Times New Roman"/>
        <family val="1"/>
      </rPr>
      <t>Kab.      Serang</t>
    </r>
  </si>
  <si>
    <r>
      <rPr>
        <sz val="9"/>
        <color rgb="FF231F20"/>
        <rFont val="Times New Roman"/>
        <family val="1"/>
      </rPr>
      <t>Kota      Tangerang</t>
    </r>
  </si>
  <si>
    <r>
      <rPr>
        <sz val="9"/>
        <color rgb="FF231F20"/>
        <rFont val="Times New Roman"/>
        <family val="1"/>
      </rPr>
      <t>Kota      Cilegon</t>
    </r>
  </si>
  <si>
    <r>
      <rPr>
        <sz val="9"/>
        <color rgb="FF231F20"/>
        <rFont val="Times New Roman"/>
        <family val="1"/>
      </rPr>
      <t>Kota      Serang</t>
    </r>
  </si>
  <si>
    <r>
      <rPr>
        <sz val="9"/>
        <color rgb="FF231F20"/>
        <rFont val="Times New Roman"/>
        <family val="1"/>
      </rPr>
      <t>Kota      Tangerang Selatan</t>
    </r>
  </si>
  <si>
    <r>
      <rPr>
        <sz val="9"/>
        <color rgb="FF231F20"/>
        <rFont val="Times New Roman"/>
        <family val="1"/>
      </rPr>
      <t>Kab.      Cilacap</t>
    </r>
  </si>
  <si>
    <r>
      <rPr>
        <sz val="9"/>
        <color rgb="FF231F20"/>
        <rFont val="Times New Roman"/>
        <family val="1"/>
      </rPr>
      <t>Kab.      Banyumas</t>
    </r>
  </si>
  <si>
    <r>
      <rPr>
        <sz val="9"/>
        <color rgb="FF231F20"/>
        <rFont val="Times New Roman"/>
        <family val="1"/>
      </rPr>
      <t>Kab.      Purbalingga</t>
    </r>
  </si>
  <si>
    <r>
      <rPr>
        <sz val="9"/>
        <color rgb="FF231F20"/>
        <rFont val="Times New Roman"/>
        <family val="1"/>
      </rPr>
      <t>Kab.      Banjarnegara</t>
    </r>
  </si>
  <si>
    <r>
      <rPr>
        <sz val="9"/>
        <color rgb="FF231F20"/>
        <rFont val="Times New Roman"/>
        <family val="1"/>
      </rPr>
      <t>Kab.      Kebumen</t>
    </r>
  </si>
  <si>
    <r>
      <rPr>
        <sz val="9"/>
        <color rgb="FF231F20"/>
        <rFont val="Times New Roman"/>
        <family val="1"/>
      </rPr>
      <t>Kab.      Purworejo</t>
    </r>
  </si>
  <si>
    <r>
      <rPr>
        <sz val="9"/>
        <color rgb="FF231F20"/>
        <rFont val="Times New Roman"/>
        <family val="1"/>
      </rPr>
      <t>Kab.      Wonosobo</t>
    </r>
  </si>
  <si>
    <r>
      <rPr>
        <sz val="9"/>
        <color rgb="FF231F20"/>
        <rFont val="Times New Roman"/>
        <family val="1"/>
      </rPr>
      <t>Kab.      Magelang</t>
    </r>
  </si>
  <si>
    <r>
      <rPr>
        <sz val="9"/>
        <color rgb="FF231F20"/>
        <rFont val="Times New Roman"/>
        <family val="1"/>
      </rPr>
      <t>Kab.      Boyolali</t>
    </r>
  </si>
  <si>
    <r>
      <rPr>
        <sz val="9"/>
        <color rgb="FF231F20"/>
        <rFont val="Times New Roman"/>
        <family val="1"/>
      </rPr>
      <t>Kab.      Klaten</t>
    </r>
  </si>
  <si>
    <r>
      <rPr>
        <sz val="9"/>
        <color rgb="FF231F20"/>
        <rFont val="Times New Roman"/>
        <family val="1"/>
      </rPr>
      <t>Kab.      Sukoharjo</t>
    </r>
  </si>
  <si>
    <r>
      <rPr>
        <sz val="9"/>
        <color rgb="FF231F20"/>
        <rFont val="Times New Roman"/>
        <family val="1"/>
      </rPr>
      <t>Kab.      Wonogiri</t>
    </r>
  </si>
  <si>
    <r>
      <rPr>
        <sz val="9"/>
        <color rgb="FF231F20"/>
        <rFont val="Times New Roman"/>
        <family val="1"/>
      </rPr>
      <t>Kab.      Karang Anyar</t>
    </r>
  </si>
  <si>
    <r>
      <rPr>
        <sz val="9"/>
        <color rgb="FF231F20"/>
        <rFont val="Times New Roman"/>
        <family val="1"/>
      </rPr>
      <t>Kab.      Sragen</t>
    </r>
  </si>
  <si>
    <r>
      <rPr>
        <sz val="9"/>
        <color rgb="FF231F20"/>
        <rFont val="Times New Roman"/>
        <family val="1"/>
      </rPr>
      <t>Kab.      Grobogan</t>
    </r>
  </si>
  <si>
    <r>
      <rPr>
        <sz val="9"/>
        <color rgb="FF231F20"/>
        <rFont val="Times New Roman"/>
        <family val="1"/>
      </rPr>
      <t>Kab.      Blora</t>
    </r>
  </si>
  <si>
    <r>
      <rPr>
        <sz val="9"/>
        <color rgb="FF231F20"/>
        <rFont val="Times New Roman"/>
        <family val="1"/>
      </rPr>
      <t>Kab.      Rembang</t>
    </r>
  </si>
  <si>
    <r>
      <rPr>
        <sz val="9"/>
        <color rgb="FF231F20"/>
        <rFont val="Times New Roman"/>
        <family val="1"/>
      </rPr>
      <t>Kab.      Pati</t>
    </r>
  </si>
  <si>
    <r>
      <rPr>
        <sz val="9"/>
        <color rgb="FF231F20"/>
        <rFont val="Times New Roman"/>
        <family val="1"/>
      </rPr>
      <t>Kab.      Kudus</t>
    </r>
  </si>
  <si>
    <r>
      <rPr>
        <sz val="9"/>
        <color rgb="FF231F20"/>
        <rFont val="Times New Roman"/>
        <family val="1"/>
      </rPr>
      <t>Kab.      Jepara</t>
    </r>
  </si>
  <si>
    <r>
      <rPr>
        <sz val="9"/>
        <color rgb="FF231F20"/>
        <rFont val="Times New Roman"/>
        <family val="1"/>
      </rPr>
      <t>Kab.      Demak</t>
    </r>
  </si>
  <si>
    <r>
      <rPr>
        <sz val="9"/>
        <color rgb="FF231F20"/>
        <rFont val="Times New Roman"/>
        <family val="1"/>
      </rPr>
      <t>Kab.      Semarang</t>
    </r>
  </si>
  <si>
    <r>
      <rPr>
        <sz val="9"/>
        <color rgb="FF231F20"/>
        <rFont val="Times New Roman"/>
        <family val="1"/>
      </rPr>
      <t>Kab.      Temanggung</t>
    </r>
  </si>
  <si>
    <r>
      <rPr>
        <sz val="9"/>
        <color rgb="FF231F20"/>
        <rFont val="Times New Roman"/>
        <family val="1"/>
      </rPr>
      <t>Kab.      Kendal</t>
    </r>
  </si>
  <si>
    <r>
      <rPr>
        <sz val="9"/>
        <color rgb="FF231F20"/>
        <rFont val="Times New Roman"/>
        <family val="1"/>
      </rPr>
      <t>Kab.      Batang</t>
    </r>
  </si>
  <si>
    <r>
      <rPr>
        <sz val="9"/>
        <color rgb="FF231F20"/>
        <rFont val="Times New Roman"/>
        <family val="1"/>
      </rPr>
      <t>Kab.      Pekalongan</t>
    </r>
  </si>
  <si>
    <r>
      <rPr>
        <sz val="9"/>
        <color rgb="FF231F20"/>
        <rFont val="Times New Roman"/>
        <family val="1"/>
      </rPr>
      <t>Kab.      Pemalang</t>
    </r>
  </si>
  <si>
    <r>
      <rPr>
        <sz val="9"/>
        <color rgb="FF231F20"/>
        <rFont val="Times New Roman"/>
        <family val="1"/>
      </rPr>
      <t>Kab.      Tegal</t>
    </r>
  </si>
  <si>
    <r>
      <rPr>
        <sz val="9"/>
        <color rgb="FF231F20"/>
        <rFont val="Times New Roman"/>
        <family val="1"/>
      </rPr>
      <t>Kab.      Brebes</t>
    </r>
  </si>
  <si>
    <r>
      <rPr>
        <sz val="9"/>
        <color rgb="FF231F20"/>
        <rFont val="Times New Roman"/>
        <family val="1"/>
      </rPr>
      <t>Kota      Kota Magelang</t>
    </r>
  </si>
  <si>
    <r>
      <rPr>
        <sz val="9"/>
        <color rgb="FF231F20"/>
        <rFont val="Times New Roman"/>
        <family val="1"/>
      </rPr>
      <t>Kota      Kota Surakarta</t>
    </r>
  </si>
  <si>
    <r>
      <rPr>
        <sz val="9"/>
        <color rgb="FF231F20"/>
        <rFont val="Times New Roman"/>
        <family val="1"/>
      </rPr>
      <t>Kota      Kota Salatiga</t>
    </r>
  </si>
  <si>
    <r>
      <rPr>
        <sz val="9"/>
        <color rgb="FF231F20"/>
        <rFont val="Times New Roman"/>
        <family val="1"/>
      </rPr>
      <t>Kota      Kota Semarang</t>
    </r>
  </si>
  <si>
    <r>
      <rPr>
        <sz val="9"/>
        <color rgb="FF231F20"/>
        <rFont val="Times New Roman"/>
        <family val="1"/>
      </rPr>
      <t>Kota      Kota Pekalongan</t>
    </r>
  </si>
  <si>
    <r>
      <rPr>
        <sz val="9"/>
        <color rgb="FF231F20"/>
        <rFont val="Times New Roman"/>
        <family val="1"/>
      </rPr>
      <t>Kota      Kota Tegal</t>
    </r>
  </si>
  <si>
    <r>
      <rPr>
        <sz val="9"/>
        <color rgb="FF231F20"/>
        <rFont val="Times New Roman"/>
        <family val="1"/>
      </rPr>
      <t>Kab.      Kulon Progo</t>
    </r>
  </si>
  <si>
    <r>
      <rPr>
        <sz val="9"/>
        <color rgb="FF231F20"/>
        <rFont val="Times New Roman"/>
        <family val="1"/>
      </rPr>
      <t>Kab.      Bantul</t>
    </r>
  </si>
  <si>
    <r>
      <rPr>
        <sz val="9"/>
        <color rgb="FF231F20"/>
        <rFont val="Times New Roman"/>
        <family val="1"/>
      </rPr>
      <t>Kab.      Gunung Kidul</t>
    </r>
  </si>
  <si>
    <r>
      <rPr>
        <sz val="9"/>
        <color rgb="FF231F20"/>
        <rFont val="Times New Roman"/>
        <family val="1"/>
      </rPr>
      <t>Kab.      Sleman</t>
    </r>
  </si>
  <si>
    <r>
      <rPr>
        <sz val="9"/>
        <color rgb="FF231F20"/>
        <rFont val="Times New Roman"/>
        <family val="1"/>
      </rPr>
      <t>Kota      Yogyakarta</t>
    </r>
  </si>
  <si>
    <r>
      <rPr>
        <sz val="9"/>
        <color rgb="FF231F20"/>
        <rFont val="Times New Roman"/>
        <family val="1"/>
      </rPr>
      <t>Kab.      Pacitan</t>
    </r>
  </si>
  <si>
    <r>
      <rPr>
        <sz val="9"/>
        <color rgb="FF231F20"/>
        <rFont val="Times New Roman"/>
        <family val="1"/>
      </rPr>
      <t>Kab.      Ponorogo</t>
    </r>
  </si>
  <si>
    <r>
      <rPr>
        <sz val="9"/>
        <color rgb="FF231F20"/>
        <rFont val="Times New Roman"/>
        <family val="1"/>
      </rPr>
      <t>Kab.      Trenggalek</t>
    </r>
  </si>
  <si>
    <r>
      <rPr>
        <sz val="9"/>
        <color rgb="FF231F20"/>
        <rFont val="Times New Roman"/>
        <family val="1"/>
      </rPr>
      <t>Kab.      Tulungagung</t>
    </r>
  </si>
  <si>
    <r>
      <rPr>
        <sz val="9"/>
        <color rgb="FF231F20"/>
        <rFont val="Times New Roman"/>
        <family val="1"/>
      </rPr>
      <t>Kab.      Blitar</t>
    </r>
  </si>
  <si>
    <r>
      <rPr>
        <sz val="9"/>
        <color rgb="FF231F20"/>
        <rFont val="Times New Roman"/>
        <family val="1"/>
      </rPr>
      <t>Kab.      Kediri</t>
    </r>
  </si>
  <si>
    <r>
      <rPr>
        <sz val="9"/>
        <color rgb="FF231F20"/>
        <rFont val="Times New Roman"/>
        <family val="1"/>
      </rPr>
      <t>Kab.      Malang</t>
    </r>
  </si>
  <si>
    <r>
      <rPr>
        <sz val="9"/>
        <color rgb="FF231F20"/>
        <rFont val="Times New Roman"/>
        <family val="1"/>
      </rPr>
      <t>Kab.      Lumajang</t>
    </r>
  </si>
  <si>
    <r>
      <rPr>
        <sz val="9"/>
        <color rgb="FF231F20"/>
        <rFont val="Times New Roman"/>
        <family val="1"/>
      </rPr>
      <t>Kab.      Jember</t>
    </r>
  </si>
  <si>
    <r>
      <rPr>
        <sz val="9"/>
        <color rgb="FF231F20"/>
        <rFont val="Times New Roman"/>
        <family val="1"/>
      </rPr>
      <t>Kab.      Banyuwangi</t>
    </r>
  </si>
  <si>
    <r>
      <rPr>
        <sz val="9"/>
        <color rgb="FF231F20"/>
        <rFont val="Times New Roman"/>
        <family val="1"/>
      </rPr>
      <t>Kab.      Bondowoso</t>
    </r>
  </si>
  <si>
    <r>
      <rPr>
        <sz val="9"/>
        <color rgb="FF231F20"/>
        <rFont val="Times New Roman"/>
        <family val="1"/>
      </rPr>
      <t>Kab.      Situbondo</t>
    </r>
  </si>
  <si>
    <r>
      <rPr>
        <sz val="9"/>
        <color rgb="FF231F20"/>
        <rFont val="Times New Roman"/>
        <family val="1"/>
      </rPr>
      <t>Kab.      Probolinggo</t>
    </r>
  </si>
  <si>
    <r>
      <rPr>
        <sz val="9"/>
        <color rgb="FF231F20"/>
        <rFont val="Times New Roman"/>
        <family val="1"/>
      </rPr>
      <t>Kab.      Pasuruan</t>
    </r>
  </si>
  <si>
    <r>
      <rPr>
        <sz val="9"/>
        <color rgb="FF231F20"/>
        <rFont val="Times New Roman"/>
        <family val="1"/>
      </rPr>
      <t>Kab.      Sidoarjo</t>
    </r>
  </si>
  <si>
    <r>
      <rPr>
        <sz val="9"/>
        <color rgb="FF231F20"/>
        <rFont val="Times New Roman"/>
        <family val="1"/>
      </rPr>
      <t>Kab.      Mojokerto</t>
    </r>
  </si>
  <si>
    <r>
      <rPr>
        <sz val="9"/>
        <color rgb="FF231F20"/>
        <rFont val="Times New Roman"/>
        <family val="1"/>
      </rPr>
      <t>Kab.      Jombang</t>
    </r>
  </si>
  <si>
    <r>
      <rPr>
        <sz val="9"/>
        <color rgb="FF231F20"/>
        <rFont val="Times New Roman"/>
        <family val="1"/>
      </rPr>
      <t>Kab.      Nganjuk</t>
    </r>
  </si>
  <si>
    <r>
      <rPr>
        <sz val="9"/>
        <color rgb="FF231F20"/>
        <rFont val="Times New Roman"/>
        <family val="1"/>
      </rPr>
      <t>Kab.      Madiun</t>
    </r>
  </si>
  <si>
    <r>
      <rPr>
        <sz val="9"/>
        <color rgb="FF231F20"/>
        <rFont val="Times New Roman"/>
        <family val="1"/>
      </rPr>
      <t>Kab.      Magetan</t>
    </r>
  </si>
  <si>
    <r>
      <rPr>
        <sz val="9"/>
        <color rgb="FF231F20"/>
        <rFont val="Times New Roman"/>
        <family val="1"/>
      </rPr>
      <t>Kab.      Ngawi</t>
    </r>
  </si>
  <si>
    <r>
      <rPr>
        <sz val="9"/>
        <color rgb="FF231F20"/>
        <rFont val="Times New Roman"/>
        <family val="1"/>
      </rPr>
      <t>Kab.      Bojonegoro</t>
    </r>
  </si>
  <si>
    <r>
      <rPr>
        <sz val="9"/>
        <color rgb="FF231F20"/>
        <rFont val="Times New Roman"/>
        <family val="1"/>
      </rPr>
      <t>Kab.      Tuban</t>
    </r>
  </si>
  <si>
    <r>
      <rPr>
        <sz val="9"/>
        <color rgb="FF231F20"/>
        <rFont val="Times New Roman"/>
        <family val="1"/>
      </rPr>
      <t>Kab.      Lamongan</t>
    </r>
  </si>
  <si>
    <r>
      <rPr>
        <sz val="9"/>
        <color rgb="FF231F20"/>
        <rFont val="Times New Roman"/>
        <family val="1"/>
      </rPr>
      <t>Kab.      Gresik</t>
    </r>
  </si>
  <si>
    <r>
      <rPr>
        <sz val="9"/>
        <color rgb="FF231F20"/>
        <rFont val="Times New Roman"/>
        <family val="1"/>
      </rPr>
      <t>Kab.      Bangkalan</t>
    </r>
  </si>
  <si>
    <r>
      <rPr>
        <sz val="9"/>
        <color rgb="FF231F20"/>
        <rFont val="Times New Roman"/>
        <family val="1"/>
      </rPr>
      <t>Kab.      Sampang</t>
    </r>
  </si>
  <si>
    <r>
      <rPr>
        <sz val="9"/>
        <color rgb="FF231F20"/>
        <rFont val="Times New Roman"/>
        <family val="1"/>
      </rPr>
      <t>Kab.      Pamekasan</t>
    </r>
  </si>
  <si>
    <r>
      <rPr>
        <sz val="9"/>
        <color rgb="FF231F20"/>
        <rFont val="Times New Roman"/>
        <family val="1"/>
      </rPr>
      <t>Kab.      Sumenep</t>
    </r>
  </si>
  <si>
    <r>
      <rPr>
        <sz val="9"/>
        <color rgb="FF231F20"/>
        <rFont val="Times New Roman"/>
        <family val="1"/>
      </rPr>
      <t>Kota      Kediri</t>
    </r>
  </si>
  <si>
    <r>
      <rPr>
        <sz val="9"/>
        <color rgb="FF231F20"/>
        <rFont val="Times New Roman"/>
        <family val="1"/>
      </rPr>
      <t>Kota      Blitar</t>
    </r>
  </si>
  <si>
    <r>
      <rPr>
        <sz val="9"/>
        <color rgb="FF231F20"/>
        <rFont val="Times New Roman"/>
        <family val="1"/>
      </rPr>
      <t>Kota      Malang</t>
    </r>
  </si>
  <si>
    <r>
      <rPr>
        <sz val="9"/>
        <color rgb="FF231F20"/>
        <rFont val="Times New Roman"/>
        <family val="1"/>
      </rPr>
      <t>Kota      Probolinggo</t>
    </r>
  </si>
  <si>
    <r>
      <rPr>
        <sz val="9"/>
        <color rgb="FF231F20"/>
        <rFont val="Times New Roman"/>
        <family val="1"/>
      </rPr>
      <t>Kota      Pasuruan</t>
    </r>
  </si>
  <si>
    <r>
      <rPr>
        <sz val="9"/>
        <color rgb="FF231F20"/>
        <rFont val="Times New Roman"/>
        <family val="1"/>
      </rPr>
      <t>Kota      Mojokerto</t>
    </r>
  </si>
  <si>
    <r>
      <rPr>
        <sz val="9"/>
        <color rgb="FF231F20"/>
        <rFont val="Times New Roman"/>
        <family val="1"/>
      </rPr>
      <t>Kota      Madiun</t>
    </r>
  </si>
  <si>
    <r>
      <rPr>
        <sz val="9"/>
        <color rgb="FF231F20"/>
        <rFont val="Times New Roman"/>
        <family val="1"/>
      </rPr>
      <t>Kota      Surabaya</t>
    </r>
  </si>
  <si>
    <r>
      <rPr>
        <sz val="9"/>
        <color rgb="FF231F20"/>
        <rFont val="Times New Roman"/>
        <family val="1"/>
      </rPr>
      <t>Kota      Batu</t>
    </r>
  </si>
  <si>
    <r>
      <rPr>
        <sz val="9"/>
        <color rgb="FF231F20"/>
        <rFont val="Times New Roman"/>
        <family val="1"/>
      </rPr>
      <t>Kab.      Lombok Barat</t>
    </r>
  </si>
  <si>
    <r>
      <rPr>
        <sz val="9"/>
        <color rgb="FF231F20"/>
        <rFont val="Times New Roman"/>
        <family val="1"/>
      </rPr>
      <t>Kab.      Lombok Tengah</t>
    </r>
  </si>
  <si>
    <r>
      <rPr>
        <sz val="9"/>
        <color rgb="FF231F20"/>
        <rFont val="Times New Roman"/>
        <family val="1"/>
      </rPr>
      <t>Kab.      Lombok Timur</t>
    </r>
  </si>
  <si>
    <r>
      <rPr>
        <sz val="9"/>
        <color rgb="FF231F20"/>
        <rFont val="Times New Roman"/>
        <family val="1"/>
      </rPr>
      <t>Kab.      Sumbawa</t>
    </r>
  </si>
  <si>
    <r>
      <rPr>
        <sz val="9"/>
        <color rgb="FF231F20"/>
        <rFont val="Times New Roman"/>
        <family val="1"/>
      </rPr>
      <t>Kab.      Dompu</t>
    </r>
  </si>
  <si>
    <r>
      <rPr>
        <sz val="9"/>
        <color rgb="FF231F20"/>
        <rFont val="Times New Roman"/>
        <family val="1"/>
      </rPr>
      <t>Kab.      Bima</t>
    </r>
  </si>
  <si>
    <r>
      <rPr>
        <sz val="9"/>
        <color rgb="FF231F20"/>
        <rFont val="Times New Roman"/>
        <family val="1"/>
      </rPr>
      <t>Kab.      Sumbawa Barat</t>
    </r>
  </si>
  <si>
    <r>
      <rPr>
        <sz val="9"/>
        <color rgb="FF231F20"/>
        <rFont val="Times New Roman"/>
        <family val="1"/>
      </rPr>
      <t>Kab.      Lombok Utara</t>
    </r>
  </si>
  <si>
    <r>
      <rPr>
        <sz val="9"/>
        <color rgb="FF231F20"/>
        <rFont val="Times New Roman"/>
        <family val="1"/>
      </rPr>
      <t>Kota      Mataram</t>
    </r>
  </si>
  <si>
    <r>
      <rPr>
        <sz val="9"/>
        <color rgb="FF231F20"/>
        <rFont val="Times New Roman"/>
        <family val="1"/>
      </rPr>
      <t>Kota      Bima</t>
    </r>
  </si>
  <si>
    <r>
      <rPr>
        <sz val="9"/>
        <color rgb="FF231F20"/>
        <rFont val="Times New Roman"/>
        <family val="1"/>
      </rPr>
      <t>Kab.      Sumba Barat</t>
    </r>
  </si>
  <si>
    <r>
      <rPr>
        <sz val="9"/>
        <color rgb="FF231F20"/>
        <rFont val="Times New Roman"/>
        <family val="1"/>
      </rPr>
      <t>Kab.      Sumba Timur</t>
    </r>
  </si>
  <si>
    <r>
      <rPr>
        <sz val="9"/>
        <color rgb="FF231F20"/>
        <rFont val="Times New Roman"/>
        <family val="1"/>
      </rPr>
      <t>Kab.      Kupang</t>
    </r>
  </si>
  <si>
    <r>
      <rPr>
        <sz val="9"/>
        <color rgb="FF231F20"/>
        <rFont val="Times New Roman"/>
        <family val="1"/>
      </rPr>
      <t>Kab.      Timor Tengah Selatan</t>
    </r>
  </si>
  <si>
    <r>
      <rPr>
        <sz val="9"/>
        <color rgb="FF231F20"/>
        <rFont val="Times New Roman"/>
        <family val="1"/>
      </rPr>
      <t>Kab.      Timor Tengah Utara</t>
    </r>
  </si>
  <si>
    <r>
      <rPr>
        <sz val="9"/>
        <color rgb="FF231F20"/>
        <rFont val="Times New Roman"/>
        <family val="1"/>
      </rPr>
      <t>Kab.      Belu</t>
    </r>
  </si>
  <si>
    <r>
      <rPr>
        <sz val="9"/>
        <color rgb="FF231F20"/>
        <rFont val="Times New Roman"/>
        <family val="1"/>
      </rPr>
      <t>Kab.      Alor</t>
    </r>
  </si>
  <si>
    <r>
      <rPr>
        <sz val="9"/>
        <color rgb="FF231F20"/>
        <rFont val="Times New Roman"/>
        <family val="1"/>
      </rPr>
      <t>Kab.      Lembata</t>
    </r>
  </si>
  <si>
    <r>
      <rPr>
        <sz val="9"/>
        <color rgb="FF231F20"/>
        <rFont val="Times New Roman"/>
        <family val="1"/>
      </rPr>
      <t>Kab.      Flores Timur</t>
    </r>
  </si>
  <si>
    <r>
      <rPr>
        <sz val="9"/>
        <color rgb="FF231F20"/>
        <rFont val="Times New Roman"/>
        <family val="1"/>
      </rPr>
      <t>Kab.      Sikka</t>
    </r>
  </si>
  <si>
    <r>
      <rPr>
        <sz val="9"/>
        <color rgb="FF231F20"/>
        <rFont val="Times New Roman"/>
        <family val="1"/>
      </rPr>
      <t>Kab.      Ende</t>
    </r>
  </si>
  <si>
    <r>
      <rPr>
        <sz val="9"/>
        <color rgb="FF231F20"/>
        <rFont val="Times New Roman"/>
        <family val="1"/>
      </rPr>
      <t>Kab.      Ngada</t>
    </r>
  </si>
  <si>
    <r>
      <rPr>
        <sz val="9"/>
        <color rgb="FF231F20"/>
        <rFont val="Times New Roman"/>
        <family val="1"/>
      </rPr>
      <t>Kab.      Manggarai</t>
    </r>
  </si>
  <si>
    <r>
      <rPr>
        <sz val="9"/>
        <color rgb="FF231F20"/>
        <rFont val="Times New Roman"/>
        <family val="1"/>
      </rPr>
      <t>Kab.      Rote Ndao</t>
    </r>
  </si>
  <si>
    <r>
      <rPr>
        <sz val="9"/>
        <color rgb="FF231F20"/>
        <rFont val="Times New Roman"/>
        <family val="1"/>
      </rPr>
      <t>Kab.      Manggarai Barat</t>
    </r>
  </si>
  <si>
    <r>
      <rPr>
        <sz val="9"/>
        <color rgb="FF231F20"/>
        <rFont val="Times New Roman"/>
        <family val="1"/>
      </rPr>
      <t>Kab.      Sumba Tengah</t>
    </r>
  </si>
  <si>
    <r>
      <rPr>
        <sz val="9"/>
        <color rgb="FF231F20"/>
        <rFont val="Times New Roman"/>
        <family val="1"/>
      </rPr>
      <t>Kab.      Sumba Barat Daya</t>
    </r>
  </si>
  <si>
    <r>
      <rPr>
        <sz val="9"/>
        <color rgb="FF231F20"/>
        <rFont val="Times New Roman"/>
        <family val="1"/>
      </rPr>
      <t>Kab.      Nagekeo</t>
    </r>
  </si>
  <si>
    <r>
      <rPr>
        <sz val="9"/>
        <color rgb="FF231F20"/>
        <rFont val="Times New Roman"/>
        <family val="1"/>
      </rPr>
      <t>Kab.      Manggarai Timur</t>
    </r>
  </si>
  <si>
    <r>
      <rPr>
        <sz val="9"/>
        <color rgb="FF231F20"/>
        <rFont val="Times New Roman"/>
        <family val="1"/>
      </rPr>
      <t>Kab.      Sabu Raijua</t>
    </r>
  </si>
  <si>
    <r>
      <rPr>
        <sz val="9"/>
        <color rgb="FF231F20"/>
        <rFont val="Times New Roman"/>
        <family val="1"/>
      </rPr>
      <t>Kab.      Malaka</t>
    </r>
  </si>
  <si>
    <r>
      <rPr>
        <sz val="9"/>
        <color rgb="FF231F20"/>
        <rFont val="Times New Roman"/>
        <family val="1"/>
      </rPr>
      <t>Kota      Kupang</t>
    </r>
  </si>
  <si>
    <r>
      <rPr>
        <sz val="9"/>
        <color rgb="FF231F20"/>
        <rFont val="Times New Roman"/>
        <family val="1"/>
      </rPr>
      <t>Kab.      Sambas</t>
    </r>
  </si>
  <si>
    <r>
      <rPr>
        <sz val="9"/>
        <color rgb="FF231F20"/>
        <rFont val="Times New Roman"/>
        <family val="1"/>
      </rPr>
      <t>Kab.      Bengkayang</t>
    </r>
  </si>
  <si>
    <r>
      <rPr>
        <sz val="9"/>
        <color rgb="FF231F20"/>
        <rFont val="Times New Roman"/>
        <family val="1"/>
      </rPr>
      <t>Kab.      Landak</t>
    </r>
  </si>
  <si>
    <r>
      <rPr>
        <sz val="9"/>
        <color rgb="FF231F20"/>
        <rFont val="Times New Roman"/>
        <family val="1"/>
      </rPr>
      <t>Kab.      Menpawah</t>
    </r>
  </si>
  <si>
    <r>
      <rPr>
        <sz val="9"/>
        <color rgb="FF231F20"/>
        <rFont val="Times New Roman"/>
        <family val="1"/>
      </rPr>
      <t>Kab.      Sanggau</t>
    </r>
  </si>
  <si>
    <r>
      <rPr>
        <sz val="9"/>
        <color rgb="FF231F20"/>
        <rFont val="Times New Roman"/>
        <family val="1"/>
      </rPr>
      <t>Kab.      Ketapang</t>
    </r>
  </si>
  <si>
    <r>
      <rPr>
        <sz val="9"/>
        <color rgb="FF231F20"/>
        <rFont val="Times New Roman"/>
        <family val="1"/>
      </rPr>
      <t>Kab.      Sintang</t>
    </r>
  </si>
  <si>
    <r>
      <rPr>
        <sz val="9"/>
        <color rgb="FF231F20"/>
        <rFont val="Times New Roman"/>
        <family val="1"/>
      </rPr>
      <t>Kab.      Kapuas Hulu</t>
    </r>
  </si>
  <si>
    <r>
      <rPr>
        <sz val="9"/>
        <color rgb="FF231F20"/>
        <rFont val="Times New Roman"/>
        <family val="1"/>
      </rPr>
      <t>Kab.      Sekadau</t>
    </r>
  </si>
  <si>
    <r>
      <rPr>
        <sz val="9"/>
        <color rgb="FF231F20"/>
        <rFont val="Times New Roman"/>
        <family val="1"/>
      </rPr>
      <t>Kab.      Melawi</t>
    </r>
  </si>
  <si>
    <r>
      <rPr>
        <sz val="9"/>
        <color rgb="FF231F20"/>
        <rFont val="Times New Roman"/>
        <family val="1"/>
      </rPr>
      <t>Kab.      Kayong Utara</t>
    </r>
  </si>
  <si>
    <r>
      <rPr>
        <sz val="9"/>
        <color rgb="FF231F20"/>
        <rFont val="Times New Roman"/>
        <family val="1"/>
      </rPr>
      <t>Kab.      Kubu Raya</t>
    </r>
  </si>
  <si>
    <r>
      <rPr>
        <sz val="9"/>
        <color rgb="FF231F20"/>
        <rFont val="Times New Roman"/>
        <family val="1"/>
      </rPr>
      <t>Kota      Pontianak</t>
    </r>
  </si>
  <si>
    <r>
      <rPr>
        <sz val="9"/>
        <color rgb="FF231F20"/>
        <rFont val="Times New Roman"/>
        <family val="1"/>
      </rPr>
      <t>Kab.      Singkawang</t>
    </r>
  </si>
  <si>
    <r>
      <rPr>
        <sz val="9"/>
        <color rgb="FF231F20"/>
        <rFont val="Times New Roman"/>
        <family val="1"/>
      </rPr>
      <t>Kab.      Kota Waringin Barat</t>
    </r>
  </si>
  <si>
    <r>
      <rPr>
        <sz val="9"/>
        <color rgb="FF231F20"/>
        <rFont val="Times New Roman"/>
        <family val="1"/>
      </rPr>
      <t>Kab.      Kota Waringin Timur</t>
    </r>
  </si>
  <si>
    <r>
      <rPr>
        <sz val="9"/>
        <color rgb="FF231F20"/>
        <rFont val="Times New Roman"/>
        <family val="1"/>
      </rPr>
      <t>Kab.      Kapuas</t>
    </r>
  </si>
  <si>
    <r>
      <rPr>
        <sz val="9"/>
        <color rgb="FF231F20"/>
        <rFont val="Times New Roman"/>
        <family val="1"/>
      </rPr>
      <t>Kab.      Barito Selatan</t>
    </r>
  </si>
  <si>
    <r>
      <rPr>
        <sz val="9"/>
        <color rgb="FF231F20"/>
        <rFont val="Times New Roman"/>
        <family val="1"/>
      </rPr>
      <t>Kab.      Barito Utara</t>
    </r>
  </si>
  <si>
    <r>
      <rPr>
        <sz val="9"/>
        <color rgb="FF231F20"/>
        <rFont val="Times New Roman"/>
        <family val="1"/>
      </rPr>
      <t>Kab.      Sukamara</t>
    </r>
  </si>
  <si>
    <r>
      <rPr>
        <sz val="9"/>
        <color rgb="FF231F20"/>
        <rFont val="Times New Roman"/>
        <family val="1"/>
      </rPr>
      <t>Kab.      Lamandau</t>
    </r>
  </si>
  <si>
    <r>
      <rPr>
        <sz val="9"/>
        <color rgb="FF231F20"/>
        <rFont val="Times New Roman"/>
        <family val="1"/>
      </rPr>
      <t>Kab.      Seruyan</t>
    </r>
  </si>
  <si>
    <r>
      <rPr>
        <sz val="9"/>
        <color rgb="FF231F20"/>
        <rFont val="Times New Roman"/>
        <family val="1"/>
      </rPr>
      <t>Kab.      Katingan</t>
    </r>
  </si>
  <si>
    <r>
      <rPr>
        <sz val="9"/>
        <color rgb="FF231F20"/>
        <rFont val="Times New Roman"/>
        <family val="1"/>
      </rPr>
      <t>Kab.      Pulang Pisau</t>
    </r>
  </si>
  <si>
    <r>
      <rPr>
        <sz val="9"/>
        <color rgb="FF231F20"/>
        <rFont val="Times New Roman"/>
        <family val="1"/>
      </rPr>
      <t>Kab.      Gunung Mas</t>
    </r>
  </si>
  <si>
    <r>
      <rPr>
        <sz val="9"/>
        <color rgb="FF231F20"/>
        <rFont val="Times New Roman"/>
        <family val="1"/>
      </rPr>
      <t>Kab.      Barito Timur</t>
    </r>
  </si>
  <si>
    <r>
      <rPr>
        <sz val="9"/>
        <color rgb="FF231F20"/>
        <rFont val="Times New Roman"/>
        <family val="1"/>
      </rPr>
      <t>Kab.      Mura</t>
    </r>
  </si>
  <si>
    <r>
      <rPr>
        <sz val="9"/>
        <color rgb="FF231F20"/>
        <rFont val="Times New Roman"/>
        <family val="1"/>
      </rPr>
      <t>Kota      Palangkaraya</t>
    </r>
  </si>
  <si>
    <r>
      <rPr>
        <sz val="9"/>
        <color rgb="FF231F20"/>
        <rFont val="Times New Roman"/>
        <family val="1"/>
      </rPr>
      <t>Kab.      Tanah Laut</t>
    </r>
  </si>
  <si>
    <r>
      <rPr>
        <sz val="9"/>
        <color rgb="FF231F20"/>
        <rFont val="Times New Roman"/>
        <family val="1"/>
      </rPr>
      <t>Kab.      Kotabaru</t>
    </r>
  </si>
  <si>
    <r>
      <rPr>
        <sz val="9"/>
        <color rgb="FF231F20"/>
        <rFont val="Times New Roman"/>
        <family val="1"/>
      </rPr>
      <t>Kab.      Banjar</t>
    </r>
  </si>
  <si>
    <r>
      <rPr>
        <sz val="9"/>
        <color rgb="FF231F20"/>
        <rFont val="Times New Roman"/>
        <family val="1"/>
      </rPr>
      <t>Kab.      Barito Kuala</t>
    </r>
  </si>
  <si>
    <r>
      <rPr>
        <sz val="9"/>
        <color rgb="FF231F20"/>
        <rFont val="Times New Roman"/>
        <family val="1"/>
      </rPr>
      <t>Kab.      Tapin</t>
    </r>
  </si>
  <si>
    <r>
      <rPr>
        <sz val="9"/>
        <color rgb="FF231F20"/>
        <rFont val="Times New Roman"/>
        <family val="1"/>
      </rPr>
      <t>Kab.      Hulu Sungai Selatan</t>
    </r>
  </si>
  <si>
    <r>
      <rPr>
        <sz val="9"/>
        <color rgb="FF231F20"/>
        <rFont val="Times New Roman"/>
        <family val="1"/>
      </rPr>
      <t>Kab.      Hulu Sungai Tengah</t>
    </r>
  </si>
  <si>
    <r>
      <rPr>
        <sz val="9"/>
        <color rgb="FF231F20"/>
        <rFont val="Times New Roman"/>
        <family val="1"/>
      </rPr>
      <t>Kab.      Hulu Sungai Utara</t>
    </r>
  </si>
  <si>
    <r>
      <rPr>
        <sz val="9"/>
        <color rgb="FF231F20"/>
        <rFont val="Times New Roman"/>
        <family val="1"/>
      </rPr>
      <t>Kab.      Tabalong</t>
    </r>
  </si>
  <si>
    <r>
      <rPr>
        <sz val="9"/>
        <color rgb="FF231F20"/>
        <rFont val="Times New Roman"/>
        <family val="1"/>
      </rPr>
      <t>Kab.      Tanah Bumbu</t>
    </r>
  </si>
  <si>
    <r>
      <rPr>
        <sz val="9"/>
        <color rgb="FF231F20"/>
        <rFont val="Times New Roman"/>
        <family val="1"/>
      </rPr>
      <t>Kab.      Balangan</t>
    </r>
  </si>
  <si>
    <r>
      <rPr>
        <sz val="9"/>
        <color rgb="FF231F20"/>
        <rFont val="Times New Roman"/>
        <family val="1"/>
      </rPr>
      <t>Kota      Banjarmasin</t>
    </r>
  </si>
  <si>
    <r>
      <rPr>
        <sz val="9"/>
        <color rgb="FF231F20"/>
        <rFont val="Times New Roman"/>
        <family val="1"/>
      </rPr>
      <t>Kota      Banjar Baru</t>
    </r>
  </si>
  <si>
    <r>
      <rPr>
        <sz val="9"/>
        <color rgb="FF231F20"/>
        <rFont val="Times New Roman"/>
        <family val="1"/>
      </rPr>
      <t>Kab.      Paser</t>
    </r>
  </si>
  <si>
    <r>
      <rPr>
        <sz val="9"/>
        <color rgb="FF231F20"/>
        <rFont val="Times New Roman"/>
        <family val="1"/>
      </rPr>
      <t>Kab.      Kutai Barat</t>
    </r>
  </si>
  <si>
    <r>
      <rPr>
        <sz val="9"/>
        <color rgb="FF231F20"/>
        <rFont val="Times New Roman"/>
        <family val="1"/>
      </rPr>
      <t>Kab.      Kutai Kertanegara</t>
    </r>
  </si>
  <si>
    <r>
      <rPr>
        <sz val="9"/>
        <color rgb="FF231F20"/>
        <rFont val="Times New Roman"/>
        <family val="1"/>
      </rPr>
      <t>Kab.      Kutai Timur</t>
    </r>
  </si>
  <si>
    <r>
      <rPr>
        <sz val="9"/>
        <color rgb="FF231F20"/>
        <rFont val="Times New Roman"/>
        <family val="1"/>
      </rPr>
      <t>Kab.      Berau</t>
    </r>
  </si>
  <si>
    <r>
      <rPr>
        <sz val="9"/>
        <color rgb="FF231F20"/>
        <rFont val="Times New Roman"/>
        <family val="1"/>
      </rPr>
      <t>Kab.      Penajam Paser Utara</t>
    </r>
  </si>
  <si>
    <r>
      <rPr>
        <sz val="9"/>
        <color rgb="FF231F20"/>
        <rFont val="Times New Roman"/>
        <family val="1"/>
      </rPr>
      <t>Kab.      Mahakam Hulu</t>
    </r>
  </si>
  <si>
    <r>
      <rPr>
        <sz val="9"/>
        <color rgb="FF231F20"/>
        <rFont val="Times New Roman"/>
        <family val="1"/>
      </rPr>
      <t>Kota      Balikpapan</t>
    </r>
  </si>
  <si>
    <r>
      <rPr>
        <sz val="9"/>
        <color rgb="FF231F20"/>
        <rFont val="Times New Roman"/>
        <family val="1"/>
      </rPr>
      <t>Kota      Samarinda</t>
    </r>
  </si>
  <si>
    <r>
      <rPr>
        <sz val="9"/>
        <color rgb="FF231F20"/>
        <rFont val="Times New Roman"/>
        <family val="1"/>
      </rPr>
      <t>Kab.      Bontang</t>
    </r>
  </si>
  <si>
    <r>
      <rPr>
        <sz val="9"/>
        <color rgb="FF231F20"/>
        <rFont val="Times New Roman"/>
        <family val="1"/>
      </rPr>
      <t>Kab.      Malinau</t>
    </r>
  </si>
  <si>
    <r>
      <rPr>
        <sz val="9"/>
        <color rgb="FF231F20"/>
        <rFont val="Times New Roman"/>
        <family val="1"/>
      </rPr>
      <t>Kab.      Bulungan</t>
    </r>
  </si>
  <si>
    <r>
      <rPr>
        <sz val="9"/>
        <color rgb="FF231F20"/>
        <rFont val="Times New Roman"/>
        <family val="1"/>
      </rPr>
      <t>Kab.      Tana Tidung</t>
    </r>
  </si>
  <si>
    <r>
      <rPr>
        <sz val="9"/>
        <color rgb="FF231F20"/>
        <rFont val="Times New Roman"/>
        <family val="1"/>
      </rPr>
      <t>Kab.      Nunukan</t>
    </r>
  </si>
  <si>
    <r>
      <rPr>
        <sz val="9"/>
        <color rgb="FF231F20"/>
        <rFont val="Times New Roman"/>
        <family val="1"/>
      </rPr>
      <t>Kota      Tarakan</t>
    </r>
  </si>
  <si>
    <r>
      <rPr>
        <sz val="9"/>
        <color rgb="FF231F20"/>
        <rFont val="Times New Roman"/>
        <family val="1"/>
      </rPr>
      <t>Kab.      Bolaang Mongondow</t>
    </r>
  </si>
  <si>
    <r>
      <rPr>
        <sz val="9"/>
        <color rgb="FF231F20"/>
        <rFont val="Times New Roman"/>
        <family val="1"/>
      </rPr>
      <t>Kab.      Minahasa</t>
    </r>
  </si>
  <si>
    <r>
      <rPr>
        <sz val="9"/>
        <color rgb="FF231F20"/>
        <rFont val="Times New Roman"/>
        <family val="1"/>
      </rPr>
      <t>Kab.      Kep. Sangihe</t>
    </r>
  </si>
  <si>
    <r>
      <rPr>
        <sz val="9"/>
        <color rgb="FF231F20"/>
        <rFont val="Times New Roman"/>
        <family val="1"/>
      </rPr>
      <t>Kab.      Kep. Talaud</t>
    </r>
  </si>
  <si>
    <r>
      <rPr>
        <sz val="9"/>
        <color rgb="FF231F20"/>
        <rFont val="Times New Roman"/>
        <family val="1"/>
      </rPr>
      <t>Kab.      Minahasa Selatan</t>
    </r>
  </si>
  <si>
    <r>
      <rPr>
        <sz val="9"/>
        <color rgb="FF231F20"/>
        <rFont val="Times New Roman"/>
        <family val="1"/>
      </rPr>
      <t>Kab.      Minahasa Utara</t>
    </r>
  </si>
  <si>
    <r>
      <rPr>
        <sz val="9"/>
        <color rgb="FF231F20"/>
        <rFont val="Times New Roman"/>
        <family val="1"/>
      </rPr>
      <t>Kab.      Bolmong Utara</t>
    </r>
  </si>
  <si>
    <r>
      <rPr>
        <sz val="9"/>
        <color rgb="FF231F20"/>
        <rFont val="Times New Roman"/>
        <family val="1"/>
      </rPr>
      <t>Kab.      Kep. Sitaro</t>
    </r>
  </si>
  <si>
    <r>
      <rPr>
        <sz val="9"/>
        <color rgb="FF231F20"/>
        <rFont val="Times New Roman"/>
        <family val="1"/>
      </rPr>
      <t>Kab.      Minahasa Tenggara</t>
    </r>
  </si>
  <si>
    <r>
      <rPr>
        <sz val="9"/>
        <color rgb="FF231F20"/>
        <rFont val="Times New Roman"/>
        <family val="1"/>
      </rPr>
      <t>Kab.      Bolmong Selatan</t>
    </r>
  </si>
  <si>
    <r>
      <rPr>
        <sz val="9"/>
        <color rgb="FF231F20"/>
        <rFont val="Times New Roman"/>
        <family val="1"/>
      </rPr>
      <t>Kab.      Bolmong Timur</t>
    </r>
  </si>
  <si>
    <r>
      <rPr>
        <sz val="9"/>
        <color rgb="FF231F20"/>
        <rFont val="Times New Roman"/>
        <family val="1"/>
      </rPr>
      <t>Kota      Manado</t>
    </r>
  </si>
  <si>
    <r>
      <rPr>
        <sz val="9"/>
        <color rgb="FF231F20"/>
        <rFont val="Times New Roman"/>
        <family val="1"/>
      </rPr>
      <t>Kota      Bitung</t>
    </r>
  </si>
  <si>
    <r>
      <rPr>
        <sz val="9"/>
        <color rgb="FF231F20"/>
        <rFont val="Times New Roman"/>
        <family val="1"/>
      </rPr>
      <t>Kota      Tomohon</t>
    </r>
  </si>
  <si>
    <r>
      <rPr>
        <sz val="9"/>
        <color rgb="FF231F20"/>
        <rFont val="Times New Roman"/>
        <family val="1"/>
      </rPr>
      <t>Kota      Kotamobagu</t>
    </r>
  </si>
  <si>
    <r>
      <rPr>
        <sz val="9"/>
        <color rgb="FF231F20"/>
        <rFont val="Times New Roman"/>
        <family val="1"/>
      </rPr>
      <t>Kab.      Boalemo</t>
    </r>
  </si>
  <si>
    <r>
      <rPr>
        <sz val="9"/>
        <color rgb="FF231F20"/>
        <rFont val="Times New Roman"/>
        <family val="1"/>
      </rPr>
      <t>Kab.      Gorontalo</t>
    </r>
  </si>
  <si>
    <r>
      <rPr>
        <sz val="9"/>
        <color rgb="FF231F20"/>
        <rFont val="Times New Roman"/>
        <family val="1"/>
      </rPr>
      <t>Kab.      Pohuwato</t>
    </r>
  </si>
  <si>
    <r>
      <rPr>
        <sz val="9"/>
        <color rgb="FF231F20"/>
        <rFont val="Times New Roman"/>
        <family val="1"/>
      </rPr>
      <t>Kab.      Bone Bolango</t>
    </r>
  </si>
  <si>
    <r>
      <rPr>
        <sz val="9"/>
        <color rgb="FF231F20"/>
        <rFont val="Times New Roman"/>
        <family val="1"/>
      </rPr>
      <t>Kab.      Gorontalo Utara</t>
    </r>
  </si>
  <si>
    <r>
      <rPr>
        <sz val="9"/>
        <color rgb="FF231F20"/>
        <rFont val="Times New Roman"/>
        <family val="1"/>
      </rPr>
      <t>Kota      Gorontalo</t>
    </r>
  </si>
  <si>
    <r>
      <rPr>
        <sz val="9"/>
        <color rgb="FF231F20"/>
        <rFont val="Times New Roman"/>
        <family val="1"/>
      </rPr>
      <t>Kab.      Banggai Kepulauan</t>
    </r>
  </si>
  <si>
    <r>
      <rPr>
        <sz val="9"/>
        <color rgb="FF231F20"/>
        <rFont val="Times New Roman"/>
        <family val="1"/>
      </rPr>
      <t>Kab.      Banggai</t>
    </r>
  </si>
  <si>
    <r>
      <rPr>
        <sz val="9"/>
        <color rgb="FF231F20"/>
        <rFont val="Times New Roman"/>
        <family val="1"/>
      </rPr>
      <t>Kab.      Morowali</t>
    </r>
  </si>
  <si>
    <r>
      <rPr>
        <sz val="9"/>
        <color rgb="FF231F20"/>
        <rFont val="Times New Roman"/>
        <family val="1"/>
      </rPr>
      <t>Kab.      P o s o</t>
    </r>
  </si>
  <si>
    <r>
      <rPr>
        <sz val="9"/>
        <color rgb="FF231F20"/>
        <rFont val="Times New Roman"/>
        <family val="1"/>
      </rPr>
      <t>Kab.      Donggala</t>
    </r>
  </si>
  <si>
    <r>
      <rPr>
        <sz val="9"/>
        <color rgb="FF231F20"/>
        <rFont val="Times New Roman"/>
        <family val="1"/>
      </rPr>
      <t>Kab.      Buol</t>
    </r>
  </si>
  <si>
    <r>
      <rPr>
        <sz val="9"/>
        <color rgb="FF231F20"/>
        <rFont val="Times New Roman"/>
        <family val="1"/>
      </rPr>
      <t>Kab.      Parigi Mountong</t>
    </r>
  </si>
  <si>
    <r>
      <rPr>
        <sz val="9"/>
        <color rgb="FF231F20"/>
        <rFont val="Times New Roman"/>
        <family val="1"/>
      </rPr>
      <t>Kab.      Sigi Biromaru</t>
    </r>
  </si>
  <si>
    <r>
      <rPr>
        <sz val="9"/>
        <color rgb="FF231F20"/>
        <rFont val="Times New Roman"/>
        <family val="1"/>
      </rPr>
      <t>Kab.      Banggai Laut</t>
    </r>
  </si>
  <si>
    <r>
      <rPr>
        <sz val="9"/>
        <color rgb="FF231F20"/>
        <rFont val="Times New Roman"/>
        <family val="1"/>
      </rPr>
      <t>Kab.      Morowali Utara</t>
    </r>
  </si>
  <si>
    <r>
      <rPr>
        <sz val="9"/>
        <color rgb="FF231F20"/>
        <rFont val="Times New Roman"/>
        <family val="1"/>
      </rPr>
      <t>Kota      Palu</t>
    </r>
  </si>
  <si>
    <r>
      <rPr>
        <sz val="9"/>
        <color rgb="FF231F20"/>
        <rFont val="Times New Roman"/>
        <family val="1"/>
      </rPr>
      <t>Kab.      Kep. Selayar</t>
    </r>
  </si>
  <si>
    <r>
      <rPr>
        <sz val="9"/>
        <color rgb="FF231F20"/>
        <rFont val="Times New Roman"/>
        <family val="1"/>
      </rPr>
      <t>Kab.      Bulukumba</t>
    </r>
  </si>
  <si>
    <r>
      <rPr>
        <sz val="9"/>
        <color rgb="FF231F20"/>
        <rFont val="Times New Roman"/>
        <family val="1"/>
      </rPr>
      <t>Kab.      Bantaeng</t>
    </r>
  </si>
  <si>
    <r>
      <rPr>
        <sz val="9"/>
        <color rgb="FF231F20"/>
        <rFont val="Times New Roman"/>
        <family val="1"/>
      </rPr>
      <t>Kab.      Jeneponto</t>
    </r>
  </si>
  <si>
    <r>
      <rPr>
        <sz val="9"/>
        <color rgb="FF231F20"/>
        <rFont val="Times New Roman"/>
        <family val="1"/>
      </rPr>
      <t>Kab.      Takalar</t>
    </r>
  </si>
  <si>
    <r>
      <rPr>
        <sz val="9"/>
        <color rgb="FF231F20"/>
        <rFont val="Times New Roman"/>
        <family val="1"/>
      </rPr>
      <t>Kab.      Gowa</t>
    </r>
  </si>
  <si>
    <r>
      <rPr>
        <sz val="9"/>
        <color rgb="FF231F20"/>
        <rFont val="Times New Roman"/>
        <family val="1"/>
      </rPr>
      <t>Kab.      Sinjai</t>
    </r>
  </si>
  <si>
    <r>
      <rPr>
        <sz val="9"/>
        <color rgb="FF231F20"/>
        <rFont val="Times New Roman"/>
        <family val="1"/>
      </rPr>
      <t>Kab.      Maros</t>
    </r>
  </si>
  <si>
    <r>
      <rPr>
        <sz val="9"/>
        <color rgb="FF231F20"/>
        <rFont val="Times New Roman"/>
        <family val="1"/>
      </rPr>
      <t>Kab.      Pangkajene Kepulauan</t>
    </r>
  </si>
  <si>
    <r>
      <rPr>
        <sz val="9"/>
        <color rgb="FF231F20"/>
        <rFont val="Times New Roman"/>
        <family val="1"/>
      </rPr>
      <t>Kab.      Barru</t>
    </r>
  </si>
  <si>
    <r>
      <rPr>
        <sz val="9"/>
        <color rgb="FF231F20"/>
        <rFont val="Times New Roman"/>
        <family val="1"/>
      </rPr>
      <t>Kab.      Bone</t>
    </r>
  </si>
  <si>
    <r>
      <rPr>
        <sz val="9"/>
        <color rgb="FF231F20"/>
        <rFont val="Times New Roman"/>
        <family val="1"/>
      </rPr>
      <t>Kab.      Soppeng</t>
    </r>
  </si>
  <si>
    <r>
      <rPr>
        <sz val="9"/>
        <color rgb="FF231F20"/>
        <rFont val="Times New Roman"/>
        <family val="1"/>
      </rPr>
      <t>Kab.      Wajo</t>
    </r>
  </si>
  <si>
    <r>
      <rPr>
        <sz val="9"/>
        <color rgb="FF231F20"/>
        <rFont val="Times New Roman"/>
        <family val="1"/>
      </rPr>
      <t>Kab.      Sidenreng Rappang</t>
    </r>
  </si>
  <si>
    <r>
      <rPr>
        <sz val="9"/>
        <color rgb="FF231F20"/>
        <rFont val="Times New Roman"/>
        <family val="1"/>
      </rPr>
      <t>Kab.      Pinrang</t>
    </r>
  </si>
  <si>
    <r>
      <rPr>
        <sz val="9"/>
        <color rgb="FF231F20"/>
        <rFont val="Times New Roman"/>
        <family val="1"/>
      </rPr>
      <t>Kab.      Enrekang</t>
    </r>
  </si>
  <si>
    <r>
      <rPr>
        <sz val="9"/>
        <color rgb="FF231F20"/>
        <rFont val="Times New Roman"/>
        <family val="1"/>
      </rPr>
      <t>Kab.      Luwu</t>
    </r>
  </si>
  <si>
    <r>
      <rPr>
        <sz val="9"/>
        <color rgb="FF231F20"/>
        <rFont val="Times New Roman"/>
        <family val="1"/>
      </rPr>
      <t>Kab.      Tanatoraja</t>
    </r>
  </si>
  <si>
    <r>
      <rPr>
        <sz val="9"/>
        <color rgb="FF231F20"/>
        <rFont val="Times New Roman"/>
        <family val="1"/>
      </rPr>
      <t>Kab.      Luwu  Utara</t>
    </r>
  </si>
  <si>
    <r>
      <rPr>
        <sz val="9"/>
        <color rgb="FF231F20"/>
        <rFont val="Times New Roman"/>
        <family val="1"/>
      </rPr>
      <t>Kab.      Luwu  Timur</t>
    </r>
  </si>
  <si>
    <r>
      <rPr>
        <sz val="9"/>
        <color rgb="FF231F20"/>
        <rFont val="Times New Roman"/>
        <family val="1"/>
      </rPr>
      <t>Kab.      Toraja Utara</t>
    </r>
  </si>
  <si>
    <r>
      <rPr>
        <sz val="9"/>
        <color rgb="FF231F20"/>
        <rFont val="Times New Roman"/>
        <family val="1"/>
      </rPr>
      <t>Kota      Makassar</t>
    </r>
  </si>
  <si>
    <r>
      <rPr>
        <sz val="9"/>
        <color rgb="FF231F20"/>
        <rFont val="Times New Roman"/>
        <family val="1"/>
      </rPr>
      <t>Kota      Parepare</t>
    </r>
  </si>
  <si>
    <r>
      <rPr>
        <sz val="9"/>
        <color rgb="FF231F20"/>
        <rFont val="Times New Roman"/>
        <family val="1"/>
      </rPr>
      <t>Kota      Palopo</t>
    </r>
  </si>
  <si>
    <r>
      <rPr>
        <sz val="9"/>
        <color rgb="FF231F20"/>
        <rFont val="Times New Roman"/>
        <family val="1"/>
      </rPr>
      <t>Kab.      Majene</t>
    </r>
  </si>
  <si>
    <r>
      <rPr>
        <sz val="9"/>
        <color rgb="FF231F20"/>
        <rFont val="Times New Roman"/>
        <family val="1"/>
      </rPr>
      <t>Kab.      Polewali Mandar</t>
    </r>
  </si>
  <si>
    <r>
      <rPr>
        <sz val="9"/>
        <color rgb="FF231F20"/>
        <rFont val="Times New Roman"/>
        <family val="1"/>
      </rPr>
      <t>Kab.      Mamasa</t>
    </r>
  </si>
  <si>
    <r>
      <rPr>
        <sz val="9"/>
        <color rgb="FF231F20"/>
        <rFont val="Times New Roman"/>
        <family val="1"/>
      </rPr>
      <t>Kab.      Mamuju</t>
    </r>
  </si>
  <si>
    <r>
      <rPr>
        <sz val="9"/>
        <color rgb="FF231F20"/>
        <rFont val="Times New Roman"/>
        <family val="1"/>
      </rPr>
      <t>Waropen</t>
    </r>
  </si>
  <si>
    <r>
      <rPr>
        <sz val="9"/>
        <color rgb="FF231F20"/>
        <rFont val="Times New Roman"/>
        <family val="1"/>
      </rPr>
      <t>Memberamo Raya</t>
    </r>
  </si>
  <si>
    <r>
      <rPr>
        <sz val="9"/>
        <color rgb="FF231F20"/>
        <rFont val="Times New Roman"/>
        <family val="1"/>
      </rPr>
      <t>Kab.      Kaimana</t>
    </r>
  </si>
  <si>
    <r>
      <rPr>
        <sz val="9"/>
        <color rgb="FF231F20"/>
        <rFont val="Times New Roman"/>
        <family val="1"/>
      </rPr>
      <t>Kab.      Teluk Wondama</t>
    </r>
  </si>
  <si>
    <r>
      <rPr>
        <sz val="9"/>
        <color rgb="FF231F20"/>
        <rFont val="Times New Roman"/>
        <family val="1"/>
      </rPr>
      <t>Kab.      Teluk Bintuni</t>
    </r>
  </si>
  <si>
    <r>
      <rPr>
        <sz val="9"/>
        <color rgb="FF231F20"/>
        <rFont val="Times New Roman"/>
        <family val="1"/>
      </rPr>
      <t>Kab.      Manokwari</t>
    </r>
  </si>
  <si>
    <r>
      <rPr>
        <sz val="9"/>
        <color rgb="FF231F20"/>
        <rFont val="Times New Roman"/>
        <family val="1"/>
      </rPr>
      <t>Kab.      Sorong Selatan</t>
    </r>
  </si>
  <si>
    <r>
      <rPr>
        <sz val="9"/>
        <color rgb="FF231F20"/>
        <rFont val="Times New Roman"/>
        <family val="1"/>
      </rPr>
      <t>Kab.      Sorong</t>
    </r>
  </si>
  <si>
    <r>
      <rPr>
        <sz val="9"/>
        <color rgb="FF231F20"/>
        <rFont val="Times New Roman"/>
        <family val="1"/>
      </rPr>
      <t>Kab.      Raja Ampat</t>
    </r>
  </si>
  <si>
    <r>
      <rPr>
        <sz val="9"/>
        <color rgb="FF231F20"/>
        <rFont val="Times New Roman"/>
        <family val="1"/>
      </rPr>
      <t>Kab.      Tambrauw</t>
    </r>
  </si>
  <si>
    <r>
      <rPr>
        <sz val="9"/>
        <color rgb="FF231F20"/>
        <rFont val="Times New Roman"/>
        <family val="1"/>
      </rPr>
      <t>Kab.      Maybrat</t>
    </r>
  </si>
  <si>
    <r>
      <rPr>
        <sz val="9"/>
        <color rgb="FF231F20"/>
        <rFont val="Times New Roman"/>
        <family val="1"/>
      </rPr>
      <t>Kab.      Manokwari Selatan</t>
    </r>
  </si>
  <si>
    <r>
      <rPr>
        <sz val="9"/>
        <color rgb="FF231F20"/>
        <rFont val="Times New Roman"/>
        <family val="1"/>
      </rPr>
      <t>Kab.      Penggunungan Arfak</t>
    </r>
  </si>
  <si>
    <r>
      <rPr>
        <sz val="9"/>
        <color rgb="FF231F20"/>
        <rFont val="Times New Roman"/>
        <family val="1"/>
      </rPr>
      <t>Kota      Sorong</t>
    </r>
  </si>
  <si>
    <t>Kab.      Kerinci</t>
  </si>
  <si>
    <t>Kab.      Merangin</t>
  </si>
  <si>
    <t>Kab.      Sarolangun</t>
  </si>
  <si>
    <t>Kab.      Batanghari</t>
  </si>
  <si>
    <t>Kab.      Muaro Jambi</t>
  </si>
  <si>
    <t>Kab.      Tanjung Jabung Timur</t>
  </si>
  <si>
    <t>Kab.      Tanjung Jabung Barat</t>
  </si>
  <si>
    <t>Kab.      T e b o</t>
  </si>
  <si>
    <t>Kab.      Bungo</t>
  </si>
  <si>
    <t>Kota      Jambi</t>
  </si>
  <si>
    <t>Kota      Sungai Penuh</t>
  </si>
  <si>
    <t>Kab. Pakpak Bharat</t>
  </si>
  <si>
    <t xml:space="preserve">Kab. Mukomuko </t>
  </si>
  <si>
    <t>Kab. Tolitoli</t>
  </si>
  <si>
    <t>Kab. Toja unauna</t>
  </si>
  <si>
    <t>Kota BauBau</t>
  </si>
  <si>
    <t>Kab. Fakfak</t>
  </si>
  <si>
    <t>Kab.   Pakpak Bharat</t>
  </si>
  <si>
    <t>Kab.   Mukomuko</t>
  </si>
  <si>
    <t>Kota   BauBau</t>
  </si>
  <si>
    <t>Kab.   Fakfak</t>
  </si>
  <si>
    <t>Kab.      Pakpak Bharat</t>
  </si>
  <si>
    <t>Kab.      Mukomuko</t>
  </si>
  <si>
    <t>Kab.      Tolitoli</t>
  </si>
  <si>
    <t>Kab.      Toja unauna</t>
  </si>
  <si>
    <t>Kab. BauBau</t>
  </si>
  <si>
    <t>Kab.      Fakfak</t>
  </si>
  <si>
    <t>5.86</t>
  </si>
  <si>
    <t>11.63</t>
  </si>
  <si>
    <t>48.93</t>
  </si>
  <si>
    <t>5.73</t>
  </si>
  <si>
    <t>14.46</t>
  </si>
  <si>
    <t>21.11</t>
  </si>
  <si>
    <t>Begkulu</t>
  </si>
  <si>
    <t>Lampmung</t>
  </si>
  <si>
    <t>Nusat Tenggara Barat</t>
  </si>
  <si>
    <t>Klimantan Selatan</t>
  </si>
  <si>
    <t>Kab.    Nias</t>
  </si>
  <si>
    <t>Kab. Pacitan</t>
  </si>
  <si>
    <t>Kab.   Nias Utara</t>
  </si>
  <si>
    <t>Kab.   Nias Selatan</t>
  </si>
  <si>
    <t>Kab.   Deli Serdang</t>
  </si>
  <si>
    <t>Kab.   Lahat</t>
  </si>
  <si>
    <t>Kab.   OKU Selatan</t>
  </si>
  <si>
    <t>Kota   Pagar Alam</t>
  </si>
  <si>
    <t>Kab.   Bangka</t>
  </si>
  <si>
    <t>Kab.   Bengkulu utara</t>
  </si>
  <si>
    <t>Kab.   Kaur</t>
  </si>
  <si>
    <t>Kab.   Pesawaran</t>
  </si>
  <si>
    <t>Kab.   Lampung Selatan</t>
  </si>
  <si>
    <t>Kab.    Pacitan</t>
  </si>
  <si>
    <t>Kab.      Pacitan</t>
  </si>
  <si>
    <t>Kab.      Madiun</t>
  </si>
  <si>
    <t>Kab.      Blitar</t>
  </si>
  <si>
    <t>Kab.      Lombok Utara</t>
  </si>
  <si>
    <t>Kab.      Sikka</t>
  </si>
  <si>
    <t>Kab.      Ende</t>
  </si>
  <si>
    <t>Kab.      Manggarai Timur</t>
  </si>
  <si>
    <t>Kab.      Sanggau</t>
  </si>
  <si>
    <t>Kab.      Bengkayang</t>
  </si>
  <si>
    <t>Kab.      Landak</t>
  </si>
  <si>
    <t>Kab.      Barito Utara</t>
  </si>
  <si>
    <t>Kab.      Barito Selatan</t>
  </si>
  <si>
    <t>Kab.      Barito Timur</t>
  </si>
  <si>
    <t>Kab.      Kotabaru</t>
  </si>
  <si>
    <t>Kab.      Hulu Sungai Selatan</t>
  </si>
  <si>
    <t>Kab.      Tabalong</t>
  </si>
  <si>
    <t>Kab.      Kutai Timur</t>
  </si>
  <si>
    <t>Kab.      Mahakam Hulu</t>
  </si>
  <si>
    <t>Kab.      Berau</t>
  </si>
  <si>
    <t>Kab.      Nunukan</t>
  </si>
  <si>
    <t>Kab.      Malinau</t>
  </si>
  <si>
    <t>Kab.      Bulungan</t>
  </si>
  <si>
    <t>Kab.      Bolaang Mongondow</t>
  </si>
  <si>
    <t>Kab.      Bolmong Utara</t>
  </si>
  <si>
    <t>Kab.      Pohuwato</t>
  </si>
  <si>
    <t>Kab.      Boalemo</t>
  </si>
  <si>
    <t>Kab.      Bone Bolango</t>
  </si>
  <si>
    <t>Kab.      Manokwari</t>
  </si>
  <si>
    <r>
      <t>Areal_</t>
    </r>
    <r>
      <rPr>
        <sz val="12"/>
        <color theme="1"/>
        <rFont val="Times New Roman"/>
        <family val="1"/>
      </rPr>
      <t>Perkebunan_</t>
    </r>
    <r>
      <rPr>
        <b/>
        <sz val="12"/>
        <color theme="1"/>
        <rFont val="Times New Roman"/>
        <family val="1"/>
      </rPr>
      <t>Rakyat</t>
    </r>
  </si>
  <si>
    <r>
      <t>Areal_</t>
    </r>
    <r>
      <rPr>
        <sz val="12"/>
        <color theme="1"/>
        <rFont val="Times New Roman"/>
        <family val="1"/>
      </rPr>
      <t>Perkebunan_</t>
    </r>
    <r>
      <rPr>
        <b/>
        <sz val="12"/>
        <color theme="1"/>
        <rFont val="Times New Roman"/>
        <family val="1"/>
      </rPr>
      <t>Swasta</t>
    </r>
  </si>
  <si>
    <r>
      <rPr>
        <sz val="12"/>
        <color theme="1"/>
        <rFont val="Times New Roman"/>
        <family val="1"/>
      </rPr>
      <t>Tanaman_</t>
    </r>
    <r>
      <rPr>
        <b/>
        <sz val="12"/>
        <color theme="1"/>
        <rFont val="Times New Roman"/>
        <family val="1"/>
      </rPr>
      <t>Imature</t>
    </r>
  </si>
  <si>
    <r>
      <rPr>
        <sz val="12"/>
        <color theme="1"/>
        <rFont val="Times New Roman"/>
        <family val="1"/>
      </rPr>
      <t>Tanaman_</t>
    </r>
    <r>
      <rPr>
        <b/>
        <sz val="12"/>
        <color theme="1"/>
        <rFont val="Times New Roman"/>
        <family val="1"/>
      </rPr>
      <t>Mature</t>
    </r>
  </si>
  <si>
    <r>
      <rPr>
        <sz val="12"/>
        <color theme="1"/>
        <rFont val="Times New Roman"/>
        <family val="1"/>
      </rPr>
      <t>Tanaman_</t>
    </r>
    <r>
      <rPr>
        <b/>
        <sz val="12"/>
        <color theme="1"/>
        <rFont val="Times New Roman"/>
        <family val="1"/>
      </rPr>
      <t>Damage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</si>
</sst>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0.000"/>
    <numFmt numFmtId="167" formatCode="0;[Red]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rgb="FF181717"/>
      <name val="Calibri"/>
      <family val="2"/>
      <scheme val="minor"/>
    </font>
    <font>
      <sz val="8"/>
      <color rgb="FF181717"/>
      <name val="Calibri"/>
      <family val="2"/>
      <scheme val="minor"/>
    </font>
    <font>
      <sz val="7"/>
      <color rgb="FF010202"/>
      <name val="Tahoma"/>
      <family val="2"/>
    </font>
    <font>
      <sz val="10.5"/>
      <color rgb="FF010202"/>
      <name val="Tahoma"/>
      <family val="2"/>
    </font>
    <font>
      <sz val="10"/>
      <color rgb="FF010202"/>
      <name val="Tahoma"/>
      <family val="2"/>
    </font>
    <font>
      <sz val="10"/>
      <name val="Tahoma"/>
      <family val="2"/>
    </font>
    <font>
      <sz val="10.5"/>
      <name val="Tahoma"/>
      <family val="2"/>
    </font>
    <font>
      <sz val="9"/>
      <color rgb="FF010202"/>
      <name val="Tahoma"/>
      <family val="2"/>
    </font>
    <font>
      <sz val="9"/>
      <name val="Tahoma"/>
      <family val="2"/>
    </font>
    <font>
      <sz val="11"/>
      <color rgb="FF010202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.5"/>
      <name val="Tahoma"/>
      <family val="2"/>
    </font>
    <font>
      <sz val="11.5"/>
      <color rgb="FF010202"/>
      <name val="Tahoma"/>
      <family val="2"/>
    </font>
    <font>
      <sz val="8.5"/>
      <color rgb="FF010202"/>
      <name val="Tahoma"/>
      <family val="2"/>
    </font>
    <font>
      <sz val="8.5"/>
      <name val="Tahoma"/>
      <family val="2"/>
    </font>
    <font>
      <sz val="6.5"/>
      <color rgb="FF010202"/>
      <name val="Tahoma"/>
      <family val="2"/>
    </font>
    <font>
      <sz val="6.5"/>
      <name val="Tahoma"/>
      <family val="2"/>
    </font>
    <font>
      <sz val="9"/>
      <name val="Times New Roman"/>
      <family val="1"/>
    </font>
    <font>
      <sz val="9"/>
      <color rgb="FF010202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81717"/>
      <name val="Times New Roman"/>
      <family val="1"/>
    </font>
    <font>
      <b/>
      <sz val="9"/>
      <color rgb="FF181717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sz val="9"/>
      <color rgb="FF231F20"/>
      <name val="Times New Roman"/>
      <family val="1"/>
    </font>
    <font>
      <sz val="7"/>
      <color rgb="FF231F20"/>
      <name val="Segoe UI"/>
      <family val="2"/>
    </font>
    <font>
      <sz val="7"/>
      <name val="Segoe UI"/>
    </font>
    <font>
      <sz val="7"/>
      <name val="Segoe UI"/>
      <family val="2"/>
    </font>
    <font>
      <u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0DFDB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10202"/>
      </right>
      <top/>
      <bottom/>
      <diagonal/>
    </border>
    <border>
      <left/>
      <right/>
      <top/>
      <bottom style="thin">
        <color rgb="FF010202"/>
      </bottom>
      <diagonal/>
    </border>
    <border>
      <left/>
      <right style="thin">
        <color rgb="FF010202"/>
      </right>
      <top/>
      <bottom style="thin">
        <color rgb="FF010202"/>
      </bottom>
      <diagonal/>
    </border>
    <border>
      <left/>
      <right/>
      <top style="thin">
        <color rgb="FF010202"/>
      </top>
      <bottom/>
      <diagonal/>
    </border>
    <border>
      <left/>
      <right style="thin">
        <color rgb="FF010202"/>
      </right>
      <top style="thin">
        <color rgb="FF010202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45" fillId="0" borderId="0"/>
    <xf numFmtId="0" fontId="46" fillId="0" borderId="0"/>
  </cellStyleXfs>
  <cellXfs count="9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41" fontId="6" fillId="5" borderId="1" xfId="4" applyNumberFormat="1" applyFill="1" applyBorder="1" applyAlignment="1">
      <alignment horizontal="right" vertical="center"/>
    </xf>
    <xf numFmtId="164" fontId="6" fillId="5" borderId="1" xfId="5" applyNumberFormat="1" applyFont="1" applyFill="1" applyBorder="1"/>
    <xf numFmtId="164" fontId="6" fillId="5" borderId="1" xfId="6" applyNumberFormat="1" applyFont="1" applyFill="1" applyBorder="1"/>
    <xf numFmtId="0" fontId="5" fillId="4" borderId="3" xfId="4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 wrapText="1"/>
    </xf>
    <xf numFmtId="41" fontId="6" fillId="5" borderId="1" xfId="4" applyNumberFormat="1" applyFill="1" applyBorder="1" applyAlignment="1">
      <alignment horizontal="center" vertical="center"/>
    </xf>
    <xf numFmtId="164" fontId="6" fillId="5" borderId="1" xfId="8" applyNumberFormat="1" applyFont="1" applyFill="1" applyBorder="1"/>
    <xf numFmtId="164" fontId="6" fillId="5" borderId="1" xfId="1" applyNumberFormat="1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6" fillId="5" borderId="1" xfId="4" applyFill="1" applyBorder="1"/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right" vertical="center"/>
    </xf>
    <xf numFmtId="164" fontId="6" fillId="5" borderId="1" xfId="1" applyNumberFormat="1" applyFont="1" applyFill="1" applyBorder="1" applyAlignment="1">
      <alignment horizontal="center"/>
    </xf>
    <xf numFmtId="41" fontId="6" fillId="5" borderId="1" xfId="2" applyFont="1" applyFill="1" applyBorder="1"/>
    <xf numFmtId="0" fontId="2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3" fontId="6" fillId="5" borderId="1" xfId="4" applyNumberFormat="1" applyFill="1" applyBorder="1"/>
    <xf numFmtId="0" fontId="8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1" fontId="6" fillId="0" borderId="1" xfId="4" applyNumberFormat="1" applyBorder="1" applyAlignment="1">
      <alignment horizontal="right" vertical="center"/>
    </xf>
    <xf numFmtId="164" fontId="6" fillId="0" borderId="1" xfId="5" applyNumberFormat="1" applyFont="1" applyFill="1" applyBorder="1"/>
    <xf numFmtId="164" fontId="6" fillId="0" borderId="1" xfId="6" applyNumberFormat="1" applyFont="1" applyFill="1" applyBorder="1"/>
    <xf numFmtId="0" fontId="10" fillId="15" borderId="1" xfId="10" applyBorder="1"/>
    <xf numFmtId="0" fontId="11" fillId="16" borderId="1" xfId="11" applyBorder="1"/>
    <xf numFmtId="0" fontId="9" fillId="14" borderId="1" xfId="9" applyBorder="1"/>
    <xf numFmtId="41" fontId="0" fillId="0" borderId="0" xfId="0" applyNumberFormat="1"/>
    <xf numFmtId="0" fontId="0" fillId="0" borderId="0" xfId="0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1" xfId="0" applyNumberFormat="1" applyBorder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13" fillId="15" borderId="1" xfId="10" applyFont="1" applyBorder="1" applyAlignment="1">
      <alignment horizontal="center" vertical="center"/>
    </xf>
    <xf numFmtId="0" fontId="14" fillId="16" borderId="1" xfId="11" applyFont="1" applyBorder="1" applyAlignment="1">
      <alignment horizontal="center" vertical="center"/>
    </xf>
    <xf numFmtId="0" fontId="15" fillId="14" borderId="1" xfId="9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41" fontId="16" fillId="18" borderId="1" xfId="4" applyNumberFormat="1" applyFont="1" applyFill="1" applyBorder="1" applyAlignment="1">
      <alignment horizontal="right" vertical="center"/>
    </xf>
    <xf numFmtId="164" fontId="16" fillId="5" borderId="1" xfId="6" applyNumberFormat="1" applyFont="1" applyFill="1" applyBorder="1"/>
    <xf numFmtId="164" fontId="16" fillId="6" borderId="1" xfId="7" quotePrefix="1" applyNumberFormat="1" applyFont="1" applyFill="1" applyBorder="1" applyAlignment="1">
      <alignment horizontal="right" vertical="center"/>
    </xf>
    <xf numFmtId="164" fontId="16" fillId="6" borderId="1" xfId="5" applyNumberFormat="1" applyFont="1" applyFill="1" applyBorder="1"/>
    <xf numFmtId="164" fontId="16" fillId="6" borderId="1" xfId="6" applyNumberFormat="1" applyFont="1" applyFill="1" applyBorder="1" applyAlignment="1">
      <alignment horizontal="center"/>
    </xf>
    <xf numFmtId="164" fontId="16" fillId="19" borderId="1" xfId="5" applyNumberFormat="1" applyFont="1" applyFill="1" applyBorder="1"/>
    <xf numFmtId="164" fontId="16" fillId="6" borderId="1" xfId="6" applyNumberFormat="1" applyFont="1" applyFill="1" applyBorder="1"/>
    <xf numFmtId="41" fontId="16" fillId="6" borderId="1" xfId="4" applyNumberFormat="1" applyFont="1" applyFill="1" applyBorder="1" applyAlignment="1">
      <alignment horizontal="right" vertical="center"/>
    </xf>
    <xf numFmtId="164" fontId="16" fillId="20" borderId="1" xfId="5" applyNumberFormat="1" applyFont="1" applyFill="1" applyBorder="1"/>
    <xf numFmtId="41" fontId="16" fillId="0" borderId="1" xfId="4" applyNumberFormat="1" applyFont="1" applyBorder="1" applyAlignment="1">
      <alignment horizontal="right" vertical="center"/>
    </xf>
    <xf numFmtId="164" fontId="16" fillId="0" borderId="1" xfId="6" applyNumberFormat="1" applyFont="1" applyFill="1" applyBorder="1"/>
    <xf numFmtId="164" fontId="16" fillId="0" borderId="1" xfId="5" applyNumberFormat="1" applyFont="1" applyFill="1" applyBorder="1"/>
    <xf numFmtId="0" fontId="5" fillId="4" borderId="0" xfId="4" applyFont="1" applyFill="1" applyAlignment="1">
      <alignment horizontal="center" vertical="center"/>
    </xf>
    <xf numFmtId="41" fontId="16" fillId="21" borderId="6" xfId="4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17" fillId="21" borderId="0" xfId="4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0" borderId="7" xfId="0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right" vertical="center"/>
    </xf>
    <xf numFmtId="164" fontId="6" fillId="5" borderId="7" xfId="1" applyNumberFormat="1" applyFont="1" applyFill="1" applyBorder="1"/>
    <xf numFmtId="3" fontId="0" fillId="5" borderId="7" xfId="0" applyNumberFormat="1" applyFill="1" applyBorder="1"/>
    <xf numFmtId="0" fontId="5" fillId="4" borderId="8" xfId="3" applyFont="1" applyFill="1" applyBorder="1" applyAlignment="1">
      <alignment horizontal="left" vertical="center"/>
    </xf>
    <xf numFmtId="0" fontId="5" fillId="4" borderId="3" xfId="4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3" fontId="0" fillId="0" borderId="0" xfId="0" applyNumberFormat="1"/>
    <xf numFmtId="0" fontId="18" fillId="18" borderId="1" xfId="0" applyFont="1" applyFill="1" applyBorder="1" applyAlignment="1">
      <alignment horizontal="center" vertical="center"/>
    </xf>
    <xf numFmtId="0" fontId="19" fillId="18" borderId="3" xfId="4" applyFont="1" applyFill="1" applyBorder="1" applyAlignment="1">
      <alignment horizontal="left" vertical="center"/>
    </xf>
    <xf numFmtId="164" fontId="20" fillId="18" borderId="1" xfId="7" quotePrefix="1" applyNumberFormat="1" applyFont="1" applyFill="1" applyBorder="1" applyAlignment="1">
      <alignment horizontal="center" vertical="center"/>
    </xf>
    <xf numFmtId="164" fontId="20" fillId="18" borderId="1" xfId="1" applyNumberFormat="1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8" fillId="18" borderId="0" xfId="0" applyFont="1" applyFill="1"/>
    <xf numFmtId="0" fontId="0" fillId="6" borderId="1" xfId="0" applyFill="1" applyBorder="1" applyAlignment="1">
      <alignment horizontal="center" vertical="center"/>
    </xf>
    <xf numFmtId="0" fontId="5" fillId="6" borderId="3" xfId="4" applyFont="1" applyFill="1" applyBorder="1" applyAlignment="1">
      <alignment horizontal="left" vertical="center"/>
    </xf>
    <xf numFmtId="3" fontId="0" fillId="6" borderId="1" xfId="0" applyNumberFormat="1" applyFill="1" applyBorder="1"/>
    <xf numFmtId="3" fontId="0" fillId="6" borderId="0" xfId="0" applyNumberFormat="1" applyFill="1"/>
    <xf numFmtId="0" fontId="0" fillId="6" borderId="0" xfId="0" applyFill="1"/>
    <xf numFmtId="3" fontId="0" fillId="6" borderId="4" xfId="0" applyNumberFormat="1" applyFill="1" applyBorder="1"/>
    <xf numFmtId="3" fontId="18" fillId="18" borderId="1" xfId="0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3" fontId="0" fillId="5" borderId="0" xfId="0" applyNumberFormat="1" applyFill="1"/>
    <xf numFmtId="0" fontId="0" fillId="24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5" fillId="18" borderId="3" xfId="4" applyFont="1" applyFill="1" applyBorder="1" applyAlignment="1">
      <alignment horizontal="center" vertical="center"/>
    </xf>
    <xf numFmtId="164" fontId="6" fillId="18" borderId="1" xfId="7" quotePrefix="1" applyNumberFormat="1" applyFont="1" applyFill="1" applyBorder="1" applyAlignment="1">
      <alignment horizontal="right" vertical="center"/>
    </xf>
    <xf numFmtId="164" fontId="6" fillId="18" borderId="1" xfId="1" applyNumberFormat="1" applyFont="1" applyFill="1" applyBorder="1"/>
    <xf numFmtId="164" fontId="6" fillId="18" borderId="1" xfId="1" applyNumberFormat="1" applyFont="1" applyFill="1" applyBorder="1" applyAlignment="1">
      <alignment horizontal="center"/>
    </xf>
    <xf numFmtId="0" fontId="0" fillId="18" borderId="1" xfId="0" applyFill="1" applyBorder="1"/>
    <xf numFmtId="0" fontId="0" fillId="18" borderId="0" xfId="0" applyFill="1"/>
    <xf numFmtId="0" fontId="5" fillId="18" borderId="1" xfId="4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0" applyNumberFormat="1" applyFill="1" applyBorder="1"/>
    <xf numFmtId="164" fontId="6" fillId="18" borderId="1" xfId="5" applyNumberFormat="1" applyFont="1" applyFill="1" applyBorder="1"/>
    <xf numFmtId="164" fontId="6" fillId="18" borderId="1" xfId="6" applyNumberFormat="1" applyFont="1" applyFill="1" applyBorder="1" applyAlignment="1">
      <alignment horizontal="center"/>
    </xf>
    <xf numFmtId="164" fontId="6" fillId="18" borderId="1" xfId="7" quotePrefix="1" applyNumberFormat="1" applyFont="1" applyFill="1" applyBorder="1" applyAlignment="1">
      <alignment horizontal="center" vertical="center"/>
    </xf>
    <xf numFmtId="164" fontId="6" fillId="18" borderId="1" xfId="8" applyNumberFormat="1" applyFont="1" applyFill="1" applyBorder="1"/>
    <xf numFmtId="41" fontId="6" fillId="5" borderId="4" xfId="4" applyNumberFormat="1" applyFill="1" applyBorder="1" applyAlignment="1">
      <alignment horizontal="right" vertical="center"/>
    </xf>
    <xf numFmtId="3" fontId="0" fillId="5" borderId="4" xfId="0" applyNumberFormat="1" applyFill="1" applyBorder="1"/>
    <xf numFmtId="0" fontId="0" fillId="5" borderId="4" xfId="0" applyFill="1" applyBorder="1"/>
    <xf numFmtId="0" fontId="2" fillId="0" borderId="1" xfId="0" applyFont="1" applyBorder="1"/>
    <xf numFmtId="0" fontId="17" fillId="4" borderId="1" xfId="4" applyFont="1" applyFill="1" applyBorder="1" applyAlignment="1">
      <alignment horizontal="center" vertical="center"/>
    </xf>
    <xf numFmtId="0" fontId="2" fillId="25" borderId="1" xfId="0" applyFont="1" applyFill="1" applyBorder="1"/>
    <xf numFmtId="0" fontId="17" fillId="25" borderId="1" xfId="4" applyFont="1" applyFill="1" applyBorder="1" applyAlignment="1">
      <alignment horizontal="center" vertical="center"/>
    </xf>
    <xf numFmtId="41" fontId="2" fillId="25" borderId="1" xfId="0" applyNumberFormat="1" applyFont="1" applyFill="1" applyBorder="1"/>
    <xf numFmtId="0" fontId="7" fillId="25" borderId="1" xfId="0" applyFont="1" applyFill="1" applyBorder="1" applyAlignment="1">
      <alignment horizontal="center" vertical="center"/>
    </xf>
    <xf numFmtId="165" fontId="0" fillId="0" borderId="0" xfId="0" applyNumberFormat="1"/>
    <xf numFmtId="0" fontId="5" fillId="4" borderId="0" xfId="4" applyFont="1" applyFill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/>
    <xf numFmtId="165" fontId="0" fillId="0" borderId="1" xfId="0" applyNumberFormat="1" applyBorder="1"/>
    <xf numFmtId="0" fontId="0" fillId="26" borderId="0" xfId="0" applyFill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8" borderId="9" xfId="0" applyFill="1" applyBorder="1"/>
    <xf numFmtId="0" fontId="22" fillId="29" borderId="1" xfId="0" applyFont="1" applyFill="1" applyBorder="1" applyAlignment="1">
      <alignment vertical="center" wrapText="1"/>
    </xf>
    <xf numFmtId="0" fontId="22" fillId="17" borderId="1" xfId="0" applyFont="1" applyFill="1" applyBorder="1" applyAlignment="1">
      <alignment vertical="center" wrapText="1"/>
    </xf>
    <xf numFmtId="0" fontId="0" fillId="17" borderId="1" xfId="0" applyFill="1" applyBorder="1"/>
    <xf numFmtId="0" fontId="22" fillId="17" borderId="9" xfId="0" applyFont="1" applyFill="1" applyBorder="1" applyAlignment="1">
      <alignment vertical="center" wrapText="1"/>
    </xf>
    <xf numFmtId="0" fontId="22" fillId="28" borderId="1" xfId="0" applyFont="1" applyFill="1" applyBorder="1" applyAlignment="1">
      <alignment vertical="center" wrapText="1"/>
    </xf>
    <xf numFmtId="0" fontId="0" fillId="9" borderId="0" xfId="0" applyFill="1"/>
    <xf numFmtId="0" fontId="22" fillId="28" borderId="9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2" fillId="9" borderId="1" xfId="0" applyFont="1" applyFill="1" applyBorder="1" applyAlignment="1">
      <alignment horizontal="justify" vertical="center" wrapText="1"/>
    </xf>
    <xf numFmtId="0" fontId="22" fillId="30" borderId="1" xfId="0" applyFont="1" applyFill="1" applyBorder="1" applyAlignment="1">
      <alignment vertical="center" wrapText="1"/>
    </xf>
    <xf numFmtId="0" fontId="0" fillId="30" borderId="1" xfId="0" applyFill="1" applyBorder="1"/>
    <xf numFmtId="0" fontId="0" fillId="30" borderId="0" xfId="0" applyFill="1"/>
    <xf numFmtId="0" fontId="0" fillId="31" borderId="0" xfId="0" applyFill="1"/>
    <xf numFmtId="0" fontId="22" fillId="30" borderId="9" xfId="0" applyFont="1" applyFill="1" applyBorder="1" applyAlignment="1">
      <alignment vertical="center" wrapText="1"/>
    </xf>
    <xf numFmtId="0" fontId="22" fillId="31" borderId="1" xfId="0" applyFont="1" applyFill="1" applyBorder="1" applyAlignment="1">
      <alignment vertical="center" wrapText="1"/>
    </xf>
    <xf numFmtId="0" fontId="22" fillId="31" borderId="9" xfId="0" applyFont="1" applyFill="1" applyBorder="1" applyAlignment="1">
      <alignment vertical="center" wrapText="1"/>
    </xf>
    <xf numFmtId="0" fontId="22" fillId="32" borderId="1" xfId="0" applyFont="1" applyFill="1" applyBorder="1" applyAlignment="1">
      <alignment vertical="center" wrapText="1"/>
    </xf>
    <xf numFmtId="0" fontId="0" fillId="32" borderId="1" xfId="0" applyFill="1" applyBorder="1"/>
    <xf numFmtId="0" fontId="22" fillId="33" borderId="1" xfId="0" applyFont="1" applyFill="1" applyBorder="1" applyAlignment="1">
      <alignment vertical="center" wrapText="1"/>
    </xf>
    <xf numFmtId="0" fontId="22" fillId="33" borderId="9" xfId="0" applyFont="1" applyFill="1" applyBorder="1" applyAlignment="1">
      <alignment vertical="center" wrapText="1"/>
    </xf>
    <xf numFmtId="0" fontId="22" fillId="22" borderId="1" xfId="0" applyFont="1" applyFill="1" applyBorder="1" applyAlignment="1">
      <alignment vertical="center" wrapText="1"/>
    </xf>
    <xf numFmtId="0" fontId="0" fillId="22" borderId="1" xfId="0" applyFill="1" applyBorder="1"/>
    <xf numFmtId="0" fontId="0" fillId="22" borderId="0" xfId="0" applyFill="1"/>
    <xf numFmtId="0" fontId="21" fillId="26" borderId="1" xfId="0" applyFont="1" applyFill="1" applyBorder="1" applyAlignment="1">
      <alignment horizontal="center" vertical="center" wrapText="1"/>
    </xf>
    <xf numFmtId="0" fontId="22" fillId="26" borderId="1" xfId="0" applyFont="1" applyFill="1" applyBorder="1" applyAlignment="1">
      <alignment horizontal="center" vertical="center" wrapText="1"/>
    </xf>
    <xf numFmtId="0" fontId="0" fillId="21" borderId="0" xfId="0" applyFill="1"/>
    <xf numFmtId="0" fontId="0" fillId="21" borderId="1" xfId="0" applyFill="1" applyBorder="1" applyAlignment="1">
      <alignment horizontal="center" vertical="center"/>
    </xf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7" borderId="0" xfId="0" applyFill="1"/>
    <xf numFmtId="0" fontId="0" fillId="38" borderId="1" xfId="0" applyFill="1" applyBorder="1"/>
    <xf numFmtId="0" fontId="0" fillId="12" borderId="1" xfId="0" applyFill="1" applyBorder="1"/>
    <xf numFmtId="0" fontId="0" fillId="39" borderId="1" xfId="0" applyFill="1" applyBorder="1"/>
    <xf numFmtId="0" fontId="0" fillId="11" borderId="1" xfId="0" applyFill="1" applyBorder="1"/>
    <xf numFmtId="0" fontId="0" fillId="17" borderId="0" xfId="0" applyFill="1"/>
    <xf numFmtId="0" fontId="0" fillId="38" borderId="0" xfId="0" applyFill="1"/>
    <xf numFmtId="0" fontId="0" fillId="25" borderId="0" xfId="0" applyFill="1"/>
    <xf numFmtId="0" fontId="0" fillId="7" borderId="0" xfId="0" applyFill="1"/>
    <xf numFmtId="0" fontId="0" fillId="40" borderId="0" xfId="0" applyFill="1"/>
    <xf numFmtId="0" fontId="0" fillId="2" borderId="0" xfId="0" applyFill="1"/>
    <xf numFmtId="0" fontId="0" fillId="3" borderId="0" xfId="0" applyFill="1"/>
    <xf numFmtId="0" fontId="0" fillId="41" borderId="0" xfId="0" applyFill="1"/>
    <xf numFmtId="0" fontId="0" fillId="23" borderId="0" xfId="0" applyFill="1"/>
    <xf numFmtId="0" fontId="2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42" borderId="1" xfId="0" applyFill="1" applyBorder="1"/>
    <xf numFmtId="0" fontId="0" fillId="42" borderId="0" xfId="0" applyFill="1"/>
    <xf numFmtId="0" fontId="0" fillId="19" borderId="1" xfId="0" applyFill="1" applyBorder="1"/>
    <xf numFmtId="1" fontId="23" fillId="0" borderId="0" xfId="0" applyNumberFormat="1" applyFont="1" applyAlignment="1">
      <alignment vertical="top" shrinkToFit="1"/>
    </xf>
    <xf numFmtId="1" fontId="23" fillId="0" borderId="10" xfId="0" applyNumberFormat="1" applyFont="1" applyBorder="1" applyAlignment="1">
      <alignment vertical="top" shrinkToFit="1"/>
    </xf>
    <xf numFmtId="1" fontId="23" fillId="0" borderId="11" xfId="0" applyNumberFormat="1" applyFont="1" applyBorder="1" applyAlignment="1">
      <alignment vertical="top" shrinkToFit="1"/>
    </xf>
    <xf numFmtId="1" fontId="23" fillId="0" borderId="12" xfId="0" applyNumberFormat="1" applyFont="1" applyBorder="1" applyAlignment="1">
      <alignment vertical="top" shrinkToFit="1"/>
    </xf>
    <xf numFmtId="166" fontId="23" fillId="0" borderId="0" xfId="0" applyNumberFormat="1" applyFont="1" applyAlignment="1">
      <alignment vertical="top" shrinkToFit="1"/>
    </xf>
    <xf numFmtId="166" fontId="23" fillId="0" borderId="10" xfId="0" applyNumberFormat="1" applyFont="1" applyBorder="1" applyAlignment="1">
      <alignment vertical="top" shrinkToFit="1"/>
    </xf>
    <xf numFmtId="1" fontId="24" fillId="0" borderId="11" xfId="0" applyNumberFormat="1" applyFont="1" applyBorder="1" applyAlignment="1">
      <alignment vertical="top" shrinkToFit="1"/>
    </xf>
    <xf numFmtId="1" fontId="24" fillId="0" borderId="12" xfId="0" applyNumberFormat="1" applyFont="1" applyBorder="1" applyAlignment="1">
      <alignment vertical="top" shrinkToFit="1"/>
    </xf>
    <xf numFmtId="1" fontId="24" fillId="0" borderId="0" xfId="0" applyNumberFormat="1" applyFont="1" applyAlignment="1">
      <alignment vertical="top" shrinkToFit="1"/>
    </xf>
    <xf numFmtId="1" fontId="24" fillId="0" borderId="10" xfId="0" applyNumberFormat="1" applyFont="1" applyBorder="1" applyAlignment="1">
      <alignment vertical="top" shrinkToFit="1"/>
    </xf>
    <xf numFmtId="166" fontId="24" fillId="0" borderId="0" xfId="0" applyNumberFormat="1" applyFont="1" applyAlignment="1">
      <alignment vertical="top" shrinkToFit="1"/>
    </xf>
    <xf numFmtId="166" fontId="24" fillId="0" borderId="10" xfId="0" applyNumberFormat="1" applyFont="1" applyBorder="1" applyAlignment="1">
      <alignment vertical="top" shrinkToFit="1"/>
    </xf>
    <xf numFmtId="0" fontId="27" fillId="0" borderId="11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22" fillId="3" borderId="1" xfId="0" applyFont="1" applyFill="1" applyBorder="1" applyAlignment="1">
      <alignment vertical="center" wrapText="1"/>
    </xf>
    <xf numFmtId="1" fontId="25" fillId="0" borderId="0" xfId="0" applyNumberFormat="1" applyFont="1" applyAlignment="1">
      <alignment vertical="top" shrinkToFit="1"/>
    </xf>
    <xf numFmtId="1" fontId="25" fillId="0" borderId="10" xfId="0" applyNumberFormat="1" applyFont="1" applyBorder="1" applyAlignment="1">
      <alignment vertical="top" shrinkToFit="1"/>
    </xf>
    <xf numFmtId="0" fontId="26" fillId="0" borderId="0" xfId="0" applyFont="1" applyAlignment="1">
      <alignment vertical="top" wrapText="1"/>
    </xf>
    <xf numFmtId="0" fontId="26" fillId="0" borderId="10" xfId="0" applyFont="1" applyBorder="1" applyAlignment="1">
      <alignment vertical="top" wrapText="1"/>
    </xf>
    <xf numFmtId="1" fontId="25" fillId="0" borderId="11" xfId="0" applyNumberFormat="1" applyFont="1" applyBorder="1" applyAlignment="1">
      <alignment vertical="top" shrinkToFit="1"/>
    </xf>
    <xf numFmtId="1" fontId="25" fillId="0" borderId="12" xfId="0" applyNumberFormat="1" applyFont="1" applyBorder="1" applyAlignment="1">
      <alignment vertical="top" shrinkToFi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166" fontId="25" fillId="0" borderId="0" xfId="0" applyNumberFormat="1" applyFont="1" applyAlignment="1">
      <alignment vertical="top" shrinkToFit="1"/>
    </xf>
    <xf numFmtId="166" fontId="25" fillId="0" borderId="10" xfId="0" applyNumberFormat="1" applyFont="1" applyBorder="1" applyAlignment="1">
      <alignment vertical="top" shrinkToFit="1"/>
    </xf>
    <xf numFmtId="0" fontId="22" fillId="10" borderId="1" xfId="0" applyFont="1" applyFill="1" applyBorder="1" applyAlignment="1">
      <alignment vertical="center" wrapText="1"/>
    </xf>
    <xf numFmtId="0" fontId="29" fillId="0" borderId="11" xfId="0" applyFont="1" applyBorder="1" applyAlignment="1">
      <alignment vertical="top" wrapText="1"/>
    </xf>
    <xf numFmtId="0" fontId="29" fillId="0" borderId="12" xfId="0" applyFont="1" applyBorder="1" applyAlignment="1">
      <alignment vertical="top" wrapText="1"/>
    </xf>
    <xf numFmtId="0" fontId="29" fillId="0" borderId="0" xfId="0" applyFont="1" applyAlignment="1">
      <alignment vertical="top" wrapText="1"/>
    </xf>
    <xf numFmtId="0" fontId="29" fillId="0" borderId="10" xfId="0" applyFont="1" applyBorder="1" applyAlignment="1">
      <alignment vertical="top" wrapText="1"/>
    </xf>
    <xf numFmtId="1" fontId="28" fillId="0" borderId="0" xfId="0" applyNumberFormat="1" applyFont="1" applyAlignment="1">
      <alignment vertical="top" shrinkToFit="1"/>
    </xf>
    <xf numFmtId="1" fontId="28" fillId="0" borderId="10" xfId="0" applyNumberFormat="1" applyFont="1" applyBorder="1" applyAlignment="1">
      <alignment vertical="top" shrinkToFit="1"/>
    </xf>
    <xf numFmtId="0" fontId="22" fillId="41" borderId="1" xfId="0" applyFont="1" applyFill="1" applyBorder="1" applyAlignment="1">
      <alignment vertical="center" wrapText="1"/>
    </xf>
    <xf numFmtId="1" fontId="28" fillId="0" borderId="11" xfId="0" applyNumberFormat="1" applyFont="1" applyBorder="1" applyAlignment="1">
      <alignment vertical="top" shrinkToFit="1"/>
    </xf>
    <xf numFmtId="1" fontId="28" fillId="0" borderId="12" xfId="0" applyNumberFormat="1" applyFont="1" applyBorder="1" applyAlignment="1">
      <alignment vertical="top" shrinkToFit="1"/>
    </xf>
    <xf numFmtId="166" fontId="28" fillId="0" borderId="0" xfId="0" applyNumberFormat="1" applyFont="1" applyAlignment="1">
      <alignment vertical="top" shrinkToFit="1"/>
    </xf>
    <xf numFmtId="166" fontId="28" fillId="0" borderId="10" xfId="0" applyNumberFormat="1" applyFont="1" applyBorder="1" applyAlignment="1">
      <alignment vertical="top" shrinkToFit="1"/>
    </xf>
    <xf numFmtId="0" fontId="22" fillId="43" borderId="1" xfId="0" applyFont="1" applyFill="1" applyBorder="1" applyAlignment="1">
      <alignment vertical="center" wrapText="1"/>
    </xf>
    <xf numFmtId="1" fontId="30" fillId="0" borderId="0" xfId="0" applyNumberFormat="1" applyFont="1" applyAlignment="1">
      <alignment vertical="top" shrinkToFit="1"/>
    </xf>
    <xf numFmtId="1" fontId="30" fillId="0" borderId="10" xfId="0" applyNumberFormat="1" applyFont="1" applyBorder="1" applyAlignment="1">
      <alignment vertical="top" shrinkToFit="1"/>
    </xf>
    <xf numFmtId="1" fontId="30" fillId="0" borderId="11" xfId="0" applyNumberFormat="1" applyFont="1" applyBorder="1" applyAlignment="1">
      <alignment vertical="top" shrinkToFit="1"/>
    </xf>
    <xf numFmtId="1" fontId="30" fillId="0" borderId="12" xfId="0" applyNumberFormat="1" applyFont="1" applyBorder="1" applyAlignment="1">
      <alignment vertical="top" shrinkToFit="1"/>
    </xf>
    <xf numFmtId="0" fontId="31" fillId="0" borderId="0" xfId="0" applyFont="1" applyAlignment="1">
      <alignment vertical="top" wrapText="1"/>
    </xf>
    <xf numFmtId="0" fontId="31" fillId="0" borderId="10" xfId="0" applyFont="1" applyBorder="1" applyAlignment="1">
      <alignment vertical="top" wrapText="1"/>
    </xf>
    <xf numFmtId="166" fontId="30" fillId="0" borderId="0" xfId="0" applyNumberFormat="1" applyFont="1" applyAlignment="1">
      <alignment vertical="top" shrinkToFit="1"/>
    </xf>
    <xf numFmtId="166" fontId="30" fillId="0" borderId="10" xfId="0" applyNumberFormat="1" applyFont="1" applyBorder="1" applyAlignment="1">
      <alignment vertical="top" shrinkToFit="1"/>
    </xf>
    <xf numFmtId="0" fontId="22" fillId="23" borderId="1" xfId="0" applyFont="1" applyFill="1" applyBorder="1" applyAlignment="1">
      <alignment vertical="center" wrapText="1"/>
    </xf>
    <xf numFmtId="0" fontId="31" fillId="0" borderId="11" xfId="0" applyFont="1" applyBorder="1" applyAlignment="1">
      <alignment vertical="top" wrapText="1"/>
    </xf>
    <xf numFmtId="0" fontId="31" fillId="0" borderId="12" xfId="0" applyFont="1" applyBorder="1" applyAlignment="1">
      <alignment vertical="top" wrapText="1"/>
    </xf>
    <xf numFmtId="0" fontId="22" fillId="1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2" fillId="9" borderId="1" xfId="0" applyFont="1" applyFill="1" applyBorder="1" applyAlignment="1">
      <alignment horizontal="left" vertical="center" wrapText="1"/>
    </xf>
    <xf numFmtId="0" fontId="0" fillId="44" borderId="1" xfId="0" applyFill="1" applyBorder="1" applyAlignment="1">
      <alignment horizontal="left" vertical="center"/>
    </xf>
    <xf numFmtId="0" fontId="32" fillId="19" borderId="1" xfId="0" applyFont="1" applyFill="1" applyBorder="1"/>
    <xf numFmtId="1" fontId="34" fillId="0" borderId="0" xfId="0" applyNumberFormat="1" applyFont="1" applyAlignment="1">
      <alignment vertical="top" shrinkToFit="1"/>
    </xf>
    <xf numFmtId="1" fontId="34" fillId="0" borderId="10" xfId="0" applyNumberFormat="1" applyFont="1" applyBorder="1" applyAlignment="1">
      <alignment vertical="top" shrinkToFit="1"/>
    </xf>
    <xf numFmtId="1" fontId="34" fillId="0" borderId="11" xfId="0" applyNumberFormat="1" applyFont="1" applyBorder="1" applyAlignment="1">
      <alignment vertical="top" shrinkToFit="1"/>
    </xf>
    <xf numFmtId="1" fontId="34" fillId="0" borderId="12" xfId="0" applyNumberFormat="1" applyFont="1" applyBorder="1" applyAlignment="1">
      <alignment vertical="top" shrinkToFit="1"/>
    </xf>
    <xf numFmtId="0" fontId="33" fillId="0" borderId="0" xfId="0" applyFont="1" applyAlignment="1">
      <alignment vertical="top" wrapText="1"/>
    </xf>
    <xf numFmtId="0" fontId="33" fillId="0" borderId="10" xfId="0" applyFont="1" applyBorder="1" applyAlignment="1">
      <alignment vertical="top" wrapText="1"/>
    </xf>
    <xf numFmtId="166" fontId="34" fillId="0" borderId="0" xfId="0" applyNumberFormat="1" applyFont="1" applyAlignment="1">
      <alignment vertical="top" shrinkToFit="1"/>
    </xf>
    <xf numFmtId="166" fontId="34" fillId="0" borderId="10" xfId="0" applyNumberFormat="1" applyFont="1" applyBorder="1" applyAlignment="1">
      <alignment vertical="top" shrinkToFit="1"/>
    </xf>
    <xf numFmtId="0" fontId="33" fillId="0" borderId="11" xfId="0" applyFont="1" applyBorder="1" applyAlignment="1">
      <alignment vertical="top" wrapText="1"/>
    </xf>
    <xf numFmtId="0" fontId="33" fillId="0" borderId="12" xfId="0" applyFont="1" applyBorder="1" applyAlignment="1">
      <alignment vertical="top" wrapText="1"/>
    </xf>
    <xf numFmtId="0" fontId="0" fillId="37" borderId="7" xfId="0" applyFill="1" applyBorder="1"/>
    <xf numFmtId="1" fontId="34" fillId="0" borderId="13" xfId="0" applyNumberFormat="1" applyFont="1" applyBorder="1" applyAlignment="1">
      <alignment vertical="top" shrinkToFit="1"/>
    </xf>
    <xf numFmtId="1" fontId="34" fillId="0" borderId="14" xfId="0" applyNumberFormat="1" applyFont="1" applyBorder="1" applyAlignment="1">
      <alignment vertical="top" shrinkToFit="1"/>
    </xf>
    <xf numFmtId="0" fontId="0" fillId="45" borderId="1" xfId="0" applyFill="1" applyBorder="1"/>
    <xf numFmtId="1" fontId="35" fillId="0" borderId="11" xfId="0" applyNumberFormat="1" applyFont="1" applyBorder="1" applyAlignment="1">
      <alignment vertical="top" shrinkToFit="1"/>
    </xf>
    <xf numFmtId="1" fontId="35" fillId="0" borderId="12" xfId="0" applyNumberFormat="1" applyFont="1" applyBorder="1" applyAlignment="1">
      <alignment vertical="top" shrinkToFit="1"/>
    </xf>
    <xf numFmtId="1" fontId="35" fillId="0" borderId="0" xfId="0" applyNumberFormat="1" applyFont="1" applyAlignment="1">
      <alignment vertical="top" shrinkToFit="1"/>
    </xf>
    <xf numFmtId="1" fontId="35" fillId="0" borderId="10" xfId="0" applyNumberFormat="1" applyFont="1" applyBorder="1" applyAlignment="1">
      <alignment vertical="top" shrinkToFit="1"/>
    </xf>
    <xf numFmtId="0" fontId="36" fillId="0" borderId="0" xfId="0" applyFont="1" applyAlignment="1">
      <alignment vertical="top" wrapText="1"/>
    </xf>
    <xf numFmtId="0" fontId="36" fillId="0" borderId="10" xfId="0" applyFont="1" applyBorder="1" applyAlignment="1">
      <alignment vertical="top" wrapText="1"/>
    </xf>
    <xf numFmtId="166" fontId="35" fillId="0" borderId="0" xfId="0" applyNumberFormat="1" applyFont="1" applyAlignment="1">
      <alignment vertical="top" shrinkToFit="1"/>
    </xf>
    <xf numFmtId="166" fontId="35" fillId="0" borderId="10" xfId="0" applyNumberFormat="1" applyFont="1" applyBorder="1" applyAlignment="1">
      <alignment vertical="top" shrinkToFit="1"/>
    </xf>
    <xf numFmtId="0" fontId="0" fillId="7" borderId="1" xfId="0" applyFill="1" applyBorder="1"/>
    <xf numFmtId="166" fontId="30" fillId="0" borderId="11" xfId="0" applyNumberFormat="1" applyFont="1" applyBorder="1" applyAlignment="1">
      <alignment vertical="top" shrinkToFit="1"/>
    </xf>
    <xf numFmtId="166" fontId="30" fillId="0" borderId="12" xfId="0" applyNumberFormat="1" applyFont="1" applyBorder="1" applyAlignment="1">
      <alignment vertical="top" shrinkToFit="1"/>
    </xf>
    <xf numFmtId="0" fontId="0" fillId="46" borderId="1" xfId="0" applyFill="1" applyBorder="1"/>
    <xf numFmtId="166" fontId="37" fillId="0" borderId="11" xfId="0" applyNumberFormat="1" applyFont="1" applyBorder="1" applyAlignment="1">
      <alignment vertical="top" shrinkToFit="1"/>
    </xf>
    <xf numFmtId="166" fontId="37" fillId="0" borderId="12" xfId="0" applyNumberFormat="1" applyFont="1" applyBorder="1" applyAlignment="1">
      <alignment vertical="top" shrinkToFit="1"/>
    </xf>
    <xf numFmtId="166" fontId="37" fillId="0" borderId="0" xfId="0" applyNumberFormat="1" applyFont="1" applyAlignment="1">
      <alignment vertical="top" shrinkToFit="1"/>
    </xf>
    <xf numFmtId="166" fontId="37" fillId="0" borderId="10" xfId="0" applyNumberFormat="1" applyFont="1" applyBorder="1" applyAlignment="1">
      <alignment vertical="top" shrinkToFit="1"/>
    </xf>
    <xf numFmtId="1" fontId="37" fillId="0" borderId="0" xfId="0" applyNumberFormat="1" applyFont="1" applyAlignment="1">
      <alignment vertical="top" shrinkToFit="1"/>
    </xf>
    <xf numFmtId="1" fontId="37" fillId="0" borderId="10" xfId="0" applyNumberFormat="1" applyFont="1" applyBorder="1" applyAlignment="1">
      <alignment vertical="top" shrinkToFit="1"/>
    </xf>
    <xf numFmtId="1" fontId="37" fillId="0" borderId="11" xfId="0" applyNumberFormat="1" applyFont="1" applyBorder="1" applyAlignment="1">
      <alignment vertical="top" shrinkToFit="1"/>
    </xf>
    <xf numFmtId="1" fontId="37" fillId="0" borderId="12" xfId="0" applyNumberFormat="1" applyFont="1" applyBorder="1" applyAlignment="1">
      <alignment vertical="top" shrinkToFit="1"/>
    </xf>
    <xf numFmtId="0" fontId="38" fillId="0" borderId="0" xfId="0" applyFont="1" applyAlignment="1">
      <alignment vertical="top" wrapText="1"/>
    </xf>
    <xf numFmtId="0" fontId="38" fillId="0" borderId="10" xfId="0" applyFont="1" applyBorder="1" applyAlignment="1">
      <alignment vertical="top" wrapText="1"/>
    </xf>
    <xf numFmtId="0" fontId="39" fillId="26" borderId="1" xfId="0" applyFont="1" applyFill="1" applyBorder="1" applyAlignment="1">
      <alignment vertical="top" wrapText="1"/>
    </xf>
    <xf numFmtId="166" fontId="40" fillId="26" borderId="1" xfId="0" applyNumberFormat="1" applyFont="1" applyFill="1" applyBorder="1" applyAlignment="1">
      <alignment vertical="top" shrinkToFit="1"/>
    </xf>
    <xf numFmtId="1" fontId="40" fillId="26" borderId="1" xfId="0" applyNumberFormat="1" applyFont="1" applyFill="1" applyBorder="1" applyAlignment="1">
      <alignment vertical="top" shrinkToFit="1"/>
    </xf>
    <xf numFmtId="1" fontId="40" fillId="9" borderId="1" xfId="0" applyNumberFormat="1" applyFont="1" applyFill="1" applyBorder="1" applyAlignment="1">
      <alignment vertical="top" shrinkToFit="1"/>
    </xf>
    <xf numFmtId="0" fontId="39" fillId="9" borderId="1" xfId="0" applyFont="1" applyFill="1" applyBorder="1" applyAlignment="1">
      <alignment vertical="top" wrapText="1"/>
    </xf>
    <xf numFmtId="1" fontId="40" fillId="2" borderId="1" xfId="0" applyNumberFormat="1" applyFont="1" applyFill="1" applyBorder="1" applyAlignment="1">
      <alignment vertical="top" shrinkToFit="1"/>
    </xf>
    <xf numFmtId="0" fontId="39" fillId="2" borderId="1" xfId="0" applyFont="1" applyFill="1" applyBorder="1" applyAlignment="1">
      <alignment vertical="top" wrapText="1"/>
    </xf>
    <xf numFmtId="1" fontId="40" fillId="19" borderId="1" xfId="0" applyNumberFormat="1" applyFont="1" applyFill="1" applyBorder="1" applyAlignment="1">
      <alignment vertical="top" shrinkToFit="1"/>
    </xf>
    <xf numFmtId="0" fontId="41" fillId="2" borderId="1" xfId="0" applyFont="1" applyFill="1" applyBorder="1" applyAlignment="1">
      <alignment horizontal="center" vertical="center"/>
    </xf>
    <xf numFmtId="1" fontId="40" fillId="3" borderId="1" xfId="0" applyNumberFormat="1" applyFont="1" applyFill="1" applyBorder="1" applyAlignment="1">
      <alignment vertical="top" shrinkToFit="1"/>
    </xf>
    <xf numFmtId="166" fontId="40" fillId="3" borderId="1" xfId="0" applyNumberFormat="1" applyFont="1" applyFill="1" applyBorder="1" applyAlignment="1">
      <alignment vertical="top" shrinkToFit="1"/>
    </xf>
    <xf numFmtId="0" fontId="39" fillId="3" borderId="1" xfId="0" applyFont="1" applyFill="1" applyBorder="1" applyAlignment="1">
      <alignment vertical="top" wrapText="1"/>
    </xf>
    <xf numFmtId="1" fontId="40" fillId="10" borderId="1" xfId="0" applyNumberFormat="1" applyFont="1" applyFill="1" applyBorder="1" applyAlignment="1">
      <alignment vertical="top" shrinkToFit="1"/>
    </xf>
    <xf numFmtId="0" fontId="41" fillId="10" borderId="1" xfId="0" applyFont="1" applyFill="1" applyBorder="1" applyAlignment="1">
      <alignment horizontal="center" vertical="center"/>
    </xf>
    <xf numFmtId="166" fontId="40" fillId="10" borderId="1" xfId="0" applyNumberFormat="1" applyFont="1" applyFill="1" applyBorder="1" applyAlignment="1">
      <alignment vertical="top" shrinkToFit="1"/>
    </xf>
    <xf numFmtId="0" fontId="39" fillId="10" borderId="1" xfId="0" applyFont="1" applyFill="1" applyBorder="1" applyAlignment="1">
      <alignment vertical="top" wrapText="1"/>
    </xf>
    <xf numFmtId="1" fontId="40" fillId="41" borderId="1" xfId="0" applyNumberFormat="1" applyFont="1" applyFill="1" applyBorder="1" applyAlignment="1">
      <alignment vertical="top" shrinkToFit="1"/>
    </xf>
    <xf numFmtId="0" fontId="39" fillId="41" borderId="1" xfId="0" applyFont="1" applyFill="1" applyBorder="1" applyAlignment="1">
      <alignment vertical="top" wrapText="1"/>
    </xf>
    <xf numFmtId="1" fontId="40" fillId="43" borderId="1" xfId="0" applyNumberFormat="1" applyFont="1" applyFill="1" applyBorder="1" applyAlignment="1">
      <alignment vertical="top" shrinkToFit="1"/>
    </xf>
    <xf numFmtId="1" fontId="40" fillId="32" borderId="1" xfId="0" applyNumberFormat="1" applyFont="1" applyFill="1" applyBorder="1" applyAlignment="1">
      <alignment vertical="top" shrinkToFit="1"/>
    </xf>
    <xf numFmtId="1" fontId="40" fillId="30" borderId="1" xfId="0" applyNumberFormat="1" applyFont="1" applyFill="1" applyBorder="1" applyAlignment="1">
      <alignment vertical="top" shrinkToFit="1"/>
    </xf>
    <xf numFmtId="1" fontId="40" fillId="23" borderId="1" xfId="0" applyNumberFormat="1" applyFont="1" applyFill="1" applyBorder="1" applyAlignment="1">
      <alignment vertical="top" shrinkToFit="1"/>
    </xf>
    <xf numFmtId="1" fontId="40" fillId="17" borderId="1" xfId="0" applyNumberFormat="1" applyFont="1" applyFill="1" applyBorder="1" applyAlignment="1">
      <alignment vertical="top" shrinkToFit="1"/>
    </xf>
    <xf numFmtId="1" fontId="40" fillId="44" borderId="1" xfId="0" applyNumberFormat="1" applyFont="1" applyFill="1" applyBorder="1" applyAlignment="1">
      <alignment vertical="top" shrinkToFit="1"/>
    </xf>
    <xf numFmtId="1" fontId="39" fillId="19" borderId="1" xfId="0" applyNumberFormat="1" applyFont="1" applyFill="1" applyBorder="1" applyAlignment="1">
      <alignment vertical="top" shrinkToFit="1"/>
    </xf>
    <xf numFmtId="0" fontId="39" fillId="42" borderId="1" xfId="0" applyFont="1" applyFill="1" applyBorder="1" applyAlignment="1">
      <alignment vertical="top" wrapText="1"/>
    </xf>
    <xf numFmtId="1" fontId="40" fillId="42" borderId="1" xfId="0" applyNumberFormat="1" applyFont="1" applyFill="1" applyBorder="1" applyAlignment="1">
      <alignment vertical="top" shrinkToFit="1"/>
    </xf>
    <xf numFmtId="1" fontId="40" fillId="38" borderId="1" xfId="0" applyNumberFormat="1" applyFont="1" applyFill="1" applyBorder="1" applyAlignment="1">
      <alignment vertical="top" shrinkToFit="1"/>
    </xf>
    <xf numFmtId="1" fontId="40" fillId="5" borderId="1" xfId="0" applyNumberFormat="1" applyFont="1" applyFill="1" applyBorder="1" applyAlignment="1">
      <alignment vertical="top" shrinkToFit="1"/>
    </xf>
    <xf numFmtId="0" fontId="39" fillId="5" borderId="1" xfId="0" applyFont="1" applyFill="1" applyBorder="1" applyAlignment="1">
      <alignment vertical="top" wrapText="1"/>
    </xf>
    <xf numFmtId="1" fontId="40" fillId="37" borderId="1" xfId="0" applyNumberFormat="1" applyFont="1" applyFill="1" applyBorder="1" applyAlignment="1">
      <alignment vertical="top" shrinkToFit="1"/>
    </xf>
    <xf numFmtId="1" fontId="40" fillId="45" borderId="1" xfId="0" applyNumberFormat="1" applyFont="1" applyFill="1" applyBorder="1" applyAlignment="1">
      <alignment vertical="top" shrinkToFit="1"/>
    </xf>
    <xf numFmtId="0" fontId="39" fillId="45" borderId="1" xfId="0" applyFont="1" applyFill="1" applyBorder="1" applyAlignment="1">
      <alignment vertical="top" wrapText="1"/>
    </xf>
    <xf numFmtId="1" fontId="40" fillId="7" borderId="1" xfId="0" applyNumberFormat="1" applyFont="1" applyFill="1" applyBorder="1" applyAlignment="1">
      <alignment vertical="top" shrinkToFit="1"/>
    </xf>
    <xf numFmtId="0" fontId="39" fillId="7" borderId="1" xfId="0" applyFont="1" applyFill="1" applyBorder="1" applyAlignment="1">
      <alignment vertical="top" wrapText="1"/>
    </xf>
    <xf numFmtId="1" fontId="40" fillId="46" borderId="1" xfId="0" applyNumberFormat="1" applyFont="1" applyFill="1" applyBorder="1" applyAlignment="1">
      <alignment vertical="top" shrinkToFit="1"/>
    </xf>
    <xf numFmtId="1" fontId="40" fillId="22" borderId="1" xfId="0" applyNumberFormat="1" applyFont="1" applyFill="1" applyBorder="1" applyAlignment="1">
      <alignment vertical="top" shrinkToFit="1"/>
    </xf>
    <xf numFmtId="1" fontId="40" fillId="37" borderId="1" xfId="0" applyNumberFormat="1" applyFont="1" applyFill="1" applyBorder="1" applyAlignment="1">
      <alignment horizontal="right" vertical="top" shrinkToFit="1"/>
    </xf>
    <xf numFmtId="0" fontId="41" fillId="37" borderId="1" xfId="0" applyFont="1" applyFill="1" applyBorder="1"/>
    <xf numFmtId="1" fontId="40" fillId="26" borderId="2" xfId="0" applyNumberFormat="1" applyFont="1" applyFill="1" applyBorder="1" applyAlignment="1">
      <alignment vertical="top" shrinkToFit="1"/>
    </xf>
    <xf numFmtId="1" fontId="40" fillId="19" borderId="2" xfId="0" applyNumberFormat="1" applyFont="1" applyFill="1" applyBorder="1" applyAlignment="1">
      <alignment vertical="top" shrinkToFit="1"/>
    </xf>
    <xf numFmtId="1" fontId="40" fillId="2" borderId="2" xfId="0" applyNumberFormat="1" applyFont="1" applyFill="1" applyBorder="1" applyAlignment="1">
      <alignment vertical="top" shrinkToFit="1"/>
    </xf>
    <xf numFmtId="1" fontId="40" fillId="3" borderId="2" xfId="0" applyNumberFormat="1" applyFont="1" applyFill="1" applyBorder="1" applyAlignment="1">
      <alignment vertical="top" shrinkToFit="1"/>
    </xf>
    <xf numFmtId="0" fontId="39" fillId="3" borderId="2" xfId="0" applyFont="1" applyFill="1" applyBorder="1" applyAlignment="1">
      <alignment vertical="top" wrapText="1"/>
    </xf>
    <xf numFmtId="0" fontId="39" fillId="2" borderId="2" xfId="0" applyFont="1" applyFill="1" applyBorder="1" applyAlignment="1">
      <alignment vertical="top" wrapText="1"/>
    </xf>
    <xf numFmtId="1" fontId="40" fillId="10" borderId="2" xfId="0" applyNumberFormat="1" applyFont="1" applyFill="1" applyBorder="1" applyAlignment="1">
      <alignment vertical="top" shrinkToFit="1"/>
    </xf>
    <xf numFmtId="0" fontId="39" fillId="10" borderId="2" xfId="0" applyFont="1" applyFill="1" applyBorder="1" applyAlignment="1">
      <alignment vertical="top" wrapText="1"/>
    </xf>
    <xf numFmtId="1" fontId="40" fillId="9" borderId="2" xfId="0" applyNumberFormat="1" applyFont="1" applyFill="1" applyBorder="1" applyAlignment="1">
      <alignment vertical="top" shrinkToFit="1"/>
    </xf>
    <xf numFmtId="1" fontId="40" fillId="41" borderId="2" xfId="0" applyNumberFormat="1" applyFont="1" applyFill="1" applyBorder="1" applyAlignment="1">
      <alignment vertical="top" shrinkToFit="1"/>
    </xf>
    <xf numFmtId="0" fontId="39" fillId="41" borderId="2" xfId="0" applyFont="1" applyFill="1" applyBorder="1" applyAlignment="1">
      <alignment vertical="top" wrapText="1"/>
    </xf>
    <xf numFmtId="1" fontId="40" fillId="43" borderId="2" xfId="0" applyNumberFormat="1" applyFont="1" applyFill="1" applyBorder="1" applyAlignment="1">
      <alignment vertical="top" shrinkToFit="1"/>
    </xf>
    <xf numFmtId="1" fontId="40" fillId="32" borderId="2" xfId="0" applyNumberFormat="1" applyFont="1" applyFill="1" applyBorder="1" applyAlignment="1">
      <alignment vertical="top" shrinkToFit="1"/>
    </xf>
    <xf numFmtId="1" fontId="40" fillId="30" borderId="2" xfId="0" applyNumberFormat="1" applyFont="1" applyFill="1" applyBorder="1" applyAlignment="1">
      <alignment vertical="top" shrinkToFit="1"/>
    </xf>
    <xf numFmtId="1" fontId="40" fillId="23" borderId="2" xfId="0" applyNumberFormat="1" applyFont="1" applyFill="1" applyBorder="1" applyAlignment="1">
      <alignment vertical="top" shrinkToFit="1"/>
    </xf>
    <xf numFmtId="1" fontId="40" fillId="17" borderId="2" xfId="0" applyNumberFormat="1" applyFont="1" applyFill="1" applyBorder="1" applyAlignment="1">
      <alignment vertical="top" shrinkToFit="1"/>
    </xf>
    <xf numFmtId="1" fontId="40" fillId="44" borderId="2" xfId="0" applyNumberFormat="1" applyFont="1" applyFill="1" applyBorder="1" applyAlignment="1">
      <alignment vertical="top" shrinkToFit="1"/>
    </xf>
    <xf numFmtId="1" fontId="39" fillId="19" borderId="2" xfId="0" applyNumberFormat="1" applyFont="1" applyFill="1" applyBorder="1" applyAlignment="1">
      <alignment vertical="top" shrinkToFit="1"/>
    </xf>
    <xf numFmtId="1" fontId="40" fillId="42" borderId="2" xfId="0" applyNumberFormat="1" applyFont="1" applyFill="1" applyBorder="1" applyAlignment="1">
      <alignment vertical="top" shrinkToFit="1"/>
    </xf>
    <xf numFmtId="1" fontId="40" fillId="38" borderId="2" xfId="0" applyNumberFormat="1" applyFont="1" applyFill="1" applyBorder="1" applyAlignment="1">
      <alignment vertical="top" shrinkToFit="1"/>
    </xf>
    <xf numFmtId="1" fontId="40" fillId="5" borderId="2" xfId="0" applyNumberFormat="1" applyFont="1" applyFill="1" applyBorder="1" applyAlignment="1">
      <alignment vertical="top" shrinkToFit="1"/>
    </xf>
    <xf numFmtId="1" fontId="40" fillId="37" borderId="2" xfId="0" applyNumberFormat="1" applyFont="1" applyFill="1" applyBorder="1" applyAlignment="1">
      <alignment vertical="top" shrinkToFit="1"/>
    </xf>
    <xf numFmtId="1" fontId="40" fillId="45" borderId="2" xfId="0" applyNumberFormat="1" applyFont="1" applyFill="1" applyBorder="1" applyAlignment="1">
      <alignment vertical="top" shrinkToFit="1"/>
    </xf>
    <xf numFmtId="1" fontId="40" fillId="7" borderId="2" xfId="0" applyNumberFormat="1" applyFont="1" applyFill="1" applyBorder="1" applyAlignment="1">
      <alignment vertical="top" shrinkToFit="1"/>
    </xf>
    <xf numFmtId="1" fontId="40" fillId="46" borderId="2" xfId="0" applyNumberFormat="1" applyFont="1" applyFill="1" applyBorder="1" applyAlignment="1">
      <alignment vertical="top" shrinkToFit="1"/>
    </xf>
    <xf numFmtId="0" fontId="0" fillId="0" borderId="0" xfId="0" applyAlignment="1">
      <alignment vertical="top" wrapText="1"/>
    </xf>
    <xf numFmtId="0" fontId="43" fillId="38" borderId="1" xfId="0" applyFont="1" applyFill="1" applyBorder="1" applyAlignment="1">
      <alignment vertical="center" wrapText="1"/>
    </xf>
    <xf numFmtId="0" fontId="41" fillId="23" borderId="1" xfId="0" applyFont="1" applyFill="1" applyBorder="1"/>
    <xf numFmtId="0" fontId="41" fillId="9" borderId="1" xfId="0" applyFont="1" applyFill="1" applyBorder="1"/>
    <xf numFmtId="0" fontId="41" fillId="38" borderId="1" xfId="0" applyFont="1" applyFill="1" applyBorder="1"/>
    <xf numFmtId="0" fontId="22" fillId="42" borderId="1" xfId="0" applyFont="1" applyFill="1" applyBorder="1" applyAlignment="1">
      <alignment vertical="center" wrapText="1"/>
    </xf>
    <xf numFmtId="0" fontId="39" fillId="19" borderId="1" xfId="12" applyFont="1" applyFill="1" applyBorder="1" applyAlignment="1">
      <alignment vertical="top" wrapText="1"/>
    </xf>
    <xf numFmtId="1" fontId="40" fillId="19" borderId="1" xfId="12" applyNumberFormat="1" applyFont="1" applyFill="1" applyBorder="1" applyAlignment="1">
      <alignment vertical="top" shrinkToFit="1"/>
    </xf>
    <xf numFmtId="0" fontId="41" fillId="0" borderId="0" xfId="0" applyFont="1"/>
    <xf numFmtId="0" fontId="40" fillId="2" borderId="1" xfId="0" applyFont="1" applyFill="1" applyBorder="1" applyAlignment="1">
      <alignment vertical="top" wrapText="1"/>
    </xf>
    <xf numFmtId="0" fontId="43" fillId="42" borderId="1" xfId="0" applyFont="1" applyFill="1" applyBorder="1" applyAlignment="1">
      <alignment vertical="center" wrapText="1"/>
    </xf>
    <xf numFmtId="1" fontId="40" fillId="42" borderId="1" xfId="12" applyNumberFormat="1" applyFont="1" applyFill="1" applyBorder="1" applyAlignment="1">
      <alignment vertical="top" shrinkToFit="1"/>
    </xf>
    <xf numFmtId="1" fontId="40" fillId="42" borderId="1" xfId="12" applyNumberFormat="1" applyFont="1" applyFill="1" applyBorder="1" applyAlignment="1">
      <alignment horizontal="left" vertical="top" shrinkToFit="1"/>
    </xf>
    <xf numFmtId="0" fontId="39" fillId="42" borderId="1" xfId="12" applyFont="1" applyFill="1" applyBorder="1" applyAlignment="1">
      <alignment vertical="top" wrapText="1"/>
    </xf>
    <xf numFmtId="0" fontId="40" fillId="33" borderId="1" xfId="12" applyFont="1" applyFill="1" applyBorder="1" applyAlignment="1">
      <alignment vertical="top" wrapText="1"/>
    </xf>
    <xf numFmtId="1" fontId="40" fillId="33" borderId="1" xfId="12" applyNumberFormat="1" applyFont="1" applyFill="1" applyBorder="1" applyAlignment="1">
      <alignment vertical="top" shrinkToFit="1"/>
    </xf>
    <xf numFmtId="0" fontId="39" fillId="37" borderId="1" xfId="12" applyFont="1" applyFill="1" applyBorder="1" applyAlignment="1">
      <alignment vertical="top" wrapText="1"/>
    </xf>
    <xf numFmtId="1" fontId="40" fillId="37" borderId="1" xfId="12" applyNumberFormat="1" applyFont="1" applyFill="1" applyBorder="1" applyAlignment="1">
      <alignment vertical="top" shrinkToFit="1"/>
    </xf>
    <xf numFmtId="0" fontId="39" fillId="45" borderId="1" xfId="12" applyFont="1" applyFill="1" applyBorder="1" applyAlignment="1">
      <alignment vertical="top" wrapText="1"/>
    </xf>
    <xf numFmtId="1" fontId="40" fillId="45" borderId="1" xfId="12" applyNumberFormat="1" applyFont="1" applyFill="1" applyBorder="1" applyAlignment="1">
      <alignment vertical="top" shrinkToFit="1"/>
    </xf>
    <xf numFmtId="0" fontId="40" fillId="5" borderId="1" xfId="0" applyFont="1" applyFill="1" applyBorder="1" applyAlignment="1">
      <alignment vertical="top" wrapText="1"/>
    </xf>
    <xf numFmtId="0" fontId="40" fillId="10" borderId="1" xfId="0" applyFont="1" applyFill="1" applyBorder="1" applyAlignment="1">
      <alignment vertical="top" wrapText="1"/>
    </xf>
    <xf numFmtId="0" fontId="43" fillId="34" borderId="1" xfId="0" applyFont="1" applyFill="1" applyBorder="1" applyAlignment="1">
      <alignment vertical="center" wrapText="1"/>
    </xf>
    <xf numFmtId="1" fontId="40" fillId="34" borderId="1" xfId="0" applyNumberFormat="1" applyFont="1" applyFill="1" applyBorder="1" applyAlignment="1">
      <alignment vertical="top" shrinkToFit="1"/>
    </xf>
    <xf numFmtId="0" fontId="44" fillId="26" borderId="1" xfId="0" applyFont="1" applyFill="1" applyBorder="1" applyAlignment="1">
      <alignment horizontal="left" vertical="center" wrapText="1"/>
    </xf>
    <xf numFmtId="0" fontId="43" fillId="26" borderId="1" xfId="0" applyFont="1" applyFill="1" applyBorder="1" applyAlignment="1">
      <alignment horizontal="left" vertical="center" wrapText="1"/>
    </xf>
    <xf numFmtId="0" fontId="41" fillId="30" borderId="1" xfId="0" applyFont="1" applyFill="1" applyBorder="1" applyAlignment="1">
      <alignment horizontal="left" vertical="center"/>
    </xf>
    <xf numFmtId="0" fontId="41" fillId="32" borderId="1" xfId="0" applyFont="1" applyFill="1" applyBorder="1"/>
    <xf numFmtId="0" fontId="41" fillId="32" borderId="7" xfId="0" applyFont="1" applyFill="1" applyBorder="1"/>
    <xf numFmtId="0" fontId="41" fillId="7" borderId="1" xfId="0" applyFont="1" applyFill="1" applyBorder="1"/>
    <xf numFmtId="0" fontId="41" fillId="5" borderId="1" xfId="0" applyFont="1" applyFill="1" applyBorder="1"/>
    <xf numFmtId="0" fontId="41" fillId="20" borderId="1" xfId="0" applyFont="1" applyFill="1" applyBorder="1"/>
    <xf numFmtId="1" fontId="40" fillId="20" borderId="1" xfId="0" applyNumberFormat="1" applyFont="1" applyFill="1" applyBorder="1" applyAlignment="1">
      <alignment vertical="top" shrinkToFit="1"/>
    </xf>
    <xf numFmtId="0" fontId="39" fillId="21" borderId="1" xfId="0" applyFont="1" applyFill="1" applyBorder="1" applyAlignment="1">
      <alignment vertical="top" wrapText="1"/>
    </xf>
    <xf numFmtId="1" fontId="40" fillId="21" borderId="1" xfId="0" applyNumberFormat="1" applyFont="1" applyFill="1" applyBorder="1" applyAlignment="1">
      <alignment vertical="top" shrinkToFit="1"/>
    </xf>
    <xf numFmtId="0" fontId="0" fillId="23" borderId="1" xfId="0" applyFill="1" applyBorder="1"/>
    <xf numFmtId="167" fontId="40" fillId="26" borderId="1" xfId="0" applyNumberFormat="1" applyFont="1" applyFill="1" applyBorder="1" applyAlignment="1">
      <alignment vertical="top" shrinkToFit="1"/>
    </xf>
    <xf numFmtId="3" fontId="40" fillId="26" borderId="1" xfId="0" applyNumberFormat="1" applyFont="1" applyFill="1" applyBorder="1" applyAlignment="1">
      <alignment vertical="top" shrinkToFit="1"/>
    </xf>
    <xf numFmtId="1" fontId="41" fillId="2" borderId="1" xfId="0" applyNumberFormat="1" applyFont="1" applyFill="1" applyBorder="1" applyAlignment="1">
      <alignment horizontal="center" vertical="center"/>
    </xf>
    <xf numFmtId="1" fontId="41" fillId="9" borderId="1" xfId="1" applyNumberFormat="1" applyFont="1" applyFill="1" applyBorder="1" applyAlignment="1"/>
    <xf numFmtId="1" fontId="39" fillId="9" borderId="1" xfId="0" applyNumberFormat="1" applyFont="1" applyFill="1" applyBorder="1" applyAlignment="1">
      <alignment vertical="top" wrapText="1"/>
    </xf>
    <xf numFmtId="1" fontId="39" fillId="9" borderId="2" xfId="0" applyNumberFormat="1" applyFont="1" applyFill="1" applyBorder="1" applyAlignment="1">
      <alignment vertical="top" wrapText="1"/>
    </xf>
    <xf numFmtId="1" fontId="39" fillId="43" borderId="1" xfId="0" applyNumberFormat="1" applyFont="1" applyFill="1" applyBorder="1" applyAlignment="1">
      <alignment vertical="top" wrapText="1"/>
    </xf>
    <xf numFmtId="1" fontId="39" fillId="32" borderId="1" xfId="0" applyNumberFormat="1" applyFont="1" applyFill="1" applyBorder="1" applyAlignment="1">
      <alignment vertical="top" wrapText="1"/>
    </xf>
    <xf numFmtId="1" fontId="39" fillId="30" borderId="1" xfId="0" applyNumberFormat="1" applyFont="1" applyFill="1" applyBorder="1" applyAlignment="1">
      <alignment vertical="top" wrapText="1"/>
    </xf>
    <xf numFmtId="1" fontId="39" fillId="30" borderId="2" xfId="0" applyNumberFormat="1" applyFont="1" applyFill="1" applyBorder="1" applyAlignment="1">
      <alignment vertical="top" wrapText="1"/>
    </xf>
    <xf numFmtId="1" fontId="40" fillId="42" borderId="1" xfId="0" applyNumberFormat="1" applyFont="1" applyFill="1" applyBorder="1" applyAlignment="1">
      <alignment horizontal="right" vertical="top" shrinkToFit="1"/>
    </xf>
    <xf numFmtId="1" fontId="39" fillId="42" borderId="1" xfId="0" applyNumberFormat="1" applyFont="1" applyFill="1" applyBorder="1" applyAlignment="1">
      <alignment vertical="top" wrapText="1"/>
    </xf>
    <xf numFmtId="1" fontId="39" fillId="42" borderId="1" xfId="0" applyNumberFormat="1" applyFont="1" applyFill="1" applyBorder="1" applyAlignment="1">
      <alignment horizontal="right" vertical="top" wrapText="1"/>
    </xf>
    <xf numFmtId="1" fontId="39" fillId="23" borderId="1" xfId="0" applyNumberFormat="1" applyFont="1" applyFill="1" applyBorder="1" applyAlignment="1">
      <alignment vertical="top" wrapText="1"/>
    </xf>
    <xf numFmtId="1" fontId="39" fillId="23" borderId="2" xfId="0" applyNumberFormat="1" applyFont="1" applyFill="1" applyBorder="1" applyAlignment="1">
      <alignment vertical="top" wrapText="1"/>
    </xf>
    <xf numFmtId="1" fontId="39" fillId="17" borderId="1" xfId="0" applyNumberFormat="1" applyFont="1" applyFill="1" applyBorder="1" applyAlignment="1">
      <alignment vertical="top" wrapText="1"/>
    </xf>
    <xf numFmtId="1" fontId="39" fillId="17" borderId="2" xfId="0" applyNumberFormat="1" applyFont="1" applyFill="1" applyBorder="1" applyAlignment="1">
      <alignment vertical="top" wrapText="1"/>
    </xf>
    <xf numFmtId="1" fontId="41" fillId="19" borderId="1" xfId="0" applyNumberFormat="1" applyFont="1" applyFill="1" applyBorder="1"/>
    <xf numFmtId="1" fontId="39" fillId="19" borderId="1" xfId="0" applyNumberFormat="1" applyFont="1" applyFill="1" applyBorder="1" applyAlignment="1">
      <alignment vertical="top" wrapText="1"/>
    </xf>
    <xf numFmtId="1" fontId="39" fillId="19" borderId="2" xfId="0" applyNumberFormat="1" applyFont="1" applyFill="1" applyBorder="1" applyAlignment="1">
      <alignment vertical="top" wrapText="1"/>
    </xf>
    <xf numFmtId="1" fontId="41" fillId="19" borderId="1" xfId="0" applyNumberFormat="1" applyFont="1" applyFill="1" applyBorder="1" applyAlignment="1">
      <alignment vertical="top" wrapText="1"/>
    </xf>
    <xf numFmtId="1" fontId="39" fillId="44" borderId="1" xfId="0" applyNumberFormat="1" applyFont="1" applyFill="1" applyBorder="1" applyAlignment="1">
      <alignment vertical="top" wrapText="1"/>
    </xf>
    <xf numFmtId="1" fontId="39" fillId="44" borderId="2" xfId="0" applyNumberFormat="1" applyFont="1" applyFill="1" applyBorder="1" applyAlignment="1">
      <alignment vertical="top" wrapText="1"/>
    </xf>
    <xf numFmtId="1" fontId="39" fillId="19" borderId="1" xfId="0" applyNumberFormat="1" applyFont="1" applyFill="1" applyBorder="1"/>
    <xf numFmtId="1" fontId="39" fillId="42" borderId="2" xfId="0" applyNumberFormat="1" applyFont="1" applyFill="1" applyBorder="1" applyAlignment="1">
      <alignment vertical="top" wrapText="1"/>
    </xf>
    <xf numFmtId="1" fontId="39" fillId="38" borderId="1" xfId="0" applyNumberFormat="1" applyFont="1" applyFill="1" applyBorder="1" applyAlignment="1">
      <alignment vertical="top" wrapText="1"/>
    </xf>
    <xf numFmtId="1" fontId="39" fillId="38" borderId="2" xfId="0" applyNumberFormat="1" applyFont="1" applyFill="1" applyBorder="1" applyAlignment="1">
      <alignment vertical="top" wrapText="1"/>
    </xf>
    <xf numFmtId="1" fontId="39" fillId="5" borderId="1" xfId="0" applyNumberFormat="1" applyFont="1" applyFill="1" applyBorder="1" applyAlignment="1">
      <alignment vertical="top" wrapText="1"/>
    </xf>
    <xf numFmtId="1" fontId="39" fillId="5" borderId="2" xfId="0" applyNumberFormat="1" applyFont="1" applyFill="1" applyBorder="1" applyAlignment="1">
      <alignment vertical="top" wrapText="1"/>
    </xf>
    <xf numFmtId="1" fontId="39" fillId="37" borderId="1" xfId="0" applyNumberFormat="1" applyFont="1" applyFill="1" applyBorder="1" applyAlignment="1">
      <alignment vertical="top" wrapText="1"/>
    </xf>
    <xf numFmtId="1" fontId="39" fillId="37" borderId="2" xfId="0" applyNumberFormat="1" applyFont="1" applyFill="1" applyBorder="1" applyAlignment="1">
      <alignment vertical="top" wrapText="1"/>
    </xf>
    <xf numFmtId="1" fontId="39" fillId="45" borderId="1" xfId="0" applyNumberFormat="1" applyFont="1" applyFill="1" applyBorder="1" applyAlignment="1">
      <alignment vertical="top" wrapText="1"/>
    </xf>
    <xf numFmtId="1" fontId="39" fillId="45" borderId="2" xfId="0" applyNumberFormat="1" applyFont="1" applyFill="1" applyBorder="1" applyAlignment="1">
      <alignment vertical="top" wrapText="1"/>
    </xf>
    <xf numFmtId="1" fontId="39" fillId="7" borderId="1" xfId="0" applyNumberFormat="1" applyFont="1" applyFill="1" applyBorder="1" applyAlignment="1">
      <alignment vertical="top" wrapText="1"/>
    </xf>
    <xf numFmtId="1" fontId="39" fillId="7" borderId="2" xfId="0" applyNumberFormat="1" applyFont="1" applyFill="1" applyBorder="1" applyAlignment="1">
      <alignment vertical="top" wrapText="1"/>
    </xf>
    <xf numFmtId="1" fontId="41" fillId="7" borderId="1" xfId="0" applyNumberFormat="1" applyFont="1" applyFill="1" applyBorder="1" applyAlignment="1">
      <alignment vertical="top" wrapText="1"/>
    </xf>
    <xf numFmtId="1" fontId="39" fillId="46" borderId="1" xfId="0" applyNumberFormat="1" applyFont="1" applyFill="1" applyBorder="1" applyAlignment="1">
      <alignment vertical="top" wrapText="1"/>
    </xf>
    <xf numFmtId="1" fontId="40" fillId="22" borderId="2" xfId="0" applyNumberFormat="1" applyFont="1" applyFill="1" applyBorder="1" applyAlignment="1">
      <alignment vertical="top" shrinkToFit="1"/>
    </xf>
    <xf numFmtId="1" fontId="39" fillId="22" borderId="1" xfId="0" applyNumberFormat="1" applyFont="1" applyFill="1" applyBorder="1" applyAlignment="1">
      <alignment vertical="top" wrapText="1"/>
    </xf>
    <xf numFmtId="1" fontId="39" fillId="22" borderId="2" xfId="0" applyNumberFormat="1" applyFont="1" applyFill="1" applyBorder="1" applyAlignment="1">
      <alignment vertical="top" wrapText="1"/>
    </xf>
    <xf numFmtId="1" fontId="39" fillId="37" borderId="1" xfId="0" applyNumberFormat="1" applyFont="1" applyFill="1" applyBorder="1" applyAlignment="1">
      <alignment horizontal="right" vertical="top" wrapText="1"/>
    </xf>
    <xf numFmtId="1" fontId="41" fillId="37" borderId="1" xfId="0" applyNumberFormat="1" applyFont="1" applyFill="1" applyBorder="1"/>
    <xf numFmtId="1" fontId="41" fillId="37" borderId="1" xfId="0" applyNumberFormat="1" applyFont="1" applyFill="1" applyBorder="1" applyAlignment="1">
      <alignment vertical="top" wrapText="1"/>
    </xf>
    <xf numFmtId="1" fontId="41" fillId="26" borderId="1" xfId="0" applyNumberFormat="1" applyFont="1" applyFill="1" applyBorder="1"/>
    <xf numFmtId="1" fontId="39" fillId="26" borderId="1" xfId="0" applyNumberFormat="1" applyFont="1" applyFill="1" applyBorder="1" applyAlignment="1">
      <alignment vertical="top" wrapText="1"/>
    </xf>
    <xf numFmtId="1" fontId="39" fillId="2" borderId="1" xfId="0" applyNumberFormat="1" applyFont="1" applyFill="1" applyBorder="1" applyAlignment="1">
      <alignment vertical="top" wrapText="1"/>
    </xf>
    <xf numFmtId="1" fontId="39" fillId="42" borderId="1" xfId="12" applyNumberFormat="1" applyFont="1" applyFill="1" applyBorder="1" applyAlignment="1">
      <alignment vertical="top" wrapText="1"/>
    </xf>
    <xf numFmtId="1" fontId="42" fillId="42" borderId="1" xfId="12" applyNumberFormat="1" applyFont="1" applyFill="1" applyBorder="1" applyAlignment="1">
      <alignment horizontal="left" wrapText="1"/>
    </xf>
    <xf numFmtId="1" fontId="42" fillId="42" borderId="1" xfId="12" applyNumberFormat="1" applyFont="1" applyFill="1" applyBorder="1" applyAlignment="1">
      <alignment wrapText="1"/>
    </xf>
    <xf numFmtId="1" fontId="39" fillId="33" borderId="1" xfId="12" applyNumberFormat="1" applyFont="1" applyFill="1" applyBorder="1" applyAlignment="1">
      <alignment vertical="top" wrapText="1"/>
    </xf>
    <xf numFmtId="1" fontId="39" fillId="19" borderId="1" xfId="12" applyNumberFormat="1" applyFont="1" applyFill="1" applyBorder="1" applyAlignment="1">
      <alignment vertical="top" wrapText="1"/>
    </xf>
    <xf numFmtId="1" fontId="39" fillId="37" borderId="1" xfId="12" applyNumberFormat="1" applyFont="1" applyFill="1" applyBorder="1" applyAlignment="1">
      <alignment vertical="top" wrapText="1"/>
    </xf>
    <xf numFmtId="1" fontId="39" fillId="45" borderId="1" xfId="12" applyNumberFormat="1" applyFont="1" applyFill="1" applyBorder="1" applyAlignment="1">
      <alignment vertical="top" wrapText="1"/>
    </xf>
    <xf numFmtId="1" fontId="39" fillId="19" borderId="1" xfId="12" applyNumberFormat="1" applyFont="1" applyFill="1" applyBorder="1" applyAlignment="1">
      <alignment horizontal="left" vertical="top" wrapText="1"/>
    </xf>
    <xf numFmtId="1" fontId="39" fillId="10" borderId="1" xfId="0" applyNumberFormat="1" applyFont="1" applyFill="1" applyBorder="1" applyAlignment="1">
      <alignment vertical="top" wrapText="1"/>
    </xf>
    <xf numFmtId="1" fontId="39" fillId="34" borderId="1" xfId="0" applyNumberFormat="1" applyFont="1" applyFill="1" applyBorder="1" applyAlignment="1">
      <alignment vertical="top" wrapText="1"/>
    </xf>
    <xf numFmtId="1" fontId="41" fillId="30" borderId="1" xfId="0" applyNumberFormat="1" applyFont="1" applyFill="1" applyBorder="1"/>
    <xf numFmtId="1" fontId="41" fillId="30" borderId="1" xfId="0" applyNumberFormat="1" applyFont="1" applyFill="1" applyBorder="1" applyAlignment="1">
      <alignment horizontal="left" vertical="center"/>
    </xf>
    <xf numFmtId="1" fontId="41" fillId="32" borderId="1" xfId="0" applyNumberFormat="1" applyFont="1" applyFill="1" applyBorder="1"/>
    <xf numFmtId="1" fontId="41" fillId="7" borderId="1" xfId="0" applyNumberFormat="1" applyFont="1" applyFill="1" applyBorder="1"/>
    <xf numFmtId="1" fontId="39" fillId="20" borderId="1" xfId="0" applyNumberFormat="1" applyFont="1" applyFill="1" applyBorder="1" applyAlignment="1">
      <alignment vertical="top" wrapText="1"/>
    </xf>
    <xf numFmtId="1" fontId="41" fillId="20" borderId="1" xfId="0" applyNumberFormat="1" applyFont="1" applyFill="1" applyBorder="1"/>
    <xf numFmtId="1" fontId="39" fillId="21" borderId="1" xfId="0" applyNumberFormat="1" applyFont="1" applyFill="1" applyBorder="1" applyAlignment="1">
      <alignment vertical="top" wrapText="1"/>
    </xf>
    <xf numFmtId="1" fontId="41" fillId="5" borderId="1" xfId="0" applyNumberFormat="1" applyFont="1" applyFill="1" applyBorder="1" applyAlignment="1">
      <alignment vertical="top" wrapText="1"/>
    </xf>
    <xf numFmtId="0" fontId="39" fillId="47" borderId="1" xfId="12" applyFont="1" applyFill="1" applyBorder="1" applyAlignment="1">
      <alignment vertical="top" wrapText="1"/>
    </xf>
    <xf numFmtId="1" fontId="47" fillId="47" borderId="1" xfId="12" applyNumberFormat="1" applyFont="1" applyFill="1" applyBorder="1" applyAlignment="1">
      <alignment vertical="top" shrinkToFit="1"/>
    </xf>
    <xf numFmtId="1" fontId="39" fillId="47" borderId="1" xfId="12" applyNumberFormat="1" applyFont="1" applyFill="1" applyBorder="1" applyAlignment="1">
      <alignment vertical="top" wrapText="1"/>
    </xf>
    <xf numFmtId="0" fontId="39" fillId="47" borderId="1" xfId="12" applyFont="1" applyFill="1" applyBorder="1" applyAlignment="1">
      <alignment horizontal="left" vertical="top" wrapText="1" indent="1"/>
    </xf>
    <xf numFmtId="1" fontId="39" fillId="47" borderId="1" xfId="12" applyNumberFormat="1" applyFont="1" applyFill="1" applyBorder="1" applyAlignment="1">
      <alignment horizontal="left" vertical="top" wrapText="1" indent="1"/>
    </xf>
    <xf numFmtId="0" fontId="39" fillId="27" borderId="1" xfId="12" applyFont="1" applyFill="1" applyBorder="1" applyAlignment="1">
      <alignment vertical="top" wrapText="1"/>
    </xf>
    <xf numFmtId="1" fontId="47" fillId="27" borderId="1" xfId="12" applyNumberFormat="1" applyFont="1" applyFill="1" applyBorder="1" applyAlignment="1">
      <alignment vertical="top" shrinkToFit="1"/>
    </xf>
    <xf numFmtId="1" fontId="39" fillId="27" borderId="1" xfId="12" applyNumberFormat="1" applyFont="1" applyFill="1" applyBorder="1" applyAlignment="1">
      <alignment vertical="top" wrapText="1"/>
    </xf>
    <xf numFmtId="1" fontId="39" fillId="27" borderId="1" xfId="12" applyNumberFormat="1" applyFont="1" applyFill="1" applyBorder="1" applyAlignment="1">
      <alignment horizontal="left" vertical="top" wrapText="1" indent="1"/>
    </xf>
    <xf numFmtId="0" fontId="41" fillId="43" borderId="1" xfId="0" applyFont="1" applyFill="1" applyBorder="1"/>
    <xf numFmtId="1" fontId="47" fillId="43" borderId="1" xfId="13" applyNumberFormat="1" applyFont="1" applyFill="1" applyBorder="1" applyAlignment="1">
      <alignment vertical="top" shrinkToFit="1"/>
    </xf>
    <xf numFmtId="1" fontId="47" fillId="43" borderId="1" xfId="12" applyNumberFormat="1" applyFont="1" applyFill="1" applyBorder="1" applyAlignment="1">
      <alignment vertical="top" shrinkToFit="1"/>
    </xf>
    <xf numFmtId="1" fontId="41" fillId="43" borderId="1" xfId="0" applyNumberFormat="1" applyFont="1" applyFill="1" applyBorder="1"/>
    <xf numFmtId="1" fontId="39" fillId="43" borderId="1" xfId="13" applyNumberFormat="1" applyFont="1" applyFill="1" applyBorder="1" applyAlignment="1">
      <alignment vertical="top" wrapText="1"/>
    </xf>
    <xf numFmtId="1" fontId="39" fillId="43" borderId="1" xfId="12" applyNumberFormat="1" applyFont="1" applyFill="1" applyBorder="1" applyAlignment="1">
      <alignment vertical="top" wrapText="1"/>
    </xf>
    <xf numFmtId="0" fontId="47" fillId="2" borderId="1" xfId="13" applyFont="1" applyFill="1" applyBorder="1" applyAlignment="1">
      <alignment vertical="top" wrapText="1"/>
    </xf>
    <xf numFmtId="1" fontId="47" fillId="2" borderId="1" xfId="13" applyNumberFormat="1" applyFont="1" applyFill="1" applyBorder="1" applyAlignment="1">
      <alignment vertical="top" shrinkToFit="1"/>
    </xf>
    <xf numFmtId="1" fontId="39" fillId="2" borderId="1" xfId="13" applyNumberFormat="1" applyFont="1" applyFill="1" applyBorder="1" applyAlignment="1">
      <alignment vertical="top" wrapText="1"/>
    </xf>
    <xf numFmtId="1" fontId="41" fillId="2" borderId="1" xfId="0" applyNumberFormat="1" applyFont="1" applyFill="1" applyBorder="1"/>
    <xf numFmtId="0" fontId="43" fillId="48" borderId="1" xfId="0" applyFont="1" applyFill="1" applyBorder="1" applyAlignment="1">
      <alignment vertical="center" wrapText="1"/>
    </xf>
    <xf numFmtId="1" fontId="47" fillId="48" borderId="1" xfId="13" applyNumberFormat="1" applyFont="1" applyFill="1" applyBorder="1" applyAlignment="1">
      <alignment vertical="top" shrinkToFit="1"/>
    </xf>
    <xf numFmtId="1" fontId="41" fillId="48" borderId="1" xfId="0" applyNumberFormat="1" applyFont="1" applyFill="1" applyBorder="1"/>
    <xf numFmtId="0" fontId="47" fillId="48" borderId="1" xfId="13" applyFont="1" applyFill="1" applyBorder="1" applyAlignment="1">
      <alignment vertical="top" wrapText="1"/>
    </xf>
    <xf numFmtId="0" fontId="43" fillId="48" borderId="9" xfId="0" applyFont="1" applyFill="1" applyBorder="1" applyAlignment="1">
      <alignment vertical="center" wrapText="1"/>
    </xf>
    <xf numFmtId="1" fontId="41" fillId="48" borderId="9" xfId="0" applyNumberFormat="1" applyFont="1" applyFill="1" applyBorder="1"/>
    <xf numFmtId="1" fontId="47" fillId="48" borderId="9" xfId="13" applyNumberFormat="1" applyFont="1" applyFill="1" applyBorder="1" applyAlignment="1">
      <alignment vertical="top" shrinkToFit="1"/>
    </xf>
    <xf numFmtId="0" fontId="39" fillId="47" borderId="1" xfId="13" applyFont="1" applyFill="1" applyBorder="1" applyAlignment="1">
      <alignment vertical="top" wrapText="1"/>
    </xf>
    <xf numFmtId="1" fontId="47" fillId="47" borderId="1" xfId="13" applyNumberFormat="1" applyFont="1" applyFill="1" applyBorder="1" applyAlignment="1">
      <alignment vertical="top" shrinkToFit="1"/>
    </xf>
    <xf numFmtId="1" fontId="39" fillId="47" borderId="1" xfId="13" applyNumberFormat="1" applyFont="1" applyFill="1" applyBorder="1" applyAlignment="1">
      <alignment vertical="top" wrapText="1"/>
    </xf>
    <xf numFmtId="1" fontId="42" fillId="47" borderId="1" xfId="13" applyNumberFormat="1" applyFont="1" applyFill="1" applyBorder="1" applyAlignment="1">
      <alignment wrapText="1"/>
    </xf>
    <xf numFmtId="0" fontId="39" fillId="30" borderId="1" xfId="13" applyFont="1" applyFill="1" applyBorder="1" applyAlignment="1">
      <alignment vertical="top" wrapText="1"/>
    </xf>
    <xf numFmtId="1" fontId="47" fillId="30" borderId="1" xfId="13" applyNumberFormat="1" applyFont="1" applyFill="1" applyBorder="1" applyAlignment="1">
      <alignment vertical="top" shrinkToFit="1"/>
    </xf>
    <xf numFmtId="1" fontId="39" fillId="30" borderId="1" xfId="13" applyNumberFormat="1" applyFont="1" applyFill="1" applyBorder="1" applyAlignment="1">
      <alignment vertical="top" wrapText="1"/>
    </xf>
    <xf numFmtId="0" fontId="39" fillId="30" borderId="9" xfId="13" applyFont="1" applyFill="1" applyBorder="1" applyAlignment="1">
      <alignment vertical="top" wrapText="1"/>
    </xf>
    <xf numFmtId="1" fontId="47" fillId="30" borderId="9" xfId="13" applyNumberFormat="1" applyFont="1" applyFill="1" applyBorder="1" applyAlignment="1">
      <alignment vertical="top" shrinkToFit="1"/>
    </xf>
    <xf numFmtId="1" fontId="39" fillId="30" borderId="9" xfId="13" applyNumberFormat="1" applyFont="1" applyFill="1" applyBorder="1" applyAlignment="1">
      <alignment vertical="top" wrapText="1"/>
    </xf>
    <xf numFmtId="0" fontId="39" fillId="22" borderId="1" xfId="13" applyFont="1" applyFill="1" applyBorder="1" applyAlignment="1">
      <alignment vertical="top" wrapText="1"/>
    </xf>
    <xf numFmtId="1" fontId="47" fillId="22" borderId="1" xfId="13" applyNumberFormat="1" applyFont="1" applyFill="1" applyBorder="1" applyAlignment="1">
      <alignment vertical="top" shrinkToFit="1"/>
    </xf>
    <xf numFmtId="1" fontId="39" fillId="22" borderId="1" xfId="13" applyNumberFormat="1" applyFont="1" applyFill="1" applyBorder="1" applyAlignment="1">
      <alignment vertical="top" wrapText="1"/>
    </xf>
    <xf numFmtId="0" fontId="39" fillId="38" borderId="1" xfId="13" applyFont="1" applyFill="1" applyBorder="1" applyAlignment="1">
      <alignment vertical="top" wrapText="1"/>
    </xf>
    <xf numFmtId="1" fontId="47" fillId="38" borderId="1" xfId="13" applyNumberFormat="1" applyFont="1" applyFill="1" applyBorder="1" applyAlignment="1">
      <alignment vertical="top" shrinkToFit="1"/>
    </xf>
    <xf numFmtId="1" fontId="39" fillId="38" borderId="1" xfId="13" applyNumberFormat="1" applyFont="1" applyFill="1" applyBorder="1" applyAlignment="1">
      <alignment vertical="top" wrapText="1"/>
    </xf>
    <xf numFmtId="0" fontId="39" fillId="45" borderId="1" xfId="13" applyFont="1" applyFill="1" applyBorder="1" applyAlignment="1">
      <alignment vertical="top" wrapText="1"/>
    </xf>
    <xf numFmtId="1" fontId="47" fillId="45" borderId="1" xfId="13" applyNumberFormat="1" applyFont="1" applyFill="1" applyBorder="1" applyAlignment="1">
      <alignment vertical="top" shrinkToFit="1"/>
    </xf>
    <xf numFmtId="1" fontId="39" fillId="45" borderId="1" xfId="13" applyNumberFormat="1" applyFont="1" applyFill="1" applyBorder="1" applyAlignment="1">
      <alignment vertical="top" wrapText="1"/>
    </xf>
    <xf numFmtId="0" fontId="39" fillId="37" borderId="1" xfId="13" applyFont="1" applyFill="1" applyBorder="1" applyAlignment="1">
      <alignment vertical="top" wrapText="1"/>
    </xf>
    <xf numFmtId="1" fontId="47" fillId="37" borderId="1" xfId="13" applyNumberFormat="1" applyFont="1" applyFill="1" applyBorder="1" applyAlignment="1">
      <alignment vertical="top" shrinkToFit="1"/>
    </xf>
    <xf numFmtId="1" fontId="39" fillId="37" borderId="1" xfId="13" applyNumberFormat="1" applyFont="1" applyFill="1" applyBorder="1" applyAlignment="1">
      <alignment vertical="top" wrapText="1"/>
    </xf>
    <xf numFmtId="0" fontId="39" fillId="9" borderId="1" xfId="13" applyFont="1" applyFill="1" applyBorder="1" applyAlignment="1">
      <alignment vertical="top" wrapText="1"/>
    </xf>
    <xf numFmtId="1" fontId="47" fillId="9" borderId="1" xfId="13" applyNumberFormat="1" applyFont="1" applyFill="1" applyBorder="1" applyAlignment="1">
      <alignment vertical="top" shrinkToFit="1"/>
    </xf>
    <xf numFmtId="1" fontId="39" fillId="9" borderId="1" xfId="13" applyNumberFormat="1" applyFont="1" applyFill="1" applyBorder="1" applyAlignment="1">
      <alignment vertical="top" wrapText="1"/>
    </xf>
    <xf numFmtId="0" fontId="39" fillId="7" borderId="1" xfId="13" applyFont="1" applyFill="1" applyBorder="1" applyAlignment="1">
      <alignment vertical="top" wrapText="1"/>
    </xf>
    <xf numFmtId="1" fontId="47" fillId="7" borderId="1" xfId="13" applyNumberFormat="1" applyFont="1" applyFill="1" applyBorder="1" applyAlignment="1">
      <alignment vertical="top" shrinkToFit="1"/>
    </xf>
    <xf numFmtId="1" fontId="39" fillId="7" borderId="1" xfId="13" applyNumberFormat="1" applyFont="1" applyFill="1" applyBorder="1" applyAlignment="1">
      <alignment vertical="top" wrapText="1"/>
    </xf>
    <xf numFmtId="0" fontId="39" fillId="26" borderId="1" xfId="13" applyFont="1" applyFill="1" applyBorder="1" applyAlignment="1">
      <alignment vertical="top" wrapText="1"/>
    </xf>
    <xf numFmtId="1" fontId="47" fillId="26" borderId="1" xfId="13" applyNumberFormat="1" applyFont="1" applyFill="1" applyBorder="1" applyAlignment="1">
      <alignment vertical="top" shrinkToFit="1"/>
    </xf>
    <xf numFmtId="1" fontId="39" fillId="26" borderId="1" xfId="13" applyNumberFormat="1" applyFont="1" applyFill="1" applyBorder="1" applyAlignment="1">
      <alignment vertical="top" wrapText="1"/>
    </xf>
    <xf numFmtId="0" fontId="44" fillId="26" borderId="1" xfId="0" applyFont="1" applyFill="1" applyBorder="1" applyAlignment="1">
      <alignment horizontal="center" vertical="center" wrapText="1"/>
    </xf>
    <xf numFmtId="0" fontId="43" fillId="26" borderId="1" xfId="0" applyFont="1" applyFill="1" applyBorder="1" applyAlignment="1">
      <alignment horizontal="center" vertical="center" wrapText="1"/>
    </xf>
    <xf numFmtId="0" fontId="39" fillId="5" borderId="1" xfId="13" applyFont="1" applyFill="1" applyBorder="1" applyAlignment="1">
      <alignment vertical="top" wrapText="1"/>
    </xf>
    <xf numFmtId="1" fontId="47" fillId="5" borderId="1" xfId="13" applyNumberFormat="1" applyFont="1" applyFill="1" applyBorder="1" applyAlignment="1">
      <alignment vertical="top" shrinkToFit="1"/>
    </xf>
    <xf numFmtId="1" fontId="39" fillId="5" borderId="1" xfId="13" applyNumberFormat="1" applyFont="1" applyFill="1" applyBorder="1" applyAlignment="1">
      <alignment vertical="top" wrapText="1"/>
    </xf>
    <xf numFmtId="0" fontId="39" fillId="10" borderId="1" xfId="13" applyFont="1" applyFill="1" applyBorder="1" applyAlignment="1">
      <alignment vertical="top" wrapText="1"/>
    </xf>
    <xf numFmtId="1" fontId="47" fillId="10" borderId="1" xfId="13" applyNumberFormat="1" applyFont="1" applyFill="1" applyBorder="1" applyAlignment="1">
      <alignment vertical="top" shrinkToFit="1"/>
    </xf>
    <xf numFmtId="1" fontId="41" fillId="10" borderId="1" xfId="0" applyNumberFormat="1" applyFont="1" applyFill="1" applyBorder="1"/>
    <xf numFmtId="1" fontId="39" fillId="10" borderId="1" xfId="13" applyNumberFormat="1" applyFont="1" applyFill="1" applyBorder="1" applyAlignment="1">
      <alignment vertical="top" wrapText="1"/>
    </xf>
    <xf numFmtId="0" fontId="39" fillId="31" borderId="1" xfId="13" applyFont="1" applyFill="1" applyBorder="1" applyAlignment="1">
      <alignment vertical="top" wrapText="1"/>
    </xf>
    <xf numFmtId="1" fontId="47" fillId="31" borderId="1" xfId="13" applyNumberFormat="1" applyFont="1" applyFill="1" applyBorder="1" applyAlignment="1">
      <alignment vertical="top" shrinkToFit="1"/>
    </xf>
    <xf numFmtId="1" fontId="39" fillId="31" borderId="1" xfId="13" applyNumberFormat="1" applyFont="1" applyFill="1" applyBorder="1" applyAlignment="1">
      <alignment vertical="top" wrapText="1"/>
    </xf>
    <xf numFmtId="0" fontId="39" fillId="42" borderId="1" xfId="13" applyFont="1" applyFill="1" applyBorder="1" applyAlignment="1">
      <alignment vertical="top" wrapText="1"/>
    </xf>
    <xf numFmtId="1" fontId="39" fillId="42" borderId="1" xfId="13" applyNumberFormat="1" applyFont="1" applyFill="1" applyBorder="1" applyAlignment="1">
      <alignment vertical="top" wrapText="1"/>
    </xf>
    <xf numFmtId="1" fontId="47" fillId="42" borderId="1" xfId="13" applyNumberFormat="1" applyFont="1" applyFill="1" applyBorder="1" applyAlignment="1">
      <alignment vertical="top" shrinkToFit="1"/>
    </xf>
    <xf numFmtId="0" fontId="39" fillId="21" borderId="1" xfId="13" applyFont="1" applyFill="1" applyBorder="1" applyAlignment="1">
      <alignment vertical="top" wrapText="1"/>
    </xf>
    <xf numFmtId="1" fontId="39" fillId="21" borderId="1" xfId="13" applyNumberFormat="1" applyFont="1" applyFill="1" applyBorder="1" applyAlignment="1">
      <alignment vertical="top" wrapText="1"/>
    </xf>
    <xf numFmtId="1" fontId="47" fillId="21" borderId="1" xfId="13" applyNumberFormat="1" applyFont="1" applyFill="1" applyBorder="1" applyAlignment="1">
      <alignment vertical="top" shrinkToFit="1"/>
    </xf>
    <xf numFmtId="0" fontId="39" fillId="2" borderId="1" xfId="13" applyFont="1" applyFill="1" applyBorder="1" applyAlignment="1">
      <alignment vertical="top" wrapText="1"/>
    </xf>
    <xf numFmtId="0" fontId="39" fillId="45" borderId="9" xfId="13" applyFont="1" applyFill="1" applyBorder="1" applyAlignment="1">
      <alignment vertical="top" wrapText="1"/>
    </xf>
    <xf numFmtId="1" fontId="39" fillId="45" borderId="9" xfId="13" applyNumberFormat="1" applyFont="1" applyFill="1" applyBorder="1" applyAlignment="1">
      <alignment vertical="top" wrapText="1"/>
    </xf>
    <xf numFmtId="0" fontId="39" fillId="47" borderId="9" xfId="13" applyFont="1" applyFill="1" applyBorder="1" applyAlignment="1">
      <alignment vertical="top" wrapText="1"/>
    </xf>
    <xf numFmtId="1" fontId="47" fillId="47" borderId="9" xfId="13" applyNumberFormat="1" applyFont="1" applyFill="1" applyBorder="1" applyAlignment="1">
      <alignment vertical="top" shrinkToFit="1"/>
    </xf>
    <xf numFmtId="1" fontId="39" fillId="47" borderId="9" xfId="13" applyNumberFormat="1" applyFont="1" applyFill="1" applyBorder="1" applyAlignment="1">
      <alignment vertical="top" wrapText="1"/>
    </xf>
    <xf numFmtId="0" fontId="39" fillId="49" borderId="1" xfId="13" applyFont="1" applyFill="1" applyBorder="1" applyAlignment="1">
      <alignment vertical="top" wrapText="1"/>
    </xf>
    <xf numFmtId="1" fontId="47" fillId="49" borderId="1" xfId="13" applyNumberFormat="1" applyFont="1" applyFill="1" applyBorder="1" applyAlignment="1">
      <alignment vertical="top" shrinkToFit="1"/>
    </xf>
    <xf numFmtId="1" fontId="39" fillId="49" borderId="1" xfId="13" applyNumberFormat="1" applyFont="1" applyFill="1" applyBorder="1" applyAlignment="1">
      <alignment vertical="top" wrapText="1"/>
    </xf>
    <xf numFmtId="0" fontId="47" fillId="49" borderId="1" xfId="13" applyFont="1" applyFill="1" applyBorder="1" applyAlignment="1">
      <alignment vertical="top" wrapText="1"/>
    </xf>
    <xf numFmtId="1" fontId="42" fillId="49" borderId="1" xfId="13" applyNumberFormat="1" applyFont="1" applyFill="1" applyBorder="1" applyAlignment="1">
      <alignment vertical="top" wrapText="1"/>
    </xf>
    <xf numFmtId="0" fontId="41" fillId="49" borderId="1" xfId="0" applyFont="1" applyFill="1" applyBorder="1"/>
    <xf numFmtId="0" fontId="47" fillId="34" borderId="1" xfId="13" applyFont="1" applyFill="1" applyBorder="1" applyAlignment="1">
      <alignment vertical="top" wrapText="1"/>
    </xf>
    <xf numFmtId="1" fontId="47" fillId="34" borderId="1" xfId="13" applyNumberFormat="1" applyFont="1" applyFill="1" applyBorder="1" applyAlignment="1">
      <alignment vertical="top" shrinkToFit="1"/>
    </xf>
    <xf numFmtId="1" fontId="39" fillId="34" borderId="1" xfId="13" applyNumberFormat="1" applyFont="1" applyFill="1" applyBorder="1" applyAlignment="1">
      <alignment vertical="top" wrapText="1"/>
    </xf>
    <xf numFmtId="0" fontId="47" fillId="7" borderId="1" xfId="13" applyFont="1" applyFill="1" applyBorder="1" applyAlignment="1">
      <alignment vertical="top" wrapText="1"/>
    </xf>
    <xf numFmtId="1" fontId="39" fillId="5" borderId="1" xfId="13" applyNumberFormat="1" applyFont="1" applyFill="1" applyBorder="1" applyAlignment="1">
      <alignment vertical="top" shrinkToFit="1"/>
    </xf>
    <xf numFmtId="0" fontId="47" fillId="47" borderId="1" xfId="12" applyFont="1" applyFill="1" applyBorder="1" applyAlignment="1">
      <alignment vertical="top" wrapText="1"/>
    </xf>
    <xf numFmtId="1" fontId="47" fillId="42" borderId="1" xfId="12" applyNumberFormat="1" applyFont="1" applyFill="1" applyBorder="1" applyAlignment="1">
      <alignment vertical="top" shrinkToFit="1"/>
    </xf>
    <xf numFmtId="1" fontId="40" fillId="19" borderId="1" xfId="0" applyNumberFormat="1" applyFont="1" applyFill="1" applyBorder="1" applyAlignment="1">
      <alignment vertical="top" wrapText="1"/>
    </xf>
    <xf numFmtId="0" fontId="39" fillId="17" borderId="1" xfId="12" applyFont="1" applyFill="1" applyBorder="1" applyAlignment="1">
      <alignment horizontal="left" vertical="top" wrapText="1" indent="1"/>
    </xf>
    <xf numFmtId="1" fontId="47" fillId="17" borderId="1" xfId="13" applyNumberFormat="1" applyFont="1" applyFill="1" applyBorder="1" applyAlignment="1">
      <alignment vertical="top" shrinkToFit="1"/>
    </xf>
    <xf numFmtId="1" fontId="41" fillId="17" borderId="1" xfId="0" applyNumberFormat="1" applyFont="1" applyFill="1" applyBorder="1"/>
    <xf numFmtId="1" fontId="39" fillId="17" borderId="1" xfId="13" applyNumberFormat="1" applyFont="1" applyFill="1" applyBorder="1" applyAlignment="1">
      <alignment vertical="top" wrapText="1"/>
    </xf>
    <xf numFmtId="1" fontId="48" fillId="9" borderId="1" xfId="12" applyNumberFormat="1" applyFont="1" applyFill="1" applyBorder="1" applyAlignment="1">
      <alignment vertical="top" shrinkToFit="1"/>
    </xf>
    <xf numFmtId="1" fontId="48" fillId="9" borderId="1" xfId="13" applyNumberFormat="1" applyFont="1" applyFill="1" applyBorder="1" applyAlignment="1">
      <alignment vertical="top" shrinkToFit="1"/>
    </xf>
    <xf numFmtId="1" fontId="49" fillId="9" borderId="1" xfId="13" applyNumberFormat="1" applyFont="1" applyFill="1" applyBorder="1" applyAlignment="1">
      <alignment vertical="top" wrapText="1"/>
    </xf>
    <xf numFmtId="1" fontId="0" fillId="9" borderId="1" xfId="0" applyNumberFormat="1" applyFill="1" applyBorder="1"/>
    <xf numFmtId="1" fontId="50" fillId="9" borderId="1" xfId="12" applyNumberFormat="1" applyFont="1" applyFill="1" applyBorder="1" applyAlignment="1">
      <alignment vertical="top" wrapText="1"/>
    </xf>
    <xf numFmtId="1" fontId="48" fillId="42" borderId="1" xfId="12" applyNumberFormat="1" applyFont="1" applyFill="1" applyBorder="1" applyAlignment="1">
      <alignment vertical="top" shrinkToFit="1"/>
    </xf>
    <xf numFmtId="1" fontId="50" fillId="42" borderId="1" xfId="12" applyNumberFormat="1" applyFont="1" applyFill="1" applyBorder="1" applyAlignment="1">
      <alignment vertical="top" wrapText="1"/>
    </xf>
    <xf numFmtId="1" fontId="48" fillId="34" borderId="1" xfId="13" applyNumberFormat="1" applyFont="1" applyFill="1" applyBorder="1" applyAlignment="1">
      <alignment vertical="top" shrinkToFit="1"/>
    </xf>
    <xf numFmtId="166" fontId="48" fillId="34" borderId="1" xfId="12" applyNumberFormat="1" applyFont="1" applyFill="1" applyBorder="1" applyAlignment="1">
      <alignment vertical="top" shrinkToFit="1"/>
    </xf>
    <xf numFmtId="166" fontId="48" fillId="34" borderId="1" xfId="13" applyNumberFormat="1" applyFont="1" applyFill="1" applyBorder="1" applyAlignment="1">
      <alignment vertical="top" shrinkToFit="1"/>
    </xf>
    <xf numFmtId="0" fontId="50" fillId="34" borderId="1" xfId="12" applyFont="1" applyFill="1" applyBorder="1" applyAlignment="1">
      <alignment vertical="top" wrapText="1"/>
    </xf>
    <xf numFmtId="0" fontId="49" fillId="34" borderId="1" xfId="13" applyFont="1" applyFill="1" applyBorder="1" applyAlignment="1">
      <alignment vertical="top" wrapText="1"/>
    </xf>
    <xf numFmtId="1" fontId="48" fillId="34" borderId="1" xfId="12" applyNumberFormat="1" applyFont="1" applyFill="1" applyBorder="1" applyAlignment="1">
      <alignment vertical="top" shrinkToFit="1"/>
    </xf>
    <xf numFmtId="1" fontId="50" fillId="46" borderId="1" xfId="13" applyNumberFormat="1" applyFont="1" applyFill="1" applyBorder="1" applyAlignment="1">
      <alignment vertical="top" shrinkToFit="1"/>
    </xf>
    <xf numFmtId="0" fontId="32" fillId="46" borderId="1" xfId="0" applyFont="1" applyFill="1" applyBorder="1"/>
    <xf numFmtId="1" fontId="50" fillId="46" borderId="1" xfId="12" applyNumberFormat="1" applyFont="1" applyFill="1" applyBorder="1" applyAlignment="1">
      <alignment vertical="top" shrinkToFit="1"/>
    </xf>
    <xf numFmtId="166" fontId="50" fillId="46" borderId="1" xfId="13" applyNumberFormat="1" applyFont="1" applyFill="1" applyBorder="1" applyAlignment="1">
      <alignment vertical="top" shrinkToFit="1"/>
    </xf>
    <xf numFmtId="1" fontId="50" fillId="2" borderId="1" xfId="13" applyNumberFormat="1" applyFont="1" applyFill="1" applyBorder="1" applyAlignment="1">
      <alignment vertical="top" shrinkToFit="1"/>
    </xf>
    <xf numFmtId="0" fontId="32" fillId="2" borderId="1" xfId="0" applyFont="1" applyFill="1" applyBorder="1"/>
    <xf numFmtId="1" fontId="48" fillId="2" borderId="1" xfId="12" applyNumberFormat="1" applyFont="1" applyFill="1" applyBorder="1" applyAlignment="1">
      <alignment vertical="top" shrinkToFit="1"/>
    </xf>
    <xf numFmtId="166" fontId="48" fillId="2" borderId="1" xfId="12" applyNumberFormat="1" applyFont="1" applyFill="1" applyBorder="1" applyAlignment="1">
      <alignment vertical="top" shrinkToFit="1"/>
    </xf>
    <xf numFmtId="166" fontId="48" fillId="2" borderId="1" xfId="13" applyNumberFormat="1" applyFont="1" applyFill="1" applyBorder="1" applyAlignment="1">
      <alignment vertical="top" shrinkToFit="1"/>
    </xf>
    <xf numFmtId="1" fontId="48" fillId="2" borderId="1" xfId="13" applyNumberFormat="1" applyFont="1" applyFill="1" applyBorder="1" applyAlignment="1">
      <alignment vertical="top" shrinkToFit="1"/>
    </xf>
    <xf numFmtId="0" fontId="50" fillId="2" borderId="1" xfId="12" applyFont="1" applyFill="1" applyBorder="1" applyAlignment="1">
      <alignment vertical="top" wrapText="1"/>
    </xf>
    <xf numFmtId="0" fontId="49" fillId="2" borderId="1" xfId="13" applyFont="1" applyFill="1" applyBorder="1" applyAlignment="1">
      <alignment vertical="top" wrapText="1"/>
    </xf>
    <xf numFmtId="1" fontId="48" fillId="19" borderId="1" xfId="12" applyNumberFormat="1" applyFont="1" applyFill="1" applyBorder="1" applyAlignment="1">
      <alignment vertical="top" shrinkToFit="1"/>
    </xf>
    <xf numFmtId="166" fontId="48" fillId="19" borderId="1" xfId="12" applyNumberFormat="1" applyFont="1" applyFill="1" applyBorder="1" applyAlignment="1">
      <alignment vertical="top" shrinkToFit="1"/>
    </xf>
    <xf numFmtId="0" fontId="50" fillId="19" borderId="1" xfId="12" applyFont="1" applyFill="1" applyBorder="1" applyAlignment="1">
      <alignment vertical="top" wrapText="1"/>
    </xf>
    <xf numFmtId="0" fontId="45" fillId="19" borderId="1" xfId="12" applyFill="1" applyBorder="1" applyAlignment="1">
      <alignment wrapText="1"/>
    </xf>
    <xf numFmtId="1" fontId="48" fillId="5" borderId="1" xfId="12" applyNumberFormat="1" applyFont="1" applyFill="1" applyBorder="1" applyAlignment="1">
      <alignment vertical="top" shrinkToFit="1"/>
    </xf>
    <xf numFmtId="0" fontId="50" fillId="5" borderId="1" xfId="12" applyFont="1" applyFill="1" applyBorder="1" applyAlignment="1">
      <alignment vertical="top" wrapText="1"/>
    </xf>
    <xf numFmtId="166" fontId="48" fillId="5" borderId="1" xfId="12" applyNumberFormat="1" applyFont="1" applyFill="1" applyBorder="1" applyAlignment="1">
      <alignment vertical="top" shrinkToFit="1"/>
    </xf>
    <xf numFmtId="1" fontId="48" fillId="43" borderId="1" xfId="12" applyNumberFormat="1" applyFont="1" applyFill="1" applyBorder="1" applyAlignment="1">
      <alignment vertical="top" shrinkToFit="1"/>
    </xf>
    <xf numFmtId="1" fontId="50" fillId="43" borderId="1" xfId="12" applyNumberFormat="1" applyFont="1" applyFill="1" applyBorder="1" applyAlignment="1">
      <alignment vertical="top" wrapText="1"/>
    </xf>
    <xf numFmtId="1" fontId="0" fillId="43" borderId="1" xfId="0" applyNumberFormat="1" applyFill="1" applyBorder="1"/>
    <xf numFmtId="1" fontId="48" fillId="38" borderId="1" xfId="12" applyNumberFormat="1" applyFont="1" applyFill="1" applyBorder="1" applyAlignment="1">
      <alignment vertical="top" shrinkToFit="1"/>
    </xf>
    <xf numFmtId="1" fontId="0" fillId="38" borderId="1" xfId="0" applyNumberFormat="1" applyFill="1" applyBorder="1"/>
    <xf numFmtId="1" fontId="50" fillId="38" borderId="1" xfId="12" applyNumberFormat="1" applyFont="1" applyFill="1" applyBorder="1" applyAlignment="1">
      <alignment vertical="top" wrapText="1"/>
    </xf>
    <xf numFmtId="1" fontId="48" fillId="45" borderId="1" xfId="12" applyNumberFormat="1" applyFont="1" applyFill="1" applyBorder="1" applyAlignment="1">
      <alignment vertical="top" shrinkToFit="1"/>
    </xf>
    <xf numFmtId="166" fontId="48" fillId="45" borderId="1" xfId="12" applyNumberFormat="1" applyFont="1" applyFill="1" applyBorder="1" applyAlignment="1">
      <alignment vertical="top" shrinkToFit="1"/>
    </xf>
    <xf numFmtId="0" fontId="50" fillId="45" borderId="1" xfId="12" applyFont="1" applyFill="1" applyBorder="1" applyAlignment="1">
      <alignment vertical="top" wrapText="1"/>
    </xf>
    <xf numFmtId="1" fontId="48" fillId="37" borderId="1" xfId="12" applyNumberFormat="1" applyFont="1" applyFill="1" applyBorder="1" applyAlignment="1">
      <alignment vertical="top" shrinkToFit="1"/>
    </xf>
    <xf numFmtId="1" fontId="50" fillId="37" borderId="1" xfId="12" applyNumberFormat="1" applyFont="1" applyFill="1" applyBorder="1" applyAlignment="1">
      <alignment vertical="top" wrapText="1"/>
    </xf>
    <xf numFmtId="0" fontId="41" fillId="30" borderId="1" xfId="0" applyFont="1" applyFill="1" applyBorder="1"/>
    <xf numFmtId="0" fontId="41" fillId="21" borderId="1" xfId="0" applyFont="1" applyFill="1" applyBorder="1" applyAlignment="1">
      <alignment horizontal="center" vertical="center"/>
    </xf>
    <xf numFmtId="3" fontId="41" fillId="21" borderId="1" xfId="0" applyNumberFormat="1" applyFont="1" applyFill="1" applyBorder="1" applyAlignment="1">
      <alignment horizontal="center" vertical="center"/>
    </xf>
    <xf numFmtId="3" fontId="41" fillId="30" borderId="1" xfId="0" applyNumberFormat="1" applyFont="1" applyFill="1" applyBorder="1"/>
    <xf numFmtId="0" fontId="52" fillId="0" borderId="0" xfId="0" applyFont="1"/>
    <xf numFmtId="0" fontId="52" fillId="26" borderId="1" xfId="0" applyFont="1" applyFill="1" applyBorder="1"/>
    <xf numFmtId="0" fontId="52" fillId="27" borderId="1" xfId="0" applyFont="1" applyFill="1" applyBorder="1"/>
    <xf numFmtId="0" fontId="52" fillId="28" borderId="1" xfId="0" applyFont="1" applyFill="1" applyBorder="1"/>
    <xf numFmtId="0" fontId="52" fillId="28" borderId="9" xfId="0" applyFont="1" applyFill="1" applyBorder="1"/>
    <xf numFmtId="0" fontId="44" fillId="29" borderId="1" xfId="0" applyFont="1" applyFill="1" applyBorder="1" applyAlignment="1">
      <alignment vertical="center" wrapText="1"/>
    </xf>
    <xf numFmtId="0" fontId="44" fillId="17" borderId="1" xfId="0" applyFont="1" applyFill="1" applyBorder="1" applyAlignment="1">
      <alignment vertical="center" wrapText="1"/>
    </xf>
    <xf numFmtId="0" fontId="44" fillId="17" borderId="9" xfId="0" applyFont="1" applyFill="1" applyBorder="1" applyAlignment="1">
      <alignment vertical="center" wrapText="1"/>
    </xf>
    <xf numFmtId="0" fontId="44" fillId="28" borderId="1" xfId="0" applyFont="1" applyFill="1" applyBorder="1" applyAlignment="1">
      <alignment vertical="center" wrapText="1"/>
    </xf>
    <xf numFmtId="0" fontId="44" fillId="28" borderId="9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horizontal="justify" vertical="center" wrapText="1"/>
    </xf>
    <xf numFmtId="0" fontId="44" fillId="30" borderId="1" xfId="0" applyFont="1" applyFill="1" applyBorder="1" applyAlignment="1">
      <alignment vertical="center" wrapText="1"/>
    </xf>
    <xf numFmtId="0" fontId="44" fillId="30" borderId="9" xfId="0" applyFont="1" applyFill="1" applyBorder="1" applyAlignment="1">
      <alignment vertical="center" wrapText="1"/>
    </xf>
    <xf numFmtId="0" fontId="44" fillId="31" borderId="1" xfId="0" applyFont="1" applyFill="1" applyBorder="1" applyAlignment="1">
      <alignment vertical="center" wrapText="1"/>
    </xf>
    <xf numFmtId="0" fontId="44" fillId="31" borderId="9" xfId="0" applyFont="1" applyFill="1" applyBorder="1" applyAlignment="1">
      <alignment vertical="center" wrapText="1"/>
    </xf>
    <xf numFmtId="0" fontId="44" fillId="32" borderId="1" xfId="0" applyFont="1" applyFill="1" applyBorder="1" applyAlignment="1">
      <alignment vertical="center" wrapText="1"/>
    </xf>
    <xf numFmtId="0" fontId="44" fillId="33" borderId="1" xfId="0" applyFont="1" applyFill="1" applyBorder="1" applyAlignment="1">
      <alignment vertical="center" wrapText="1"/>
    </xf>
    <xf numFmtId="0" fontId="44" fillId="33" borderId="9" xfId="0" applyFont="1" applyFill="1" applyBorder="1" applyAlignment="1">
      <alignment vertical="center" wrapText="1"/>
    </xf>
    <xf numFmtId="0" fontId="44" fillId="22" borderId="1" xfId="0" applyFont="1" applyFill="1" applyBorder="1" applyAlignment="1">
      <alignment vertical="center" wrapText="1"/>
    </xf>
    <xf numFmtId="0" fontId="52" fillId="32" borderId="1" xfId="0" applyFont="1" applyFill="1" applyBorder="1"/>
    <xf numFmtId="0" fontId="52" fillId="34" borderId="1" xfId="0" applyFont="1" applyFill="1" applyBorder="1"/>
    <xf numFmtId="0" fontId="52" fillId="35" borderId="1" xfId="0" applyFont="1" applyFill="1" applyBorder="1"/>
    <xf numFmtId="0" fontId="52" fillId="36" borderId="1" xfId="0" applyFont="1" applyFill="1" applyBorder="1"/>
    <xf numFmtId="0" fontId="52" fillId="37" borderId="1" xfId="0" applyFont="1" applyFill="1" applyBorder="1"/>
    <xf numFmtId="0" fontId="52" fillId="38" borderId="1" xfId="0" applyFont="1" applyFill="1" applyBorder="1"/>
    <xf numFmtId="0" fontId="52" fillId="30" borderId="1" xfId="0" applyFont="1" applyFill="1" applyBorder="1"/>
    <xf numFmtId="0" fontId="52" fillId="9" borderId="1" xfId="0" applyFont="1" applyFill="1" applyBorder="1"/>
    <xf numFmtId="0" fontId="52" fillId="12" borderId="1" xfId="0" applyFont="1" applyFill="1" applyBorder="1"/>
    <xf numFmtId="0" fontId="52" fillId="22" borderId="1" xfId="0" applyFont="1" applyFill="1" applyBorder="1"/>
    <xf numFmtId="0" fontId="52" fillId="39" borderId="1" xfId="0" applyFont="1" applyFill="1" applyBorder="1"/>
    <xf numFmtId="0" fontId="52" fillId="11" borderId="1" xfId="0" applyFont="1" applyFill="1" applyBorder="1"/>
    <xf numFmtId="0" fontId="52" fillId="17" borderId="1" xfId="0" applyFont="1" applyFill="1" applyBorder="1"/>
    <xf numFmtId="0" fontId="41" fillId="9" borderId="1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/>
    </xf>
    <xf numFmtId="0" fontId="41" fillId="23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/>
    </xf>
    <xf numFmtId="3" fontId="41" fillId="23" borderId="1" xfId="0" applyNumberFormat="1" applyFont="1" applyFill="1" applyBorder="1" applyAlignment="1">
      <alignment horizontal="center" vertical="center"/>
    </xf>
    <xf numFmtId="3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/>
    </xf>
    <xf numFmtId="3" fontId="41" fillId="3" borderId="1" xfId="0" applyNumberFormat="1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/>
    </xf>
    <xf numFmtId="3" fontId="41" fillId="21" borderId="1" xfId="0" applyNumberFormat="1" applyFont="1" applyFill="1" applyBorder="1" applyAlignment="1">
      <alignment horizontal="center"/>
    </xf>
    <xf numFmtId="3" fontId="41" fillId="42" borderId="1" xfId="0" applyNumberFormat="1" applyFont="1" applyFill="1" applyBorder="1" applyAlignment="1">
      <alignment horizontal="center" vertical="center"/>
    </xf>
    <xf numFmtId="0" fontId="41" fillId="42" borderId="1" xfId="0" applyFont="1" applyFill="1" applyBorder="1" applyAlignment="1">
      <alignment horizontal="center" vertical="center"/>
    </xf>
    <xf numFmtId="0" fontId="41" fillId="42" borderId="1" xfId="0" applyFont="1" applyFill="1" applyBorder="1" applyAlignment="1">
      <alignment horizontal="center"/>
    </xf>
    <xf numFmtId="3" fontId="41" fillId="42" borderId="1" xfId="0" applyNumberFormat="1" applyFont="1" applyFill="1" applyBorder="1" applyAlignment="1">
      <alignment horizontal="center"/>
    </xf>
    <xf numFmtId="3" fontId="41" fillId="9" borderId="1" xfId="0" applyNumberFormat="1" applyFont="1" applyFill="1" applyBorder="1" applyAlignment="1">
      <alignment horizontal="center" vertical="center"/>
    </xf>
    <xf numFmtId="3" fontId="41" fillId="9" borderId="1" xfId="0" applyNumberFormat="1" applyFont="1" applyFill="1" applyBorder="1" applyAlignment="1">
      <alignment horizontal="center"/>
    </xf>
    <xf numFmtId="3" fontId="41" fillId="2" borderId="1" xfId="0" applyNumberFormat="1" applyFont="1" applyFill="1" applyBorder="1" applyAlignment="1">
      <alignment horizontal="center" vertical="center"/>
    </xf>
    <xf numFmtId="3" fontId="41" fillId="26" borderId="1" xfId="0" applyNumberFormat="1" applyFont="1" applyFill="1" applyBorder="1" applyAlignment="1">
      <alignment horizontal="center" vertical="center"/>
    </xf>
    <xf numFmtId="0" fontId="41" fillId="26" borderId="1" xfId="0" applyFont="1" applyFill="1" applyBorder="1" applyAlignment="1">
      <alignment horizontal="center" vertical="center"/>
    </xf>
    <xf numFmtId="0" fontId="42" fillId="26" borderId="1" xfId="0" applyFont="1" applyFill="1" applyBorder="1" applyAlignment="1">
      <alignment horizontal="center" vertical="center" wrapText="1"/>
    </xf>
    <xf numFmtId="3" fontId="42" fillId="26" borderId="1" xfId="0" applyNumberFormat="1" applyFont="1" applyFill="1" applyBorder="1" applyAlignment="1">
      <alignment horizontal="center" vertical="center" wrapText="1"/>
    </xf>
    <xf numFmtId="3" fontId="41" fillId="25" borderId="1" xfId="0" applyNumberFormat="1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center" vertical="center"/>
    </xf>
    <xf numFmtId="3" fontId="41" fillId="7" borderId="1" xfId="0" applyNumberFormat="1" applyFont="1" applyFill="1" applyBorder="1" applyAlignment="1">
      <alignment horizontal="center" vertical="center"/>
    </xf>
    <xf numFmtId="1" fontId="41" fillId="7" borderId="1" xfId="0" applyNumberFormat="1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1" fontId="41" fillId="17" borderId="1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center"/>
    </xf>
    <xf numFmtId="1" fontId="41" fillId="17" borderId="1" xfId="0" applyNumberFormat="1" applyFont="1" applyFill="1" applyBorder="1" applyAlignment="1">
      <alignment horizontal="center"/>
    </xf>
    <xf numFmtId="1" fontId="41" fillId="38" borderId="1" xfId="0" applyNumberFormat="1" applyFont="1" applyFill="1" applyBorder="1" applyAlignment="1">
      <alignment horizontal="center" vertical="center"/>
    </xf>
    <xf numFmtId="0" fontId="41" fillId="38" borderId="1" xfId="0" applyFont="1" applyFill="1" applyBorder="1" applyAlignment="1">
      <alignment horizontal="center"/>
    </xf>
    <xf numFmtId="0" fontId="41" fillId="22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/>
    </xf>
    <xf numFmtId="3" fontId="41" fillId="22" borderId="1" xfId="0" applyNumberFormat="1" applyFont="1" applyFill="1" applyBorder="1" applyAlignment="1">
      <alignment horizontal="center" vertical="center"/>
    </xf>
    <xf numFmtId="1" fontId="41" fillId="31" borderId="1" xfId="0" applyNumberFormat="1" applyFont="1" applyFill="1" applyBorder="1" applyAlignment="1">
      <alignment horizontal="center" vertical="center"/>
    </xf>
    <xf numFmtId="1" fontId="41" fillId="31" borderId="1" xfId="0" applyNumberFormat="1" applyFont="1" applyFill="1" applyBorder="1" applyAlignment="1">
      <alignment horizontal="center"/>
    </xf>
    <xf numFmtId="1" fontId="41" fillId="30" borderId="1" xfId="0" applyNumberFormat="1" applyFont="1" applyFill="1" applyBorder="1" applyAlignment="1">
      <alignment horizontal="center" vertical="center"/>
    </xf>
    <xf numFmtId="1" fontId="41" fillId="30" borderId="1" xfId="0" applyNumberFormat="1" applyFont="1" applyFill="1" applyBorder="1" applyAlignment="1">
      <alignment horizontal="center"/>
    </xf>
    <xf numFmtId="1" fontId="41" fillId="40" borderId="1" xfId="0" applyNumberFormat="1" applyFont="1" applyFill="1" applyBorder="1" applyAlignment="1">
      <alignment horizontal="center" vertical="center"/>
    </xf>
    <xf numFmtId="1" fontId="41" fillId="40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3" fontId="41" fillId="2" borderId="1" xfId="0" applyNumberFormat="1" applyFont="1" applyFill="1" applyBorder="1" applyAlignment="1">
      <alignment horizontal="center"/>
    </xf>
    <xf numFmtId="3" fontId="41" fillId="31" borderId="1" xfId="0" applyNumberFormat="1" applyFont="1" applyFill="1" applyBorder="1" applyAlignment="1">
      <alignment horizontal="center" vertical="center"/>
    </xf>
    <xf numFmtId="0" fontId="41" fillId="31" borderId="1" xfId="0" applyFont="1" applyFill="1" applyBorder="1" applyAlignment="1">
      <alignment horizontal="center" vertical="center"/>
    </xf>
    <xf numFmtId="0" fontId="41" fillId="31" borderId="1" xfId="0" applyFont="1" applyFill="1" applyBorder="1" applyAlignment="1">
      <alignment horizontal="center"/>
    </xf>
    <xf numFmtId="1" fontId="41" fillId="2" borderId="1" xfId="0" applyNumberFormat="1" applyFont="1" applyFill="1" applyBorder="1" applyAlignment="1">
      <alignment horizontal="center"/>
    </xf>
    <xf numFmtId="1" fontId="41" fillId="38" borderId="1" xfId="0" applyNumberFormat="1" applyFont="1" applyFill="1" applyBorder="1" applyAlignment="1">
      <alignment horizontal="center"/>
    </xf>
    <xf numFmtId="0" fontId="44" fillId="3" borderId="1" xfId="0" applyFont="1" applyFill="1" applyBorder="1" applyAlignment="1">
      <alignment horizontal="left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" fontId="41" fillId="3" borderId="1" xfId="0" applyNumberFormat="1" applyFont="1" applyFill="1" applyBorder="1" applyAlignment="1">
      <alignment horizontal="center"/>
    </xf>
    <xf numFmtId="0" fontId="43" fillId="3" borderId="1" xfId="0" applyFont="1" applyFill="1" applyBorder="1" applyAlignment="1">
      <alignment horizontal="left" vertical="center" wrapText="1"/>
    </xf>
    <xf numFmtId="1" fontId="41" fillId="41" borderId="1" xfId="0" applyNumberFormat="1" applyFont="1" applyFill="1" applyBorder="1" applyAlignment="1">
      <alignment horizontal="center" vertical="center"/>
    </xf>
    <xf numFmtId="1" fontId="41" fillId="34" borderId="1" xfId="0" applyNumberFormat="1" applyFont="1" applyFill="1" applyBorder="1" applyAlignment="1">
      <alignment horizontal="center" vertical="center"/>
    </xf>
    <xf numFmtId="0" fontId="41" fillId="37" borderId="1" xfId="0" applyFont="1" applyFill="1" applyBorder="1" applyAlignment="1">
      <alignment horizontal="center" vertical="center"/>
    </xf>
    <xf numFmtId="3" fontId="41" fillId="37" borderId="1" xfId="0" applyNumberFormat="1" applyFont="1" applyFill="1" applyBorder="1" applyAlignment="1">
      <alignment horizontal="center" vertical="center"/>
    </xf>
    <xf numFmtId="1" fontId="41" fillId="22" borderId="1" xfId="0" applyNumberFormat="1" applyFont="1" applyFill="1" applyBorder="1" applyAlignment="1">
      <alignment horizontal="center" vertical="center"/>
    </xf>
    <xf numFmtId="1" fontId="41" fillId="22" borderId="1" xfId="0" applyNumberFormat="1" applyFont="1" applyFill="1" applyBorder="1" applyAlignment="1">
      <alignment horizontal="center"/>
    </xf>
    <xf numFmtId="3" fontId="41" fillId="30" borderId="1" xfId="0" applyNumberFormat="1" applyFont="1" applyFill="1" applyBorder="1" applyAlignment="1">
      <alignment horizontal="right" vertical="center"/>
    </xf>
    <xf numFmtId="0" fontId="41" fillId="30" borderId="1" xfId="0" applyFont="1" applyFill="1" applyBorder="1" applyAlignment="1">
      <alignment horizontal="right" vertical="center"/>
    </xf>
    <xf numFmtId="0" fontId="53" fillId="26" borderId="1" xfId="0" applyFont="1" applyFill="1" applyBorder="1" applyAlignment="1">
      <alignment vertical="center" wrapText="1"/>
    </xf>
    <xf numFmtId="0" fontId="52" fillId="26" borderId="1" xfId="0" applyFont="1" applyFill="1" applyBorder="1" applyAlignment="1">
      <alignment wrapText="1"/>
    </xf>
    <xf numFmtId="0" fontId="52" fillId="25" borderId="1" xfId="0" applyFont="1" applyFill="1" applyBorder="1"/>
    <xf numFmtId="0" fontId="52" fillId="7" borderId="1" xfId="0" applyFont="1" applyFill="1" applyBorder="1" applyAlignment="1">
      <alignment horizontal="left" vertical="center"/>
    </xf>
    <xf numFmtId="0" fontId="44" fillId="38" borderId="1" xfId="0" applyFont="1" applyFill="1" applyBorder="1" applyAlignment="1">
      <alignment horizontal="left" vertical="center" wrapText="1"/>
    </xf>
    <xf numFmtId="0" fontId="44" fillId="22" borderId="9" xfId="0" applyFont="1" applyFill="1" applyBorder="1" applyAlignment="1">
      <alignment vertical="center" wrapText="1"/>
    </xf>
    <xf numFmtId="0" fontId="44" fillId="31" borderId="1" xfId="0" applyFont="1" applyFill="1" applyBorder="1" applyAlignment="1">
      <alignment horizontal="justify" vertical="center" wrapText="1"/>
    </xf>
    <xf numFmtId="0" fontId="44" fillId="40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44" fillId="9" borderId="9" xfId="0" applyFont="1" applyFill="1" applyBorder="1" applyAlignment="1">
      <alignment vertical="center" wrapText="1"/>
    </xf>
    <xf numFmtId="0" fontId="44" fillId="2" borderId="9" xfId="0" applyFont="1" applyFill="1" applyBorder="1" applyAlignment="1">
      <alignment vertical="center" wrapText="1"/>
    </xf>
    <xf numFmtId="0" fontId="44" fillId="38" borderId="1" xfId="0" applyFont="1" applyFill="1" applyBorder="1" applyAlignment="1">
      <alignment vertical="center" wrapText="1"/>
    </xf>
    <xf numFmtId="0" fontId="52" fillId="9" borderId="1" xfId="0" applyFont="1" applyFill="1" applyBorder="1" applyAlignment="1">
      <alignment horizontal="left" vertical="center"/>
    </xf>
    <xf numFmtId="0" fontId="52" fillId="2" borderId="1" xfId="0" applyFont="1" applyFill="1" applyBorder="1"/>
    <xf numFmtId="0" fontId="52" fillId="41" borderId="1" xfId="0" applyFont="1" applyFill="1" applyBorder="1" applyAlignment="1">
      <alignment horizontal="left" vertical="center"/>
    </xf>
    <xf numFmtId="0" fontId="52" fillId="37" borderId="1" xfId="0" applyFont="1" applyFill="1" applyBorder="1" applyAlignment="1">
      <alignment horizontal="left" vertical="center"/>
    </xf>
    <xf numFmtId="0" fontId="52" fillId="23" borderId="1" xfId="0" applyFont="1" applyFill="1" applyBorder="1"/>
    <xf numFmtId="0" fontId="52" fillId="3" borderId="1" xfId="0" applyFont="1" applyFill="1" applyBorder="1"/>
    <xf numFmtId="0" fontId="52" fillId="21" borderId="1" xfId="0" applyFont="1" applyFill="1" applyBorder="1"/>
    <xf numFmtId="0" fontId="52" fillId="42" borderId="1" xfId="0" applyFont="1" applyFill="1" applyBorder="1"/>
    <xf numFmtId="0" fontId="52" fillId="31" borderId="7" xfId="0" applyFont="1" applyFill="1" applyBorder="1"/>
    <xf numFmtId="0" fontId="52" fillId="31" borderId="1" xfId="0" applyFont="1" applyFill="1" applyBorder="1"/>
    <xf numFmtId="166" fontId="48" fillId="43" borderId="1" xfId="12" applyNumberFormat="1" applyFont="1" applyFill="1" applyBorder="1" applyAlignment="1">
      <alignment vertical="top" shrinkToFit="1"/>
    </xf>
    <xf numFmtId="0" fontId="50" fillId="43" borderId="1" xfId="12" applyFont="1" applyFill="1" applyBorder="1" applyAlignment="1">
      <alignment vertical="top" wrapText="1"/>
    </xf>
    <xf numFmtId="0" fontId="0" fillId="43" borderId="1" xfId="0" applyFill="1" applyBorder="1"/>
    <xf numFmtId="1" fontId="48" fillId="17" borderId="1" xfId="12" applyNumberFormat="1" applyFont="1" applyFill="1" applyBorder="1" applyAlignment="1">
      <alignment vertical="top" shrinkToFit="1"/>
    </xf>
    <xf numFmtId="1" fontId="50" fillId="17" borderId="1" xfId="12" applyNumberFormat="1" applyFont="1" applyFill="1" applyBorder="1" applyAlignment="1">
      <alignment vertical="top" wrapText="1"/>
    </xf>
    <xf numFmtId="1" fontId="50" fillId="19" borderId="1" xfId="12" applyNumberFormat="1" applyFont="1" applyFill="1" applyBorder="1" applyAlignment="1">
      <alignment vertical="top" wrapText="1"/>
    </xf>
    <xf numFmtId="1" fontId="0" fillId="19" borderId="1" xfId="0" applyNumberFormat="1" applyFill="1" applyBorder="1"/>
    <xf numFmtId="166" fontId="48" fillId="3" borderId="1" xfId="12" applyNumberFormat="1" applyFont="1" applyFill="1" applyBorder="1" applyAlignment="1">
      <alignment vertical="top" shrinkToFit="1"/>
    </xf>
    <xf numFmtId="1" fontId="48" fillId="3" borderId="1" xfId="12" applyNumberFormat="1" applyFont="1" applyFill="1" applyBorder="1" applyAlignment="1">
      <alignment vertical="top" shrinkToFit="1"/>
    </xf>
    <xf numFmtId="0" fontId="50" fillId="3" borderId="1" xfId="12" applyFont="1" applyFill="1" applyBorder="1" applyAlignment="1">
      <alignment vertical="top" wrapText="1"/>
    </xf>
    <xf numFmtId="1" fontId="48" fillId="44" borderId="1" xfId="12" applyNumberFormat="1" applyFont="1" applyFill="1" applyBorder="1" applyAlignment="1">
      <alignment vertical="top" shrinkToFit="1"/>
    </xf>
    <xf numFmtId="166" fontId="48" fillId="44" borderId="1" xfId="12" applyNumberFormat="1" applyFont="1" applyFill="1" applyBorder="1" applyAlignment="1">
      <alignment vertical="top" shrinkToFit="1"/>
    </xf>
    <xf numFmtId="0" fontId="50" fillId="44" borderId="1" xfId="12" applyFont="1" applyFill="1" applyBorder="1" applyAlignment="1">
      <alignment vertical="top" wrapText="1"/>
    </xf>
    <xf numFmtId="0" fontId="50" fillId="42" borderId="1" xfId="12" applyFont="1" applyFill="1" applyBorder="1" applyAlignment="1">
      <alignment vertical="top" wrapText="1"/>
    </xf>
    <xf numFmtId="166" fontId="48" fillId="42" borderId="1" xfId="12" applyNumberFormat="1" applyFont="1" applyFill="1" applyBorder="1" applyAlignment="1">
      <alignment vertical="top" shrinkToFit="1"/>
    </xf>
    <xf numFmtId="0" fontId="50" fillId="37" borderId="1" xfId="12" applyFont="1" applyFill="1" applyBorder="1" applyAlignment="1">
      <alignment vertical="top" wrapText="1"/>
    </xf>
    <xf numFmtId="1" fontId="50" fillId="3" borderId="1" xfId="12" applyNumberFormat="1" applyFont="1" applyFill="1" applyBorder="1" applyAlignment="1">
      <alignment vertical="top" wrapText="1"/>
    </xf>
    <xf numFmtId="1" fontId="0" fillId="3" borderId="1" xfId="0" applyNumberFormat="1" applyFill="1" applyBorder="1"/>
    <xf numFmtId="166" fontId="48" fillId="38" borderId="1" xfId="12" applyNumberFormat="1" applyFont="1" applyFill="1" applyBorder="1" applyAlignment="1">
      <alignment vertical="top" shrinkToFit="1"/>
    </xf>
    <xf numFmtId="0" fontId="50" fillId="38" borderId="1" xfId="12" applyFont="1" applyFill="1" applyBorder="1" applyAlignment="1">
      <alignment vertical="top" wrapText="1"/>
    </xf>
    <xf numFmtId="1" fontId="48" fillId="23" borderId="1" xfId="12" applyNumberFormat="1" applyFont="1" applyFill="1" applyBorder="1" applyAlignment="1">
      <alignment vertical="top" shrinkToFit="1"/>
    </xf>
    <xf numFmtId="166" fontId="48" fillId="23" borderId="1" xfId="12" applyNumberFormat="1" applyFont="1" applyFill="1" applyBorder="1" applyAlignment="1">
      <alignment vertical="top" shrinkToFit="1"/>
    </xf>
    <xf numFmtId="1" fontId="50" fillId="23" borderId="1" xfId="12" applyNumberFormat="1" applyFont="1" applyFill="1" applyBorder="1" applyAlignment="1">
      <alignment vertical="top" wrapText="1"/>
    </xf>
    <xf numFmtId="0" fontId="50" fillId="23" borderId="1" xfId="12" applyFont="1" applyFill="1" applyBorder="1" applyAlignment="1">
      <alignment vertical="top" wrapText="1"/>
    </xf>
    <xf numFmtId="1" fontId="50" fillId="2" borderId="1" xfId="12" applyNumberFormat="1" applyFont="1" applyFill="1" applyBorder="1" applyAlignment="1">
      <alignment vertical="top" wrapText="1"/>
    </xf>
    <xf numFmtId="166" fontId="48" fillId="30" borderId="1" xfId="12" applyNumberFormat="1" applyFont="1" applyFill="1" applyBorder="1" applyAlignment="1">
      <alignment vertical="top" shrinkToFit="1"/>
    </xf>
    <xf numFmtId="1" fontId="48" fillId="30" borderId="1" xfId="12" applyNumberFormat="1" applyFont="1" applyFill="1" applyBorder="1" applyAlignment="1">
      <alignment vertical="top" shrinkToFit="1"/>
    </xf>
    <xf numFmtId="0" fontId="50" fillId="30" borderId="1" xfId="12" applyFont="1" applyFill="1" applyBorder="1" applyAlignment="1">
      <alignment vertical="top" wrapText="1"/>
    </xf>
    <xf numFmtId="1" fontId="50" fillId="30" borderId="1" xfId="12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9" fillId="17" borderId="1" xfId="12" applyFont="1" applyFill="1" applyBorder="1" applyAlignment="1">
      <alignment horizontal="left" vertical="top" wrapText="1"/>
    </xf>
    <xf numFmtId="0" fontId="39" fillId="9" borderId="1" xfId="12" applyFont="1" applyFill="1" applyBorder="1" applyAlignment="1">
      <alignment horizontal="left" vertical="top" wrapText="1"/>
    </xf>
    <xf numFmtId="0" fontId="41" fillId="42" borderId="1" xfId="0" applyFont="1" applyFill="1" applyBorder="1" applyAlignment="1">
      <alignment horizontal="left"/>
    </xf>
    <xf numFmtId="0" fontId="47" fillId="34" borderId="1" xfId="13" applyFont="1" applyFill="1" applyBorder="1" applyAlignment="1">
      <alignment horizontal="left" vertical="top" wrapText="1"/>
    </xf>
    <xf numFmtId="0" fontId="39" fillId="46" borderId="1" xfId="0" applyFont="1" applyFill="1" applyBorder="1" applyAlignment="1">
      <alignment horizontal="left" vertical="center" wrapText="1"/>
    </xf>
    <xf numFmtId="0" fontId="39" fillId="46" borderId="1" xfId="13" applyFont="1" applyFill="1" applyBorder="1" applyAlignment="1">
      <alignment horizontal="left" vertical="top" wrapText="1"/>
    </xf>
    <xf numFmtId="0" fontId="39" fillId="2" borderId="1" xfId="13" applyFont="1" applyFill="1" applyBorder="1" applyAlignment="1">
      <alignment horizontal="left" vertical="top" wrapText="1"/>
    </xf>
    <xf numFmtId="0" fontId="39" fillId="19" borderId="1" xfId="13" applyFont="1" applyFill="1" applyBorder="1" applyAlignment="1">
      <alignment horizontal="left" vertical="top" wrapText="1"/>
    </xf>
    <xf numFmtId="0" fontId="39" fillId="5" borderId="1" xfId="13" applyFont="1" applyFill="1" applyBorder="1" applyAlignment="1">
      <alignment horizontal="left" vertical="top" wrapText="1"/>
    </xf>
    <xf numFmtId="0" fontId="39" fillId="43" borderId="1" xfId="13" applyFont="1" applyFill="1" applyBorder="1" applyAlignment="1">
      <alignment horizontal="left" vertical="top" wrapText="1"/>
    </xf>
    <xf numFmtId="0" fontId="39" fillId="38" borderId="1" xfId="13" applyFont="1" applyFill="1" applyBorder="1" applyAlignment="1">
      <alignment horizontal="left" vertical="top" wrapText="1"/>
    </xf>
    <xf numFmtId="0" fontId="39" fillId="45" borderId="1" xfId="13" applyFont="1" applyFill="1" applyBorder="1" applyAlignment="1">
      <alignment horizontal="left" vertical="top" wrapText="1"/>
    </xf>
    <xf numFmtId="0" fontId="39" fillId="37" borderId="1" xfId="13" applyFont="1" applyFill="1" applyBorder="1" applyAlignment="1">
      <alignment horizontal="left" vertical="top" wrapText="1"/>
    </xf>
    <xf numFmtId="0" fontId="39" fillId="17" borderId="1" xfId="13" applyFont="1" applyFill="1" applyBorder="1" applyAlignment="1">
      <alignment horizontal="left" vertical="top" wrapText="1"/>
    </xf>
    <xf numFmtId="0" fontId="39" fillId="44" borderId="1" xfId="13" applyFont="1" applyFill="1" applyBorder="1" applyAlignment="1">
      <alignment horizontal="left" vertical="top" wrapText="1"/>
    </xf>
    <xf numFmtId="0" fontId="39" fillId="42" borderId="1" xfId="13" applyFont="1" applyFill="1" applyBorder="1" applyAlignment="1">
      <alignment horizontal="left" vertical="top" wrapText="1"/>
    </xf>
    <xf numFmtId="0" fontId="39" fillId="3" borderId="1" xfId="13" applyFont="1" applyFill="1" applyBorder="1" applyAlignment="1">
      <alignment horizontal="left" vertical="top" wrapText="1"/>
    </xf>
    <xf numFmtId="0" fontId="39" fillId="23" borderId="7" xfId="13" applyFont="1" applyFill="1" applyBorder="1" applyAlignment="1">
      <alignment horizontal="left" vertical="top" wrapText="1"/>
    </xf>
    <xf numFmtId="0" fontId="39" fillId="23" borderId="1" xfId="13" applyFont="1" applyFill="1" applyBorder="1" applyAlignment="1">
      <alignment horizontal="left" vertical="top" wrapText="1"/>
    </xf>
    <xf numFmtId="0" fontId="39" fillId="50" borderId="1" xfId="13" applyFont="1" applyFill="1" applyBorder="1" applyAlignment="1">
      <alignment horizontal="left" vertical="top" wrapText="1"/>
    </xf>
    <xf numFmtId="0" fontId="47" fillId="50" borderId="1" xfId="13" applyFont="1" applyFill="1" applyBorder="1" applyAlignment="1">
      <alignment horizontal="left" vertical="top" wrapText="1"/>
    </xf>
    <xf numFmtId="0" fontId="41" fillId="50" borderId="1" xfId="0" applyFont="1" applyFill="1" applyBorder="1" applyAlignment="1">
      <alignment horizontal="left"/>
    </xf>
    <xf numFmtId="0" fontId="47" fillId="38" borderId="1" xfId="13" applyFont="1" applyFill="1" applyBorder="1" applyAlignment="1">
      <alignment horizontal="left" vertical="top" wrapText="1"/>
    </xf>
    <xf numFmtId="0" fontId="47" fillId="2" borderId="1" xfId="13" applyFont="1" applyFill="1" applyBorder="1" applyAlignment="1">
      <alignment horizontal="left" vertical="top" wrapText="1"/>
    </xf>
    <xf numFmtId="0" fontId="41" fillId="2" borderId="1" xfId="0" applyFont="1" applyFill="1" applyBorder="1" applyAlignment="1">
      <alignment horizontal="left"/>
    </xf>
    <xf numFmtId="0" fontId="39" fillId="30" borderId="1" xfId="13" applyFont="1" applyFill="1" applyBorder="1" applyAlignment="1">
      <alignment horizontal="left" vertical="top" wrapText="1"/>
    </xf>
    <xf numFmtId="0" fontId="47" fillId="19" borderId="1" xfId="12" applyFont="1" applyFill="1" applyBorder="1" applyAlignment="1">
      <alignment horizontal="left" vertical="top" wrapText="1"/>
    </xf>
    <xf numFmtId="0" fontId="39" fillId="19" borderId="1" xfId="12" applyFont="1" applyFill="1" applyBorder="1" applyAlignment="1">
      <alignment horizontal="left" vertical="top" wrapText="1"/>
    </xf>
    <xf numFmtId="0" fontId="39" fillId="2" borderId="1" xfId="12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" fontId="6" fillId="5" borderId="1" xfId="0" applyNumberFormat="1" applyFont="1" applyFill="1" applyBorder="1" applyAlignment="1">
      <alignment horizontal="right" vertical="center"/>
    </xf>
    <xf numFmtId="1" fontId="0" fillId="5" borderId="1" xfId="0" applyNumberFormat="1" applyFill="1" applyBorder="1"/>
    <xf numFmtId="1" fontId="0" fillId="18" borderId="1" xfId="0" applyNumberFormat="1" applyFill="1" applyBorder="1"/>
    <xf numFmtId="1" fontId="0" fillId="18" borderId="0" xfId="0" applyNumberFormat="1" applyFill="1"/>
    <xf numFmtId="1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/>
    <xf numFmtId="1" fontId="6" fillId="18" borderId="1" xfId="7" quotePrefix="1" applyNumberFormat="1" applyFont="1" applyFill="1" applyBorder="1" applyAlignment="1">
      <alignment horizontal="right" vertical="center"/>
    </xf>
    <xf numFmtId="1" fontId="6" fillId="18" borderId="1" xfId="1" applyNumberFormat="1" applyFont="1" applyFill="1" applyBorder="1" applyAlignment="1">
      <alignment horizontal="center"/>
    </xf>
    <xf numFmtId="1" fontId="6" fillId="5" borderId="1" xfId="2" applyNumberFormat="1" applyFont="1" applyFill="1" applyBorder="1"/>
    <xf numFmtId="1" fontId="6" fillId="5" borderId="1" xfId="4" applyNumberFormat="1" applyFill="1" applyBorder="1" applyAlignment="1">
      <alignment horizontal="right" vertical="center"/>
    </xf>
    <xf numFmtId="1" fontId="6" fillId="18" borderId="1" xfId="5" applyNumberFormat="1" applyFont="1" applyFill="1" applyBorder="1"/>
    <xf numFmtId="1" fontId="6" fillId="18" borderId="1" xfId="6" applyNumberFormat="1" applyFont="1" applyFill="1" applyBorder="1" applyAlignment="1">
      <alignment horizontal="center"/>
    </xf>
    <xf numFmtId="1" fontId="6" fillId="5" borderId="1" xfId="4" applyNumberFormat="1" applyFill="1" applyBorder="1" applyAlignment="1">
      <alignment horizontal="center" vertical="center"/>
    </xf>
    <xf numFmtId="1" fontId="6" fillId="5" borderId="1" xfId="8" applyNumberFormat="1" applyFont="1" applyFill="1" applyBorder="1"/>
    <xf numFmtId="1" fontId="6" fillId="18" borderId="1" xfId="7" quotePrefix="1" applyNumberFormat="1" applyFont="1" applyFill="1" applyBorder="1" applyAlignment="1">
      <alignment horizontal="center" vertical="center"/>
    </xf>
    <xf numFmtId="1" fontId="6" fillId="18" borderId="1" xfId="8" applyNumberFormat="1" applyFont="1" applyFill="1" applyBorder="1"/>
    <xf numFmtId="1" fontId="2" fillId="25" borderId="1" xfId="0" applyNumberFormat="1" applyFont="1" applyFill="1" applyBorder="1"/>
    <xf numFmtId="1" fontId="6" fillId="5" borderId="4" xfId="4" applyNumberFormat="1" applyFill="1" applyBorder="1" applyAlignment="1">
      <alignment horizontal="right" vertical="center"/>
    </xf>
    <xf numFmtId="1" fontId="0" fillId="5" borderId="4" xfId="0" applyNumberFormat="1" applyFill="1" applyBorder="1"/>
    <xf numFmtId="1" fontId="6" fillId="18" borderId="1" xfId="1" applyNumberFormat="1" applyFont="1" applyFill="1" applyBorder="1"/>
    <xf numFmtId="1" fontId="6" fillId="5" borderId="1" xfId="4" applyNumberFormat="1" applyFill="1" applyBorder="1"/>
    <xf numFmtId="1" fontId="0" fillId="0" borderId="0" xfId="0" applyNumberFormat="1"/>
    <xf numFmtId="1" fontId="6" fillId="5" borderId="7" xfId="0" applyNumberFormat="1" applyFont="1" applyFill="1" applyBorder="1" applyAlignment="1">
      <alignment horizontal="right" vertical="center"/>
    </xf>
    <xf numFmtId="1" fontId="6" fillId="5" borderId="7" xfId="1" applyNumberFormat="1" applyFont="1" applyFill="1" applyBorder="1"/>
    <xf numFmtId="1" fontId="0" fillId="5" borderId="7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20" fillId="18" borderId="1" xfId="7" quotePrefix="1" applyNumberFormat="1" applyFont="1" applyFill="1" applyBorder="1" applyAlignment="1">
      <alignment horizontal="center" vertical="center"/>
    </xf>
    <xf numFmtId="1" fontId="20" fillId="18" borderId="1" xfId="1" applyNumberFormat="1" applyFont="1" applyFill="1" applyBorder="1" applyAlignment="1">
      <alignment horizontal="center"/>
    </xf>
    <xf numFmtId="1" fontId="18" fillId="18" borderId="1" xfId="0" applyNumberFormat="1" applyFont="1" applyFill="1" applyBorder="1" applyAlignment="1">
      <alignment horizontal="center"/>
    </xf>
    <xf numFmtId="1" fontId="18" fillId="18" borderId="1" xfId="0" applyNumberFormat="1" applyFont="1" applyFill="1" applyBorder="1" applyAlignment="1">
      <alignment horizontal="center" vertical="center"/>
    </xf>
    <xf numFmtId="3" fontId="41" fillId="0" borderId="5" xfId="0" applyNumberFormat="1" applyFont="1" applyBorder="1"/>
    <xf numFmtId="1" fontId="43" fillId="29" borderId="1" xfId="0" applyNumberFormat="1" applyFont="1" applyFill="1" applyBorder="1" applyAlignment="1">
      <alignment horizontal="right" vertical="center" wrapText="1"/>
    </xf>
    <xf numFmtId="1" fontId="41" fillId="29" borderId="1" xfId="0" applyNumberFormat="1" applyFont="1" applyFill="1" applyBorder="1" applyAlignment="1">
      <alignment horizontal="right"/>
    </xf>
    <xf numFmtId="1" fontId="43" fillId="17" borderId="1" xfId="0" applyNumberFormat="1" applyFont="1" applyFill="1" applyBorder="1" applyAlignment="1">
      <alignment horizontal="right" vertical="center" wrapText="1"/>
    </xf>
    <xf numFmtId="1" fontId="41" fillId="17" borderId="1" xfId="0" applyNumberFormat="1" applyFont="1" applyFill="1" applyBorder="1" applyAlignment="1">
      <alignment horizontal="right"/>
    </xf>
    <xf numFmtId="1" fontId="43" fillId="17" borderId="9" xfId="0" applyNumberFormat="1" applyFont="1" applyFill="1" applyBorder="1" applyAlignment="1">
      <alignment horizontal="right" vertical="center" wrapText="1"/>
    </xf>
    <xf numFmtId="1" fontId="43" fillId="28" borderId="1" xfId="0" applyNumberFormat="1" applyFont="1" applyFill="1" applyBorder="1" applyAlignment="1">
      <alignment horizontal="right" vertical="center" wrapText="1"/>
    </xf>
    <xf numFmtId="1" fontId="43" fillId="28" borderId="9" xfId="0" applyNumberFormat="1" applyFont="1" applyFill="1" applyBorder="1" applyAlignment="1">
      <alignment horizontal="right" vertical="center" wrapText="1"/>
    </xf>
    <xf numFmtId="1" fontId="43" fillId="9" borderId="1" xfId="0" applyNumberFormat="1" applyFont="1" applyFill="1" applyBorder="1" applyAlignment="1">
      <alignment horizontal="right" vertical="center" wrapText="1"/>
    </xf>
    <xf numFmtId="1" fontId="43" fillId="30" borderId="1" xfId="0" applyNumberFormat="1" applyFont="1" applyFill="1" applyBorder="1" applyAlignment="1">
      <alignment horizontal="right" vertical="center" wrapText="1"/>
    </xf>
    <xf numFmtId="1" fontId="43" fillId="30" borderId="9" xfId="0" applyNumberFormat="1" applyFont="1" applyFill="1" applyBorder="1" applyAlignment="1">
      <alignment horizontal="right" vertical="center" wrapText="1"/>
    </xf>
    <xf numFmtId="1" fontId="43" fillId="32" borderId="1" xfId="0" applyNumberFormat="1" applyFont="1" applyFill="1" applyBorder="1" applyAlignment="1">
      <alignment horizontal="right" vertical="center" wrapText="1"/>
    </xf>
    <xf numFmtId="1" fontId="43" fillId="32" borderId="4" xfId="0" applyNumberFormat="1" applyFont="1" applyFill="1" applyBorder="1" applyAlignment="1">
      <alignment horizontal="right" vertical="center" wrapText="1"/>
    </xf>
    <xf numFmtId="1" fontId="43" fillId="33" borderId="1" xfId="0" applyNumberFormat="1" applyFont="1" applyFill="1" applyBorder="1" applyAlignment="1">
      <alignment horizontal="right" vertical="center" wrapText="1"/>
    </xf>
    <xf numFmtId="1" fontId="43" fillId="22" borderId="1" xfId="0" applyNumberFormat="1" applyFont="1" applyFill="1" applyBorder="1" applyAlignment="1">
      <alignment horizontal="right" vertical="center" wrapText="1"/>
    </xf>
    <xf numFmtId="1" fontId="41" fillId="26" borderId="1" xfId="0" applyNumberFormat="1" applyFont="1" applyFill="1" applyBorder="1" applyAlignment="1">
      <alignment horizontal="right"/>
    </xf>
    <xf numFmtId="1" fontId="51" fillId="26" borderId="1" xfId="0" applyNumberFormat="1" applyFont="1" applyFill="1" applyBorder="1" applyAlignment="1">
      <alignment horizontal="right"/>
    </xf>
    <xf numFmtId="1" fontId="41" fillId="27" borderId="1" xfId="0" applyNumberFormat="1" applyFont="1" applyFill="1" applyBorder="1" applyAlignment="1">
      <alignment horizontal="right"/>
    </xf>
    <xf numFmtId="1" fontId="41" fillId="28" borderId="1" xfId="0" applyNumberFormat="1" applyFont="1" applyFill="1" applyBorder="1" applyAlignment="1">
      <alignment horizontal="right"/>
    </xf>
    <xf numFmtId="1" fontId="41" fillId="28" borderId="9" xfId="0" applyNumberFormat="1" applyFont="1" applyFill="1" applyBorder="1" applyAlignment="1">
      <alignment horizontal="right"/>
    </xf>
    <xf numFmtId="1" fontId="41" fillId="17" borderId="9" xfId="0" applyNumberFormat="1" applyFont="1" applyFill="1" applyBorder="1" applyAlignment="1">
      <alignment horizontal="right"/>
    </xf>
    <xf numFmtId="1" fontId="41" fillId="28" borderId="9" xfId="0" applyNumberFormat="1" applyFont="1" applyFill="1" applyBorder="1" applyAlignment="1">
      <alignment horizontal="right" wrapText="1"/>
    </xf>
    <xf numFmtId="1" fontId="41" fillId="9" borderId="4" xfId="0" applyNumberFormat="1" applyFont="1" applyFill="1" applyBorder="1" applyAlignment="1">
      <alignment horizontal="right"/>
    </xf>
    <xf numFmtId="1" fontId="41" fillId="9" borderId="1" xfId="0" applyNumberFormat="1" applyFont="1" applyFill="1" applyBorder="1" applyAlignment="1">
      <alignment horizontal="right"/>
    </xf>
    <xf numFmtId="1" fontId="41" fillId="30" borderId="1" xfId="0" applyNumberFormat="1" applyFont="1" applyFill="1" applyBorder="1" applyAlignment="1">
      <alignment horizontal="right"/>
    </xf>
    <xf numFmtId="1" fontId="41" fillId="30" borderId="9" xfId="0" applyNumberFormat="1" applyFont="1" applyFill="1" applyBorder="1" applyAlignment="1">
      <alignment horizontal="right"/>
    </xf>
    <xf numFmtId="1" fontId="43" fillId="31" borderId="1" xfId="0" applyNumberFormat="1" applyFont="1" applyFill="1" applyBorder="1" applyAlignment="1">
      <alignment horizontal="right" vertical="center" wrapText="1"/>
    </xf>
    <xf numFmtId="1" fontId="41" fillId="31" borderId="1" xfId="0" applyNumberFormat="1" applyFont="1" applyFill="1" applyBorder="1" applyAlignment="1">
      <alignment horizontal="right"/>
    </xf>
    <xf numFmtId="1" fontId="43" fillId="31" borderId="9" xfId="0" applyNumberFormat="1" applyFont="1" applyFill="1" applyBorder="1" applyAlignment="1">
      <alignment horizontal="right" vertical="center" wrapText="1"/>
    </xf>
    <xf numFmtId="1" fontId="41" fillId="31" borderId="9" xfId="0" applyNumberFormat="1" applyFont="1" applyFill="1" applyBorder="1" applyAlignment="1">
      <alignment horizontal="right"/>
    </xf>
    <xf numFmtId="1" fontId="41" fillId="32" borderId="1" xfId="0" applyNumberFormat="1" applyFont="1" applyFill="1" applyBorder="1" applyAlignment="1">
      <alignment horizontal="right"/>
    </xf>
    <xf numFmtId="1" fontId="41" fillId="33" borderId="1" xfId="0" applyNumberFormat="1" applyFont="1" applyFill="1" applyBorder="1" applyAlignment="1">
      <alignment horizontal="right"/>
    </xf>
    <xf numFmtId="1" fontId="41" fillId="33" borderId="1" xfId="0" applyNumberFormat="1" applyFont="1" applyFill="1" applyBorder="1" applyAlignment="1">
      <alignment horizontal="right" wrapText="1"/>
    </xf>
    <xf numFmtId="1" fontId="41" fillId="33" borderId="9" xfId="0" applyNumberFormat="1" applyFont="1" applyFill="1" applyBorder="1" applyAlignment="1">
      <alignment horizontal="right"/>
    </xf>
    <xf numFmtId="1" fontId="41" fillId="22" borderId="1" xfId="0" applyNumberFormat="1" applyFont="1" applyFill="1" applyBorder="1" applyAlignment="1">
      <alignment horizontal="right"/>
    </xf>
    <xf numFmtId="1" fontId="41" fillId="22" borderId="1" xfId="0" applyNumberFormat="1" applyFont="1" applyFill="1" applyBorder="1" applyAlignment="1">
      <alignment horizontal="right" wrapText="1"/>
    </xf>
    <xf numFmtId="1" fontId="43" fillId="26" borderId="1" xfId="0" applyNumberFormat="1" applyFont="1" applyFill="1" applyBorder="1" applyAlignment="1">
      <alignment horizontal="right" vertical="center" wrapText="1"/>
    </xf>
    <xf numFmtId="1" fontId="41" fillId="21" borderId="1" xfId="0" applyNumberFormat="1" applyFont="1" applyFill="1" applyBorder="1" applyAlignment="1">
      <alignment horizontal="right" vertical="center"/>
    </xf>
    <xf numFmtId="1" fontId="41" fillId="34" borderId="1" xfId="0" applyNumberFormat="1" applyFont="1" applyFill="1" applyBorder="1" applyAlignment="1">
      <alignment horizontal="right"/>
    </xf>
    <xf numFmtId="1" fontId="41" fillId="35" borderId="1" xfId="0" applyNumberFormat="1" applyFont="1" applyFill="1" applyBorder="1" applyAlignment="1">
      <alignment horizontal="right"/>
    </xf>
    <xf numFmtId="1" fontId="41" fillId="36" borderId="1" xfId="0" applyNumberFormat="1" applyFont="1" applyFill="1" applyBorder="1" applyAlignment="1">
      <alignment horizontal="right"/>
    </xf>
    <xf numFmtId="1" fontId="41" fillId="37" borderId="1" xfId="0" applyNumberFormat="1" applyFont="1" applyFill="1" applyBorder="1" applyAlignment="1">
      <alignment horizontal="right"/>
    </xf>
    <xf numFmtId="1" fontId="41" fillId="38" borderId="1" xfId="0" applyNumberFormat="1" applyFont="1" applyFill="1" applyBorder="1" applyAlignment="1">
      <alignment horizontal="right"/>
    </xf>
    <xf numFmtId="1" fontId="41" fillId="12" borderId="1" xfId="0" applyNumberFormat="1" applyFont="1" applyFill="1" applyBorder="1" applyAlignment="1">
      <alignment horizontal="right"/>
    </xf>
    <xf numFmtId="1" fontId="41" fillId="39" borderId="1" xfId="0" applyNumberFormat="1" applyFont="1" applyFill="1" applyBorder="1" applyAlignment="1">
      <alignment horizontal="right"/>
    </xf>
    <xf numFmtId="1" fontId="41" fillId="11" borderId="1" xfId="0" applyNumberFormat="1" applyFont="1" applyFill="1" applyBorder="1" applyAlignment="1">
      <alignment horizontal="right"/>
    </xf>
    <xf numFmtId="1" fontId="41" fillId="31" borderId="1" xfId="0" applyNumberFormat="1" applyFont="1" applyFill="1" applyBorder="1" applyAlignment="1">
      <alignment horizontal="right" wrapText="1"/>
    </xf>
    <xf numFmtId="1" fontId="41" fillId="28" borderId="1" xfId="0" applyNumberFormat="1" applyFont="1" applyFill="1" applyBorder="1" applyAlignment="1">
      <alignment horizontal="right" wrapText="1"/>
    </xf>
    <xf numFmtId="0" fontId="52" fillId="21" borderId="1" xfId="0" applyFont="1" applyFill="1" applyBorder="1" applyAlignment="1">
      <alignment horizontal="left" vertical="center"/>
    </xf>
    <xf numFmtId="3" fontId="41" fillId="38" borderId="1" xfId="0" applyNumberFormat="1" applyFont="1" applyFill="1" applyBorder="1" applyAlignment="1">
      <alignment horizontal="center" vertical="center"/>
    </xf>
    <xf numFmtId="0" fontId="41" fillId="38" borderId="1" xfId="0" applyFont="1" applyFill="1" applyBorder="1" applyAlignment="1">
      <alignment horizontal="center" vertical="center"/>
    </xf>
    <xf numFmtId="1" fontId="48" fillId="50" borderId="1" xfId="12" applyNumberFormat="1" applyFont="1" applyFill="1" applyBorder="1" applyAlignment="1">
      <alignment horizontal="right" vertical="top" shrinkToFit="1"/>
    </xf>
    <xf numFmtId="0" fontId="47" fillId="9" borderId="7" xfId="12" applyFont="1" applyFill="1" applyBorder="1" applyAlignment="1">
      <alignment horizontal="left" vertical="top" wrapText="1"/>
    </xf>
    <xf numFmtId="1" fontId="2" fillId="0" borderId="0" xfId="0" applyNumberFormat="1" applyFont="1" applyAlignment="1">
      <alignment horizontal="center" vertical="center"/>
    </xf>
    <xf numFmtId="1" fontId="0" fillId="0" borderId="1" xfId="0" applyNumberFormat="1" applyBorder="1"/>
    <xf numFmtId="0" fontId="52" fillId="38" borderId="1" xfId="0" applyFont="1" applyFill="1" applyBorder="1" applyAlignment="1">
      <alignment horizontal="left" vertical="center"/>
    </xf>
    <xf numFmtId="0" fontId="40" fillId="42" borderId="1" xfId="0" applyFont="1" applyFill="1" applyBorder="1" applyAlignment="1">
      <alignment vertical="top" wrapText="1"/>
    </xf>
    <xf numFmtId="0" fontId="40" fillId="19" borderId="1" xfId="12" applyFont="1" applyFill="1" applyBorder="1" applyAlignment="1">
      <alignment vertical="top" wrapText="1"/>
    </xf>
    <xf numFmtId="0" fontId="40" fillId="37" borderId="1" xfId="12" applyFont="1" applyFill="1" applyBorder="1" applyAlignment="1">
      <alignment vertical="top" wrapText="1"/>
    </xf>
    <xf numFmtId="0" fontId="40" fillId="45" borderId="1" xfId="12" applyFont="1" applyFill="1" applyBorder="1" applyAlignment="1">
      <alignment vertical="top" wrapText="1"/>
    </xf>
    <xf numFmtId="0" fontId="40" fillId="7" borderId="1" xfId="0" applyFont="1" applyFill="1" applyBorder="1" applyAlignment="1">
      <alignment vertical="top" wrapText="1"/>
    </xf>
    <xf numFmtId="0" fontId="47" fillId="19" borderId="7" xfId="13" applyFont="1" applyFill="1" applyBorder="1" applyAlignment="1">
      <alignment horizontal="left" vertical="top" wrapText="1"/>
    </xf>
    <xf numFmtId="0" fontId="47" fillId="19" borderId="1" xfId="13" applyFont="1" applyFill="1" applyBorder="1" applyAlignment="1">
      <alignment horizontal="left" vertical="top" wrapText="1"/>
    </xf>
    <xf numFmtId="0" fontId="47" fillId="5" borderId="1" xfId="13" applyFont="1" applyFill="1" applyBorder="1" applyAlignment="1">
      <alignment horizontal="left" vertical="top" wrapText="1"/>
    </xf>
    <xf numFmtId="0" fontId="47" fillId="45" borderId="1" xfId="13" applyFont="1" applyFill="1" applyBorder="1" applyAlignment="1">
      <alignment horizontal="left" vertical="top" wrapText="1"/>
    </xf>
    <xf numFmtId="0" fontId="47" fillId="44" borderId="1" xfId="13" applyFont="1" applyFill="1" applyBorder="1" applyAlignment="1">
      <alignment horizontal="left" vertical="top" wrapText="1"/>
    </xf>
    <xf numFmtId="0" fontId="47" fillId="42" borderId="1" xfId="13" applyFont="1" applyFill="1" applyBorder="1" applyAlignment="1">
      <alignment horizontal="left" vertical="top" wrapText="1"/>
    </xf>
    <xf numFmtId="0" fontId="47" fillId="37" borderId="1" xfId="13" applyFont="1" applyFill="1" applyBorder="1" applyAlignment="1">
      <alignment horizontal="left" vertical="top" wrapText="1"/>
    </xf>
    <xf numFmtId="0" fontId="47" fillId="3" borderId="7" xfId="13" applyFont="1" applyFill="1" applyBorder="1" applyAlignment="1">
      <alignment horizontal="left" vertical="top" wrapText="1"/>
    </xf>
    <xf numFmtId="0" fontId="47" fillId="3" borderId="1" xfId="13" applyFont="1" applyFill="1" applyBorder="1" applyAlignment="1">
      <alignment horizontal="left" vertical="top" wrapText="1"/>
    </xf>
    <xf numFmtId="0" fontId="47" fillId="2" borderId="1" xfId="12" applyFont="1" applyFill="1" applyBorder="1" applyAlignment="1">
      <alignment horizontal="left" vertical="top" wrapText="1"/>
    </xf>
    <xf numFmtId="1" fontId="0" fillId="26" borderId="1" xfId="0" applyNumberFormat="1" applyFill="1" applyBorder="1"/>
    <xf numFmtId="1" fontId="0" fillId="28" borderId="1" xfId="0" applyNumberFormat="1" applyFill="1" applyBorder="1"/>
    <xf numFmtId="0" fontId="0" fillId="31" borderId="1" xfId="0" applyFill="1" applyBorder="1"/>
    <xf numFmtId="1" fontId="0" fillId="31" borderId="1" xfId="0" applyNumberFormat="1" applyFill="1" applyBorder="1"/>
    <xf numFmtId="0" fontId="0" fillId="31" borderId="9" xfId="0" applyFill="1" applyBorder="1"/>
    <xf numFmtId="0" fontId="54" fillId="17" borderId="1" xfId="0" applyFont="1" applyFill="1" applyBorder="1" applyAlignment="1">
      <alignment vertical="center" wrapText="1"/>
    </xf>
    <xf numFmtId="1" fontId="32" fillId="17" borderId="1" xfId="0" applyNumberFormat="1" applyFont="1" applyFill="1" applyBorder="1"/>
    <xf numFmtId="0" fontId="54" fillId="17" borderId="7" xfId="0" applyFont="1" applyFill="1" applyBorder="1" applyAlignment="1">
      <alignment vertical="center" wrapText="1"/>
    </xf>
    <xf numFmtId="0" fontId="22" fillId="38" borderId="1" xfId="0" applyFont="1" applyFill="1" applyBorder="1" applyAlignment="1">
      <alignment vertical="center" wrapText="1"/>
    </xf>
    <xf numFmtId="1" fontId="32" fillId="38" borderId="1" xfId="0" applyNumberFormat="1" applyFont="1" applyFill="1" applyBorder="1"/>
    <xf numFmtId="0" fontId="22" fillId="2" borderId="7" xfId="0" applyFont="1" applyFill="1" applyBorder="1" applyAlignment="1">
      <alignment vertical="center" wrapText="1"/>
    </xf>
    <xf numFmtId="1" fontId="32" fillId="2" borderId="1" xfId="0" applyNumberFormat="1" applyFont="1" applyFill="1" applyBorder="1"/>
    <xf numFmtId="1" fontId="0" fillId="2" borderId="1" xfId="0" applyNumberFormat="1" applyFill="1" applyBorder="1"/>
    <xf numFmtId="0" fontId="22" fillId="2" borderId="1" xfId="0" applyFont="1" applyFill="1" applyBorder="1" applyAlignment="1">
      <alignment horizontal="justify" vertical="center" wrapText="1"/>
    </xf>
    <xf numFmtId="1" fontId="32" fillId="33" borderId="1" xfId="0" applyNumberFormat="1" applyFont="1" applyFill="1" applyBorder="1"/>
    <xf numFmtId="1" fontId="0" fillId="33" borderId="1" xfId="0" applyNumberFormat="1" applyFill="1" applyBorder="1"/>
    <xf numFmtId="0" fontId="22" fillId="22" borderId="7" xfId="0" applyFont="1" applyFill="1" applyBorder="1" applyAlignment="1">
      <alignment vertical="center" wrapText="1"/>
    </xf>
    <xf numFmtId="1" fontId="32" fillId="22" borderId="1" xfId="0" applyNumberFormat="1" applyFont="1" applyFill="1" applyBorder="1"/>
    <xf numFmtId="1" fontId="0" fillId="22" borderId="1" xfId="0" applyNumberFormat="1" applyFill="1" applyBorder="1"/>
    <xf numFmtId="0" fontId="22" fillId="22" borderId="9" xfId="0" applyFont="1" applyFill="1" applyBorder="1" applyAlignment="1">
      <alignment vertical="center" wrapText="1"/>
    </xf>
    <xf numFmtId="0" fontId="22" fillId="35" borderId="1" xfId="0" applyFont="1" applyFill="1" applyBorder="1" applyAlignment="1">
      <alignment vertical="center" wrapText="1"/>
    </xf>
    <xf numFmtId="1" fontId="32" fillId="35" borderId="1" xfId="0" applyNumberFormat="1" applyFont="1" applyFill="1" applyBorder="1"/>
    <xf numFmtId="1" fontId="0" fillId="35" borderId="1" xfId="0" applyNumberFormat="1" applyFill="1" applyBorder="1"/>
    <xf numFmtId="0" fontId="22" fillId="7" borderId="1" xfId="0" applyFont="1" applyFill="1" applyBorder="1" applyAlignment="1">
      <alignment vertical="center" wrapText="1"/>
    </xf>
    <xf numFmtId="1" fontId="0" fillId="7" borderId="1" xfId="0" applyNumberFormat="1" applyFill="1" applyBorder="1"/>
    <xf numFmtId="1" fontId="32" fillId="7" borderId="1" xfId="0" applyNumberFormat="1" applyFont="1" applyFill="1" applyBorder="1"/>
    <xf numFmtId="0" fontId="22" fillId="41" borderId="7" xfId="0" applyFont="1" applyFill="1" applyBorder="1" applyAlignment="1">
      <alignment vertical="center" wrapText="1"/>
    </xf>
    <xf numFmtId="1" fontId="0" fillId="41" borderId="1" xfId="0" applyNumberFormat="1" applyFill="1" applyBorder="1"/>
    <xf numFmtId="0" fontId="22" fillId="49" borderId="1" xfId="0" applyFont="1" applyFill="1" applyBorder="1" applyAlignment="1">
      <alignment vertical="center" wrapText="1"/>
    </xf>
    <xf numFmtId="1" fontId="0" fillId="49" borderId="1" xfId="0" applyNumberFormat="1" applyFill="1" applyBorder="1"/>
    <xf numFmtId="0" fontId="21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2" fillId="2" borderId="7" xfId="0" applyFont="1" applyFill="1" applyBorder="1" applyAlignment="1">
      <alignment horizontal="left" vertical="center" wrapText="1"/>
    </xf>
    <xf numFmtId="0" fontId="0" fillId="22" borderId="1" xfId="0" applyFill="1" applyBorder="1" applyAlignment="1">
      <alignment horizontal="left" vertical="center"/>
    </xf>
    <xf numFmtId="1" fontId="0" fillId="30" borderId="1" xfId="0" applyNumberFormat="1" applyFill="1" applyBorder="1"/>
    <xf numFmtId="0" fontId="0" fillId="40" borderId="7" xfId="0" applyFill="1" applyBorder="1"/>
    <xf numFmtId="1" fontId="0" fillId="40" borderId="1" xfId="0" applyNumberFormat="1" applyFill="1" applyBorder="1"/>
    <xf numFmtId="0" fontId="0" fillId="40" borderId="1" xfId="0" applyFill="1" applyBorder="1"/>
    <xf numFmtId="1" fontId="0" fillId="17" borderId="1" xfId="0" applyNumberFormat="1" applyFill="1" applyBorder="1"/>
    <xf numFmtId="0" fontId="0" fillId="51" borderId="1" xfId="0" applyFill="1" applyBorder="1"/>
    <xf numFmtId="1" fontId="0" fillId="51" borderId="1" xfId="0" applyNumberFormat="1" applyFill="1" applyBorder="1"/>
    <xf numFmtId="0" fontId="0" fillId="31" borderId="7" xfId="0" applyFill="1" applyBorder="1"/>
    <xf numFmtId="1" fontId="0" fillId="32" borderId="1" xfId="0" applyNumberFormat="1" applyFill="1" applyBorder="1"/>
    <xf numFmtId="0" fontId="0" fillId="28" borderId="7" xfId="0" applyFill="1" applyBorder="1"/>
    <xf numFmtId="1" fontId="0" fillId="27" borderId="1" xfId="0" applyNumberFormat="1" applyFill="1" applyBorder="1"/>
    <xf numFmtId="0" fontId="0" fillId="29" borderId="1" xfId="0" applyFill="1" applyBorder="1"/>
    <xf numFmtId="1" fontId="0" fillId="29" borderId="1" xfId="0" applyNumberFormat="1" applyFill="1" applyBorder="1"/>
    <xf numFmtId="1" fontId="6" fillId="6" borderId="1" xfId="4" applyNumberFormat="1" applyFill="1" applyBorder="1" applyAlignment="1">
      <alignment horizontal="right" vertical="center"/>
    </xf>
    <xf numFmtId="1" fontId="6" fillId="6" borderId="1" xfId="5" applyNumberFormat="1" applyFont="1" applyFill="1" applyBorder="1"/>
    <xf numFmtId="1" fontId="6" fillId="6" borderId="1" xfId="6" applyNumberFormat="1" applyFont="1" applyFill="1" applyBorder="1"/>
    <xf numFmtId="1" fontId="0" fillId="6" borderId="1" xfId="0" applyNumberForma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</cellXfs>
  <cellStyles count="14">
    <cellStyle name="Bad" xfId="10" builtinId="27"/>
    <cellStyle name="Comma" xfId="1" builtinId="3"/>
    <cellStyle name="Comma [0]" xfId="2" builtinId="6"/>
    <cellStyle name="Comma 2 2" xfId="7" xr:uid="{82998609-3AED-4AA0-AAAA-866BAFC19049}"/>
    <cellStyle name="Comma 3" xfId="5" xr:uid="{DF6C56EB-816D-42F3-8E87-4012FF3430C5}"/>
    <cellStyle name="Comma 4" xfId="6" xr:uid="{8ABACCE6-6DA1-4701-9247-4FD1A1C0B68F}"/>
    <cellStyle name="Comma 5" xfId="8" xr:uid="{1690215F-8DE9-421B-B495-9EC2F5D45BE7}"/>
    <cellStyle name="Good" xfId="9" builtinId="26"/>
    <cellStyle name="Neutral" xfId="11" builtinId="28"/>
    <cellStyle name="Normal" xfId="0" builtinId="0"/>
    <cellStyle name="Normal 2" xfId="4" xr:uid="{A5E7C3FA-F94A-4599-9F72-530C5EA866E7}"/>
    <cellStyle name="Normal 3" xfId="3" xr:uid="{ED3812ED-CE5C-4AF1-B7F3-DC8CBDE4200B}"/>
    <cellStyle name="Normal 4" xfId="12" xr:uid="{B3E73CF0-D9AC-440A-947F-8B84D67E3FC7}"/>
    <cellStyle name="Normal 5" xfId="13" xr:uid="{4D78F990-9EFC-4C87-A9FD-BDE046FFAFA1}"/>
  </cellStyles>
  <dxfs count="0"/>
  <tableStyles count="0" defaultTableStyle="TableStyleMedium2" defaultPivotStyle="PivotStyleLight16"/>
  <colors>
    <mruColors>
      <color rgb="FFFF6699"/>
      <color rgb="FFFF66CC"/>
      <color rgb="FF9999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578934</xdr:colOff>
      <xdr:row>59</xdr:row>
      <xdr:rowOff>101787</xdr:rowOff>
    </xdr:from>
    <xdr:to>
      <xdr:col>4</xdr:col>
      <xdr:colOff>898151</xdr:colOff>
      <xdr:row>86</xdr:row>
      <xdr:rowOff>141659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8D2EA9-FCA7-9ACE-D2D5-069EEA16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34" y="10817412"/>
          <a:ext cx="5043617" cy="4926197"/>
        </a:xfrm>
        <a:prstGeom prst="rect">
          <a:avLst/>
        </a:prstGeom>
      </xdr:spPr>
    </xdr:pic>
    <xdr:clientData/>
  </xdr:twoCellAnchor>
  <xdr:twoCellAnchor editAs="oneCell">
    <xdr:from>
      <xdr:col>8</xdr:col>
      <xdr:colOff>258641</xdr:colOff>
      <xdr:row>10</xdr:row>
      <xdr:rowOff>86951</xdr:rowOff>
    </xdr:from>
    <xdr:to>
      <xdr:col>9</xdr:col>
      <xdr:colOff>1172948</xdr:colOff>
      <xdr:row>17</xdr:row>
      <xdr:rowOff>55871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D1EDB-2F76-7F79-49B0-7933722A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741" y="1934801"/>
          <a:ext cx="3244757" cy="1235745"/>
        </a:xfrm>
        <a:prstGeom prst="rect">
          <a:avLst/>
        </a:prstGeom>
      </xdr:spPr>
    </xdr:pic>
    <xdr:clientData/>
  </xdr:twoCellAnchor>
  <xdr:twoCellAnchor editAs="oneCell">
    <xdr:from>
      <xdr:col>6</xdr:col>
      <xdr:colOff>4628006</xdr:colOff>
      <xdr:row>58</xdr:row>
      <xdr:rowOff>39328</xdr:rowOff>
    </xdr:from>
    <xdr:to>
      <xdr:col>9</xdr:col>
      <xdr:colOff>30023</xdr:colOff>
      <xdr:row>65</xdr:row>
      <xdr:rowOff>126662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0E6D98-ADBC-3B07-DFF8-E4D8C88B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6149" y="10544042"/>
          <a:ext cx="2969403" cy="1319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214A-263A-4906-AF2F-4AF9DCE115B2}">
  <dimension ref="A1:L36"/>
  <sheetViews>
    <sheetView tabSelected="1" zoomScale="70" zoomScaleNormal="70" workbookViewId="0">
      <selection activeCell="J23" sqref="J23"/>
    </sheetView>
  </sheetViews>
  <sheetFormatPr defaultRowHeight="14.5" x14ac:dyDescent="0.35"/>
  <cols>
    <col min="1" max="1" width="6.90625" customWidth="1"/>
    <col min="2" max="2" width="14.453125" customWidth="1"/>
    <col min="3" max="3" width="19.26953125" customWidth="1"/>
    <col min="4" max="4" width="16" customWidth="1"/>
    <col min="5" max="5" width="14.54296875" customWidth="1"/>
    <col min="6" max="6" width="18.7265625" customWidth="1"/>
    <col min="7" max="7" width="28.36328125" customWidth="1"/>
    <col min="8" max="8" width="34.7265625" customWidth="1"/>
    <col min="9" max="9" width="27.90625" customWidth="1"/>
    <col min="10" max="10" width="23.453125" customWidth="1"/>
    <col min="11" max="11" width="18.81640625" customWidth="1"/>
    <col min="12" max="12" width="20.08984375" customWidth="1"/>
  </cols>
  <sheetData>
    <row r="1" spans="1:12" ht="51" customHeight="1" x14ac:dyDescent="0.35">
      <c r="A1" s="917" t="s">
        <v>0</v>
      </c>
      <c r="B1" s="918" t="s">
        <v>1</v>
      </c>
      <c r="C1" s="919" t="s">
        <v>37</v>
      </c>
      <c r="D1" s="919" t="s">
        <v>38</v>
      </c>
      <c r="E1" s="919" t="s">
        <v>39</v>
      </c>
      <c r="F1" s="920" t="s">
        <v>95</v>
      </c>
      <c r="G1" s="921" t="s">
        <v>1387</v>
      </c>
      <c r="H1" s="921" t="s">
        <v>100</v>
      </c>
      <c r="I1" s="921" t="s">
        <v>1388</v>
      </c>
      <c r="J1" s="921" t="s">
        <v>1389</v>
      </c>
      <c r="K1" s="921" t="s">
        <v>1390</v>
      </c>
      <c r="L1" s="921" t="s">
        <v>1391</v>
      </c>
    </row>
    <row r="2" spans="1:12" x14ac:dyDescent="0.35">
      <c r="A2" s="4">
        <v>1</v>
      </c>
      <c r="B2" s="5" t="s">
        <v>2</v>
      </c>
      <c r="C2" s="913">
        <v>101650.06</v>
      </c>
      <c r="D2" s="914">
        <v>683</v>
      </c>
      <c r="E2" s="915">
        <v>28015.087999999992</v>
      </c>
      <c r="F2" s="916">
        <v>128989</v>
      </c>
      <c r="G2" s="916">
        <v>101576</v>
      </c>
      <c r="H2" s="916"/>
      <c r="I2" s="916">
        <v>74</v>
      </c>
      <c r="J2" s="916">
        <v>32199</v>
      </c>
      <c r="K2" s="916">
        <v>41040</v>
      </c>
      <c r="L2" s="916">
        <v>28411</v>
      </c>
    </row>
    <row r="3" spans="1:12" x14ac:dyDescent="0.35">
      <c r="A3" s="4">
        <v>2</v>
      </c>
      <c r="B3" s="9" t="s">
        <v>3</v>
      </c>
      <c r="C3" s="913">
        <v>65639</v>
      </c>
      <c r="D3" s="914">
        <v>740</v>
      </c>
      <c r="E3" s="915">
        <v>19379.754463009329</v>
      </c>
      <c r="F3" s="916">
        <v>65423</v>
      </c>
      <c r="G3" s="916">
        <v>63243</v>
      </c>
      <c r="H3" s="916">
        <v>270</v>
      </c>
      <c r="I3" s="916">
        <v>2126</v>
      </c>
      <c r="J3" s="916">
        <v>34898</v>
      </c>
      <c r="K3" s="916">
        <v>26192</v>
      </c>
      <c r="L3" s="916">
        <v>4549</v>
      </c>
    </row>
    <row r="4" spans="1:12" x14ac:dyDescent="0.35">
      <c r="A4" s="4">
        <v>3</v>
      </c>
      <c r="B4" s="9" t="s">
        <v>4</v>
      </c>
      <c r="C4" s="913">
        <v>156997.70000000001</v>
      </c>
      <c r="D4" s="914">
        <v>816</v>
      </c>
      <c r="E4" s="915">
        <v>56675.0459282835</v>
      </c>
      <c r="F4" s="916">
        <v>119631</v>
      </c>
      <c r="G4" s="916">
        <v>155241</v>
      </c>
      <c r="H4" s="916"/>
      <c r="I4" s="916">
        <v>1757</v>
      </c>
      <c r="J4" s="916">
        <v>69520</v>
      </c>
      <c r="K4" s="916">
        <v>69467</v>
      </c>
      <c r="L4" s="916">
        <v>18010</v>
      </c>
    </row>
    <row r="5" spans="1:12" x14ac:dyDescent="0.35">
      <c r="A5" s="4">
        <v>4</v>
      </c>
      <c r="B5" s="9" t="s">
        <v>5</v>
      </c>
      <c r="C5" s="913">
        <v>7156.44</v>
      </c>
      <c r="D5" s="914">
        <v>695</v>
      </c>
      <c r="E5" s="915">
        <v>2952.4735033993293</v>
      </c>
      <c r="F5" s="916">
        <v>14075</v>
      </c>
      <c r="G5" s="916">
        <v>4407</v>
      </c>
      <c r="H5" s="916"/>
      <c r="I5" s="916">
        <v>2749</v>
      </c>
      <c r="J5" s="916">
        <v>1497</v>
      </c>
      <c r="K5" s="916">
        <v>4250</v>
      </c>
      <c r="L5" s="916">
        <v>1409</v>
      </c>
    </row>
    <row r="6" spans="1:12" x14ac:dyDescent="0.35">
      <c r="A6" s="4">
        <v>5</v>
      </c>
      <c r="B6" s="9" t="s">
        <v>6</v>
      </c>
      <c r="C6" s="913">
        <v>5</v>
      </c>
      <c r="D6" s="914">
        <v>333</v>
      </c>
      <c r="E6" s="915">
        <v>0.75344051462171702</v>
      </c>
      <c r="F6" s="916">
        <v>97</v>
      </c>
      <c r="G6" s="916">
        <v>5</v>
      </c>
      <c r="H6" s="916"/>
      <c r="I6" s="916"/>
      <c r="J6" s="916">
        <v>2</v>
      </c>
      <c r="K6" s="916">
        <v>2</v>
      </c>
      <c r="L6" s="916">
        <v>1</v>
      </c>
    </row>
    <row r="7" spans="1:12" x14ac:dyDescent="0.35">
      <c r="A7" s="4">
        <v>6</v>
      </c>
      <c r="B7" s="9" t="s">
        <v>7</v>
      </c>
      <c r="C7" s="913">
        <v>2220</v>
      </c>
      <c r="D7" s="914">
        <v>583</v>
      </c>
      <c r="E7" s="915">
        <v>485.96913193100744</v>
      </c>
      <c r="F7" s="916">
        <v>5751</v>
      </c>
      <c r="G7" s="916">
        <v>2220</v>
      </c>
      <c r="H7" s="916"/>
      <c r="I7" s="916"/>
      <c r="J7" s="916">
        <v>861</v>
      </c>
      <c r="K7" s="916">
        <v>833</v>
      </c>
      <c r="L7" s="916">
        <v>526</v>
      </c>
    </row>
    <row r="8" spans="1:12" x14ac:dyDescent="0.35">
      <c r="A8" s="4">
        <v>7</v>
      </c>
      <c r="B8" s="9" t="s">
        <v>8</v>
      </c>
      <c r="C8" s="913">
        <v>10454.69</v>
      </c>
      <c r="D8" s="914">
        <v>791</v>
      </c>
      <c r="E8" s="915">
        <v>3118.3245331060698</v>
      </c>
      <c r="F8" s="916">
        <v>12528</v>
      </c>
      <c r="G8" s="916">
        <v>10455</v>
      </c>
      <c r="H8" s="916"/>
      <c r="I8" s="916"/>
      <c r="J8" s="916">
        <v>5106</v>
      </c>
      <c r="K8" s="916">
        <v>3943</v>
      </c>
      <c r="L8" s="916">
        <v>1406</v>
      </c>
    </row>
    <row r="9" spans="1:12" x14ac:dyDescent="0.35">
      <c r="A9" s="4">
        <v>8</v>
      </c>
      <c r="B9" s="9" t="s">
        <v>9</v>
      </c>
      <c r="C9" s="913">
        <v>709.87999999999988</v>
      </c>
      <c r="D9" s="914">
        <v>477</v>
      </c>
      <c r="E9" s="915">
        <v>116.66678145065175</v>
      </c>
      <c r="F9" s="916">
        <v>648</v>
      </c>
      <c r="G9" s="916">
        <v>710</v>
      </c>
      <c r="H9" s="916"/>
      <c r="I9" s="916"/>
      <c r="J9" s="916">
        <v>331</v>
      </c>
      <c r="K9" s="916">
        <v>244</v>
      </c>
      <c r="L9" s="916">
        <v>135</v>
      </c>
    </row>
    <row r="10" spans="1:12" x14ac:dyDescent="0.35">
      <c r="A10" s="4">
        <v>9</v>
      </c>
      <c r="B10" s="9" t="s">
        <v>10</v>
      </c>
      <c r="C10" s="913">
        <v>13421.000000000002</v>
      </c>
      <c r="D10" s="914">
        <v>728</v>
      </c>
      <c r="E10" s="915">
        <v>4615.5765925726382</v>
      </c>
      <c r="F10" s="916">
        <v>20633</v>
      </c>
      <c r="G10" s="916">
        <v>13421</v>
      </c>
      <c r="H10" s="916"/>
      <c r="I10" s="916"/>
      <c r="J10" s="916">
        <v>3954</v>
      </c>
      <c r="K10" s="916">
        <v>6343</v>
      </c>
      <c r="L10" s="916">
        <v>3124</v>
      </c>
    </row>
    <row r="11" spans="1:12" x14ac:dyDescent="0.35">
      <c r="A11" s="4">
        <v>10</v>
      </c>
      <c r="B11" s="9" t="s">
        <v>11</v>
      </c>
      <c r="C11" s="913">
        <v>72032</v>
      </c>
      <c r="D11" s="914">
        <v>801</v>
      </c>
      <c r="E11" s="915">
        <v>34689.488110595688</v>
      </c>
      <c r="F11" s="916">
        <v>118331</v>
      </c>
      <c r="G11" s="916">
        <v>71404</v>
      </c>
      <c r="H11" s="916">
        <v>20</v>
      </c>
      <c r="I11" s="916">
        <v>608</v>
      </c>
      <c r="J11" s="916">
        <v>13984</v>
      </c>
      <c r="K11" s="916">
        <v>43287</v>
      </c>
      <c r="L11" s="916">
        <v>14761</v>
      </c>
    </row>
    <row r="12" spans="1:12" s="108" customFormat="1" x14ac:dyDescent="0.35">
      <c r="A12" s="102">
        <v>11</v>
      </c>
      <c r="B12" s="103" t="s">
        <v>12</v>
      </c>
      <c r="C12" s="771"/>
      <c r="D12" s="775"/>
      <c r="E12" s="776"/>
      <c r="F12" s="768"/>
      <c r="G12" s="768"/>
      <c r="H12" s="768"/>
      <c r="I12" s="768"/>
      <c r="J12" s="768"/>
      <c r="K12" s="768"/>
      <c r="L12" s="768"/>
    </row>
    <row r="13" spans="1:12" x14ac:dyDescent="0.35">
      <c r="A13" s="4">
        <v>12</v>
      </c>
      <c r="B13" s="9" t="s">
        <v>14</v>
      </c>
      <c r="C13" s="913">
        <v>9546.1299999999992</v>
      </c>
      <c r="D13" s="914">
        <v>514</v>
      </c>
      <c r="E13" s="915">
        <v>2509.1115574066789</v>
      </c>
      <c r="F13" s="916">
        <v>19371</v>
      </c>
      <c r="G13" s="916">
        <v>6391</v>
      </c>
      <c r="H13" s="916">
        <v>203</v>
      </c>
      <c r="I13" s="916">
        <v>2952</v>
      </c>
      <c r="J13" s="916">
        <v>2660</v>
      </c>
      <c r="K13" s="916">
        <v>4882</v>
      </c>
      <c r="L13" s="916">
        <v>2004</v>
      </c>
    </row>
    <row r="14" spans="1:12" x14ac:dyDescent="0.35">
      <c r="A14" s="4">
        <v>13</v>
      </c>
      <c r="B14" s="9" t="s">
        <v>15</v>
      </c>
      <c r="C14" s="913">
        <v>7582.3089999999993</v>
      </c>
      <c r="D14" s="914">
        <v>708</v>
      </c>
      <c r="E14" s="915">
        <v>2414.270937856912</v>
      </c>
      <c r="F14" s="916">
        <v>7393</v>
      </c>
      <c r="G14" s="916">
        <v>7139</v>
      </c>
      <c r="H14" s="916"/>
      <c r="I14" s="916">
        <v>443</v>
      </c>
      <c r="J14" s="916">
        <v>2521</v>
      </c>
      <c r="K14" s="916">
        <v>3412</v>
      </c>
      <c r="L14" s="916">
        <v>1649</v>
      </c>
    </row>
    <row r="15" spans="1:12" x14ac:dyDescent="0.35">
      <c r="A15" s="4">
        <v>14</v>
      </c>
      <c r="B15" s="9" t="s">
        <v>16</v>
      </c>
      <c r="C15" s="913">
        <v>7572.3810000000012</v>
      </c>
      <c r="D15" s="914">
        <v>604</v>
      </c>
      <c r="E15" s="915">
        <v>1924.5350729521847</v>
      </c>
      <c r="F15" s="916">
        <v>26381</v>
      </c>
      <c r="G15" s="916">
        <v>6582</v>
      </c>
      <c r="H15" s="916">
        <v>6</v>
      </c>
      <c r="I15" s="916">
        <v>985</v>
      </c>
      <c r="J15" s="916">
        <v>3315</v>
      </c>
      <c r="K15" s="916">
        <v>3188</v>
      </c>
      <c r="L15" s="916">
        <v>1069</v>
      </c>
    </row>
    <row r="16" spans="1:12" x14ac:dyDescent="0.35">
      <c r="A16" s="4">
        <v>15</v>
      </c>
      <c r="B16" s="9" t="s">
        <v>17</v>
      </c>
      <c r="C16" s="913">
        <v>5087.95</v>
      </c>
      <c r="D16" s="914">
        <v>406</v>
      </c>
      <c r="E16" s="915">
        <v>1038.625283811183</v>
      </c>
      <c r="F16" s="916">
        <v>27864</v>
      </c>
      <c r="G16" s="916">
        <v>5088</v>
      </c>
      <c r="H16" s="916"/>
      <c r="I16" s="916"/>
      <c r="J16" s="916">
        <v>2179</v>
      </c>
      <c r="K16" s="916">
        <v>2559</v>
      </c>
      <c r="L16" s="916">
        <v>350</v>
      </c>
    </row>
    <row r="17" spans="1:12" x14ac:dyDescent="0.35">
      <c r="A17" s="4">
        <v>16</v>
      </c>
      <c r="B17" s="9" t="s">
        <v>18</v>
      </c>
      <c r="C17" s="913">
        <v>51071.79</v>
      </c>
      <c r="D17" s="914">
        <v>854</v>
      </c>
      <c r="E17" s="915">
        <v>24870.684915584476</v>
      </c>
      <c r="F17" s="916">
        <v>83995</v>
      </c>
      <c r="G17" s="916">
        <v>35680</v>
      </c>
      <c r="H17" s="916">
        <v>12313</v>
      </c>
      <c r="I17" s="916">
        <v>3079</v>
      </c>
      <c r="J17" s="916">
        <v>13730</v>
      </c>
      <c r="K17" s="916">
        <v>29137</v>
      </c>
      <c r="L17" s="916">
        <v>8204</v>
      </c>
    </row>
    <row r="18" spans="1:12" x14ac:dyDescent="0.35">
      <c r="A18" s="4">
        <v>17</v>
      </c>
      <c r="B18" s="9" t="s">
        <v>19</v>
      </c>
      <c r="C18" s="913">
        <v>14484.4</v>
      </c>
      <c r="D18" s="914">
        <v>641</v>
      </c>
      <c r="E18" s="915">
        <v>4960.4848241524096</v>
      </c>
      <c r="F18" s="916">
        <v>57987</v>
      </c>
      <c r="G18" s="916">
        <v>14470</v>
      </c>
      <c r="H18" s="916">
        <v>14</v>
      </c>
      <c r="I18" s="916"/>
      <c r="J18" s="916">
        <v>3064</v>
      </c>
      <c r="K18" s="916">
        <v>7738</v>
      </c>
      <c r="L18" s="916">
        <v>3682</v>
      </c>
    </row>
    <row r="19" spans="1:12" x14ac:dyDescent="0.35">
      <c r="A19" s="4">
        <v>18</v>
      </c>
      <c r="B19" s="9" t="s">
        <v>20</v>
      </c>
      <c r="C19" s="913">
        <v>7992.9800000000014</v>
      </c>
      <c r="D19" s="914">
        <v>442</v>
      </c>
      <c r="E19" s="915">
        <v>1351.6722832313601</v>
      </c>
      <c r="F19" s="916">
        <v>9802</v>
      </c>
      <c r="G19" s="916">
        <v>7993</v>
      </c>
      <c r="H19" s="916"/>
      <c r="I19" s="916"/>
      <c r="J19" s="916">
        <v>3055</v>
      </c>
      <c r="K19" s="916">
        <v>3058</v>
      </c>
      <c r="L19" s="916">
        <v>1880</v>
      </c>
    </row>
    <row r="20" spans="1:12" x14ac:dyDescent="0.35">
      <c r="A20" s="4">
        <v>19</v>
      </c>
      <c r="B20" s="9" t="s">
        <v>21</v>
      </c>
      <c r="C20" s="913">
        <v>52520.3</v>
      </c>
      <c r="D20" s="914">
        <v>584</v>
      </c>
      <c r="E20" s="915">
        <v>11580.876449244062</v>
      </c>
      <c r="F20" s="916">
        <v>78594</v>
      </c>
      <c r="G20" s="916">
        <v>52147</v>
      </c>
      <c r="H20" s="916"/>
      <c r="I20" s="916">
        <v>373</v>
      </c>
      <c r="J20" s="916">
        <v>22100</v>
      </c>
      <c r="K20" s="916">
        <v>19832</v>
      </c>
      <c r="L20" s="916">
        <v>10588</v>
      </c>
    </row>
    <row r="21" spans="1:12" x14ac:dyDescent="0.35">
      <c r="A21" s="4">
        <v>20</v>
      </c>
      <c r="B21" s="9" t="s">
        <v>22</v>
      </c>
      <c r="C21" s="913">
        <v>11477</v>
      </c>
      <c r="D21" s="914">
        <v>551</v>
      </c>
      <c r="E21" s="915">
        <v>2007.1655309522541</v>
      </c>
      <c r="F21" s="916">
        <v>12320</v>
      </c>
      <c r="G21" s="916">
        <v>11477</v>
      </c>
      <c r="H21" s="916"/>
      <c r="I21" s="916"/>
      <c r="J21" s="916">
        <v>5133</v>
      </c>
      <c r="K21" s="916">
        <v>3644</v>
      </c>
      <c r="L21" s="916">
        <v>2700</v>
      </c>
    </row>
    <row r="22" spans="1:12" x14ac:dyDescent="0.35">
      <c r="A22" s="4">
        <v>21</v>
      </c>
      <c r="B22" s="9" t="s">
        <v>23</v>
      </c>
      <c r="C22" s="913">
        <v>987.16</v>
      </c>
      <c r="D22" s="914">
        <v>531</v>
      </c>
      <c r="E22" s="915">
        <v>163.19521546706392</v>
      </c>
      <c r="F22" s="916">
        <v>1045</v>
      </c>
      <c r="G22" s="916">
        <v>987</v>
      </c>
      <c r="H22" s="916"/>
      <c r="I22" s="916"/>
      <c r="J22" s="916">
        <v>568</v>
      </c>
      <c r="K22" s="916">
        <v>307</v>
      </c>
      <c r="L22" s="916">
        <v>112</v>
      </c>
    </row>
    <row r="23" spans="1:12" x14ac:dyDescent="0.35">
      <c r="A23" s="4">
        <v>22</v>
      </c>
      <c r="B23" s="9" t="s">
        <v>24</v>
      </c>
      <c r="C23" s="913">
        <v>695</v>
      </c>
      <c r="D23" s="914">
        <v>294</v>
      </c>
      <c r="E23" s="915">
        <v>65.549324772089378</v>
      </c>
      <c r="F23" s="916">
        <v>1049</v>
      </c>
      <c r="G23" s="916">
        <v>695</v>
      </c>
      <c r="H23" s="916"/>
      <c r="I23" s="916"/>
      <c r="J23" s="916">
        <v>157</v>
      </c>
      <c r="K23" s="916">
        <v>223</v>
      </c>
      <c r="L23" s="916">
        <v>315</v>
      </c>
    </row>
    <row r="24" spans="1:12" x14ac:dyDescent="0.35">
      <c r="A24" s="4">
        <v>23</v>
      </c>
      <c r="B24" s="9" t="s">
        <v>25</v>
      </c>
      <c r="C24" s="913">
        <v>9514</v>
      </c>
      <c r="D24" s="914">
        <v>707</v>
      </c>
      <c r="E24" s="915">
        <v>3053.6944057618189</v>
      </c>
      <c r="F24" s="916">
        <v>7677</v>
      </c>
      <c r="G24" s="916">
        <v>9514</v>
      </c>
      <c r="H24" s="916"/>
      <c r="I24" s="916"/>
      <c r="J24" s="916">
        <v>2640</v>
      </c>
      <c r="K24" s="916">
        <v>4321</v>
      </c>
      <c r="L24" s="916">
        <v>2553</v>
      </c>
    </row>
    <row r="25" spans="1:12" x14ac:dyDescent="0.35">
      <c r="A25" s="4">
        <v>24</v>
      </c>
      <c r="B25" s="9" t="s">
        <v>26</v>
      </c>
      <c r="C25" s="913">
        <v>9992</v>
      </c>
      <c r="D25" s="914">
        <v>895</v>
      </c>
      <c r="E25" s="915">
        <v>5380.3187149136811</v>
      </c>
      <c r="F25" s="916">
        <v>7837</v>
      </c>
      <c r="G25" s="916">
        <v>9992</v>
      </c>
      <c r="H25" s="916"/>
      <c r="I25" s="916"/>
      <c r="J25" s="916">
        <v>2477</v>
      </c>
      <c r="K25" s="916">
        <v>6009</v>
      </c>
      <c r="L25" s="916">
        <v>1506</v>
      </c>
    </row>
    <row r="26" spans="1:12" x14ac:dyDescent="0.35">
      <c r="A26" s="4">
        <v>25</v>
      </c>
      <c r="B26" s="9" t="s">
        <v>27</v>
      </c>
      <c r="C26" s="913">
        <v>17895.55</v>
      </c>
      <c r="D26" s="914">
        <v>673</v>
      </c>
      <c r="E26" s="915">
        <v>4582.884598219307</v>
      </c>
      <c r="F26" s="916">
        <v>20168</v>
      </c>
      <c r="G26" s="916">
        <v>16821</v>
      </c>
      <c r="H26" s="916">
        <v>292</v>
      </c>
      <c r="I26" s="916">
        <v>783</v>
      </c>
      <c r="J26" s="916">
        <v>7753</v>
      </c>
      <c r="K26" s="916">
        <v>6815</v>
      </c>
      <c r="L26" s="916">
        <v>3328</v>
      </c>
    </row>
    <row r="27" spans="1:12" x14ac:dyDescent="0.35">
      <c r="A27" s="4">
        <v>26</v>
      </c>
      <c r="B27" s="9" t="s">
        <v>28</v>
      </c>
      <c r="C27" s="913">
        <v>14221.630789235234</v>
      </c>
      <c r="D27" s="914">
        <v>853</v>
      </c>
      <c r="E27" s="915">
        <v>2890.3074669326561</v>
      </c>
      <c r="F27" s="916">
        <v>14651</v>
      </c>
      <c r="G27" s="916">
        <v>14222</v>
      </c>
      <c r="H27" s="916"/>
      <c r="I27" s="916"/>
      <c r="J27" s="916">
        <v>8056</v>
      </c>
      <c r="K27" s="916">
        <v>3389</v>
      </c>
      <c r="L27" s="916">
        <v>2777</v>
      </c>
    </row>
    <row r="28" spans="1:12" x14ac:dyDescent="0.35">
      <c r="A28" s="4">
        <v>27</v>
      </c>
      <c r="B28" s="9" t="s">
        <v>29</v>
      </c>
      <c r="C28" s="913">
        <v>291449.49</v>
      </c>
      <c r="D28" s="914">
        <v>908</v>
      </c>
      <c r="E28" s="915">
        <v>161468.98532598049</v>
      </c>
      <c r="F28" s="916">
        <v>184720</v>
      </c>
      <c r="G28" s="916">
        <v>291445</v>
      </c>
      <c r="H28" s="916"/>
      <c r="I28" s="916">
        <v>4</v>
      </c>
      <c r="J28" s="916">
        <v>60387</v>
      </c>
      <c r="K28" s="916">
        <v>177732</v>
      </c>
      <c r="L28" s="916">
        <v>53330</v>
      </c>
    </row>
    <row r="29" spans="1:12" x14ac:dyDescent="0.35">
      <c r="A29" s="4">
        <v>28</v>
      </c>
      <c r="B29" s="9" t="s">
        <v>30</v>
      </c>
      <c r="C29" s="913">
        <v>250174.82999999993</v>
      </c>
      <c r="D29" s="914">
        <v>802</v>
      </c>
      <c r="E29" s="915">
        <v>118328.99999999999</v>
      </c>
      <c r="F29" s="916">
        <v>278625</v>
      </c>
      <c r="G29" s="916">
        <v>246223</v>
      </c>
      <c r="H29" s="916"/>
      <c r="I29" s="916">
        <v>3952</v>
      </c>
      <c r="J29" s="916">
        <v>27492</v>
      </c>
      <c r="K29" s="916">
        <v>147593</v>
      </c>
      <c r="L29" s="916">
        <v>75090</v>
      </c>
    </row>
    <row r="30" spans="1:12" x14ac:dyDescent="0.35">
      <c r="A30" s="4">
        <v>29</v>
      </c>
      <c r="B30" s="9" t="s">
        <v>31</v>
      </c>
      <c r="C30" s="913">
        <v>168391</v>
      </c>
      <c r="D30" s="914">
        <v>854</v>
      </c>
      <c r="E30" s="915">
        <v>72037.370469377391</v>
      </c>
      <c r="F30" s="916">
        <v>143031</v>
      </c>
      <c r="G30" s="916">
        <v>168391</v>
      </c>
      <c r="H30" s="916"/>
      <c r="I30" s="916"/>
      <c r="J30" s="916">
        <v>26332</v>
      </c>
      <c r="K30" s="916">
        <v>84357</v>
      </c>
      <c r="L30" s="916">
        <v>57702</v>
      </c>
    </row>
    <row r="31" spans="1:12" x14ac:dyDescent="0.35">
      <c r="A31" s="4">
        <v>30</v>
      </c>
      <c r="B31" s="9" t="s">
        <v>32</v>
      </c>
      <c r="C31" s="913">
        <v>254108.33</v>
      </c>
      <c r="D31" s="914">
        <v>852</v>
      </c>
      <c r="E31" s="915">
        <v>125078.549290018</v>
      </c>
      <c r="F31" s="916">
        <v>165195</v>
      </c>
      <c r="G31" s="916">
        <v>254108</v>
      </c>
      <c r="H31" s="916"/>
      <c r="I31" s="916"/>
      <c r="J31" s="916">
        <v>38447</v>
      </c>
      <c r="K31" s="916">
        <v>146874</v>
      </c>
      <c r="L31" s="916">
        <v>68787</v>
      </c>
    </row>
    <row r="32" spans="1:12" x14ac:dyDescent="0.35">
      <c r="A32" s="4">
        <v>31</v>
      </c>
      <c r="B32" s="9" t="s">
        <v>33</v>
      </c>
      <c r="C32" s="913">
        <v>30134.47</v>
      </c>
      <c r="D32" s="914">
        <v>594</v>
      </c>
      <c r="E32" s="915">
        <v>9680.3267325189445</v>
      </c>
      <c r="F32" s="916">
        <v>34075</v>
      </c>
      <c r="G32" s="916">
        <v>26878</v>
      </c>
      <c r="H32" s="916">
        <v>2053</v>
      </c>
      <c r="I32" s="916">
        <v>1203</v>
      </c>
      <c r="J32" s="916">
        <v>6024</v>
      </c>
      <c r="K32" s="916">
        <v>16294</v>
      </c>
      <c r="L32" s="916">
        <v>7817</v>
      </c>
    </row>
    <row r="33" spans="1:12" x14ac:dyDescent="0.35">
      <c r="A33" s="4">
        <v>32</v>
      </c>
      <c r="B33" s="9" t="s">
        <v>34</v>
      </c>
      <c r="C33" s="913">
        <v>33001.1</v>
      </c>
      <c r="D33" s="914">
        <v>683</v>
      </c>
      <c r="E33" s="915">
        <v>10378.50746962152</v>
      </c>
      <c r="F33" s="916">
        <v>25334</v>
      </c>
      <c r="G33" s="916">
        <v>33001</v>
      </c>
      <c r="H33" s="916"/>
      <c r="I33" s="916"/>
      <c r="J33" s="916">
        <v>9983</v>
      </c>
      <c r="K33" s="916">
        <v>15202</v>
      </c>
      <c r="L33" s="916">
        <v>7817</v>
      </c>
    </row>
    <row r="34" spans="1:12" x14ac:dyDescent="0.35">
      <c r="A34" s="4">
        <v>33</v>
      </c>
      <c r="B34" s="9" t="s">
        <v>35</v>
      </c>
      <c r="C34" s="913">
        <v>38590</v>
      </c>
      <c r="D34" s="914">
        <v>480</v>
      </c>
      <c r="E34" s="915">
        <v>8937.0364001814196</v>
      </c>
      <c r="F34" s="916">
        <v>30003</v>
      </c>
      <c r="G34" s="916">
        <v>33590</v>
      </c>
      <c r="H34" s="916"/>
      <c r="I34" s="916">
        <v>5000</v>
      </c>
      <c r="J34" s="916">
        <v>9718</v>
      </c>
      <c r="K34" s="916">
        <v>18618</v>
      </c>
      <c r="L34" s="916">
        <v>10254</v>
      </c>
    </row>
    <row r="35" spans="1:12" x14ac:dyDescent="0.35">
      <c r="A35" s="4">
        <v>34</v>
      </c>
      <c r="B35" s="9" t="s">
        <v>36</v>
      </c>
      <c r="C35" s="913">
        <v>10661.50379434073</v>
      </c>
      <c r="D35" s="914">
        <v>555</v>
      </c>
      <c r="E35" s="915">
        <v>3661.387126913567</v>
      </c>
      <c r="F35" s="916">
        <v>9102</v>
      </c>
      <c r="G35" s="916">
        <v>10662</v>
      </c>
      <c r="H35" s="916"/>
      <c r="I35" s="916"/>
      <c r="J35" s="916">
        <v>1242</v>
      </c>
      <c r="K35" s="916">
        <v>6594</v>
      </c>
      <c r="L35" s="916">
        <v>6594</v>
      </c>
    </row>
    <row r="36" spans="1:12" x14ac:dyDescent="0.35">
      <c r="A36" s="123"/>
      <c r="B36" s="124" t="s">
        <v>105</v>
      </c>
      <c r="C36" s="781">
        <f>SUM(C2:C35)</f>
        <v>1727437.0745835761</v>
      </c>
      <c r="D36" s="781">
        <f t="shared" ref="D36:L36" si="0">SUM(D2:D35)</f>
        <v>21632</v>
      </c>
      <c r="E36" s="781">
        <f t="shared" si="0"/>
        <v>728413.67988073232</v>
      </c>
      <c r="F36" s="781">
        <f t="shared" si="0"/>
        <v>1732325</v>
      </c>
      <c r="G36" s="781">
        <f t="shared" si="0"/>
        <v>1686178</v>
      </c>
      <c r="H36" s="781">
        <f t="shared" si="0"/>
        <v>15171</v>
      </c>
      <c r="I36" s="781">
        <f t="shared" si="0"/>
        <v>26088</v>
      </c>
      <c r="J36" s="781">
        <f t="shared" si="0"/>
        <v>421385</v>
      </c>
      <c r="K36" s="781">
        <f t="shared" si="0"/>
        <v>907379</v>
      </c>
      <c r="L36" s="781">
        <f t="shared" si="0"/>
        <v>402440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5015-A2A5-4E50-83B4-AC3A9C4F3627}">
  <sheetPr>
    <tabColor rgb="FFFFFF00"/>
  </sheetPr>
  <dimension ref="A1:M440"/>
  <sheetViews>
    <sheetView zoomScale="80" zoomScaleNormal="80" workbookViewId="0">
      <pane ySplit="1" topLeftCell="A183" activePane="bottomLeft" state="frozen"/>
      <selection pane="bottomLeft" activeCell="B201" sqref="B201"/>
    </sheetView>
  </sheetViews>
  <sheetFormatPr defaultColWidth="8.7265625" defaultRowHeight="14.5" x14ac:dyDescent="0.35"/>
  <cols>
    <col min="1" max="1" width="8.7265625" style="352"/>
    <col min="2" max="2" width="24.7265625" style="352" customWidth="1"/>
    <col min="3" max="3" width="16.54296875" style="352" customWidth="1"/>
    <col min="4" max="4" width="14.7265625" style="352" customWidth="1"/>
    <col min="5" max="5" width="14.54296875" style="352" customWidth="1"/>
    <col min="6" max="6" width="18.7265625" style="352" customWidth="1"/>
    <col min="7" max="7" width="25.453125" style="352" customWidth="1"/>
    <col min="8" max="8" width="33.26953125" style="352" customWidth="1"/>
    <col min="9" max="9" width="25.81640625" style="352" customWidth="1"/>
    <col min="10" max="12" width="8.7265625" style="352"/>
    <col min="13" max="13" width="24.81640625" customWidth="1"/>
    <col min="14" max="14" width="27.26953125" style="352" customWidth="1"/>
    <col min="15" max="16384" width="8.7265625" style="352"/>
  </cols>
  <sheetData>
    <row r="1" spans="1:13" x14ac:dyDescent="0.35">
      <c r="A1" s="352" t="s">
        <v>0</v>
      </c>
      <c r="B1" s="352" t="s">
        <v>162</v>
      </c>
      <c r="C1" s="352" t="s">
        <v>49</v>
      </c>
      <c r="D1" s="352" t="s">
        <v>50</v>
      </c>
      <c r="E1" s="352" t="s">
        <v>51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t="s">
        <v>1</v>
      </c>
    </row>
    <row r="2" spans="1:13" ht="11.5" x14ac:dyDescent="0.25">
      <c r="A2" s="352">
        <v>1</v>
      </c>
      <c r="B2" s="280" t="s">
        <v>635</v>
      </c>
      <c r="C2" s="282">
        <v>19956</v>
      </c>
      <c r="D2" s="282">
        <v>899</v>
      </c>
      <c r="E2" s="282">
        <v>9242</v>
      </c>
      <c r="F2" s="282">
        <v>21350</v>
      </c>
      <c r="G2" s="282"/>
      <c r="H2" s="282"/>
      <c r="I2" s="423"/>
      <c r="J2" s="282">
        <v>8330</v>
      </c>
      <c r="K2" s="282">
        <v>10280</v>
      </c>
      <c r="L2" s="282">
        <v>1346</v>
      </c>
      <c r="M2" s="352" t="s">
        <v>2</v>
      </c>
    </row>
    <row r="3" spans="1:13" ht="11.5" x14ac:dyDescent="0.25">
      <c r="A3" s="352">
        <v>2</v>
      </c>
      <c r="B3" s="280" t="s">
        <v>649</v>
      </c>
      <c r="C3" s="282">
        <v>15070</v>
      </c>
      <c r="D3" s="282">
        <v>800</v>
      </c>
      <c r="E3" s="282">
        <v>6990</v>
      </c>
      <c r="F3" s="282">
        <v>17838</v>
      </c>
      <c r="G3" s="282"/>
      <c r="H3" s="282"/>
      <c r="I3" s="424"/>
      <c r="J3" s="282">
        <v>4599</v>
      </c>
      <c r="K3" s="282">
        <v>8738</v>
      </c>
      <c r="L3" s="282">
        <v>1733</v>
      </c>
      <c r="M3" s="352" t="s">
        <v>2</v>
      </c>
    </row>
    <row r="4" spans="1:13" ht="11.5" x14ac:dyDescent="0.25">
      <c r="A4" s="352">
        <v>3</v>
      </c>
      <c r="B4" s="280" t="s">
        <v>636</v>
      </c>
      <c r="C4" s="282">
        <v>12821</v>
      </c>
      <c r="D4" s="282">
        <v>750</v>
      </c>
      <c r="E4" s="282">
        <v>6411</v>
      </c>
      <c r="F4" s="282">
        <v>11655</v>
      </c>
      <c r="G4" s="282"/>
      <c r="H4" s="282"/>
      <c r="I4" s="423"/>
      <c r="J4" s="282">
        <v>2978</v>
      </c>
      <c r="K4" s="282">
        <v>8548</v>
      </c>
      <c r="L4" s="282">
        <v>1295</v>
      </c>
      <c r="M4" s="352" t="s">
        <v>2</v>
      </c>
    </row>
    <row r="5" spans="1:13" ht="11.5" x14ac:dyDescent="0.25">
      <c r="A5" s="352">
        <v>4</v>
      </c>
      <c r="B5" s="280" t="s">
        <v>640</v>
      </c>
      <c r="C5" s="282">
        <v>10382</v>
      </c>
      <c r="D5" s="282">
        <v>598</v>
      </c>
      <c r="E5" s="282">
        <v>3730</v>
      </c>
      <c r="F5" s="282">
        <v>12646</v>
      </c>
      <c r="G5" s="282"/>
      <c r="H5" s="282"/>
      <c r="I5" s="424"/>
      <c r="J5" s="282">
        <v>2387</v>
      </c>
      <c r="K5" s="282">
        <v>6241</v>
      </c>
      <c r="L5" s="282">
        <v>1754</v>
      </c>
      <c r="M5" s="352" t="s">
        <v>2</v>
      </c>
    </row>
    <row r="6" spans="1:13" ht="11.5" x14ac:dyDescent="0.25">
      <c r="A6" s="352">
        <v>5</v>
      </c>
      <c r="B6" s="280" t="s">
        <v>642</v>
      </c>
      <c r="C6" s="282">
        <v>9321</v>
      </c>
      <c r="D6" s="282">
        <v>664</v>
      </c>
      <c r="E6" s="282">
        <v>3670</v>
      </c>
      <c r="F6" s="282">
        <v>18722</v>
      </c>
      <c r="G6" s="282"/>
      <c r="H6" s="282"/>
      <c r="I6" s="424"/>
      <c r="J6" s="282">
        <v>3306</v>
      </c>
      <c r="K6" s="282">
        <v>5528</v>
      </c>
      <c r="L6" s="282">
        <v>487</v>
      </c>
      <c r="M6" s="352" t="s">
        <v>2</v>
      </c>
    </row>
    <row r="7" spans="1:13" ht="11.5" x14ac:dyDescent="0.25">
      <c r="A7" s="352">
        <v>6</v>
      </c>
      <c r="B7" s="280" t="s">
        <v>641</v>
      </c>
      <c r="C7" s="282">
        <v>7084</v>
      </c>
      <c r="D7" s="282">
        <v>645</v>
      </c>
      <c r="E7" s="282">
        <v>2731</v>
      </c>
      <c r="F7" s="282">
        <v>10587</v>
      </c>
      <c r="G7" s="282"/>
      <c r="H7" s="282"/>
      <c r="I7" s="424"/>
      <c r="J7" s="282">
        <v>2445</v>
      </c>
      <c r="K7" s="282">
        <v>4234</v>
      </c>
      <c r="L7" s="282">
        <v>405</v>
      </c>
      <c r="M7" s="352" t="s">
        <v>2</v>
      </c>
    </row>
    <row r="8" spans="1:13" ht="11.5" x14ac:dyDescent="0.25">
      <c r="A8" s="352">
        <v>7</v>
      </c>
      <c r="B8" s="280" t="s">
        <v>646</v>
      </c>
      <c r="C8" s="282">
        <v>4851</v>
      </c>
      <c r="D8" s="282">
        <v>503</v>
      </c>
      <c r="E8" s="282">
        <v>643</v>
      </c>
      <c r="F8" s="282">
        <v>7502</v>
      </c>
      <c r="G8" s="282"/>
      <c r="H8" s="282"/>
      <c r="I8" s="424"/>
      <c r="J8" s="424"/>
      <c r="K8" s="282">
        <v>1278</v>
      </c>
      <c r="L8" s="282">
        <v>3573</v>
      </c>
      <c r="M8" s="352" t="s">
        <v>2</v>
      </c>
    </row>
    <row r="9" spans="1:13" ht="11.5" x14ac:dyDescent="0.25">
      <c r="A9" s="352">
        <v>8</v>
      </c>
      <c r="B9" s="280" t="s">
        <v>644</v>
      </c>
      <c r="C9" s="282">
        <v>3483</v>
      </c>
      <c r="D9" s="282">
        <v>412</v>
      </c>
      <c r="E9" s="282">
        <v>977</v>
      </c>
      <c r="F9" s="282">
        <v>4177</v>
      </c>
      <c r="G9" s="282"/>
      <c r="H9" s="282"/>
      <c r="I9" s="424"/>
      <c r="J9" s="282">
        <v>766</v>
      </c>
      <c r="K9" s="282">
        <v>2371</v>
      </c>
      <c r="L9" s="282">
        <v>346</v>
      </c>
      <c r="M9" s="352" t="s">
        <v>2</v>
      </c>
    </row>
    <row r="10" spans="1:13" ht="11.5" x14ac:dyDescent="0.25">
      <c r="A10" s="352">
        <v>9</v>
      </c>
      <c r="B10" s="280" t="s">
        <v>639</v>
      </c>
      <c r="C10" s="282">
        <v>3375</v>
      </c>
      <c r="D10" s="282">
        <v>701</v>
      </c>
      <c r="E10" s="282">
        <v>289</v>
      </c>
      <c r="F10" s="282">
        <v>3607</v>
      </c>
      <c r="G10" s="282"/>
      <c r="H10" s="282"/>
      <c r="I10" s="424"/>
      <c r="J10" s="282">
        <v>2834</v>
      </c>
      <c r="K10" s="282">
        <v>412</v>
      </c>
      <c r="L10" s="282">
        <v>129</v>
      </c>
      <c r="M10" s="352" t="s">
        <v>2</v>
      </c>
    </row>
    <row r="11" spans="1:13" ht="11.5" x14ac:dyDescent="0.25">
      <c r="A11" s="352">
        <v>10</v>
      </c>
      <c r="B11" s="280" t="s">
        <v>632</v>
      </c>
      <c r="C11" s="282">
        <v>1924</v>
      </c>
      <c r="D11" s="282">
        <v>462</v>
      </c>
      <c r="E11" s="282">
        <v>249</v>
      </c>
      <c r="F11" s="282">
        <v>1405</v>
      </c>
      <c r="G11" s="282"/>
      <c r="H11" s="282"/>
      <c r="I11" s="423"/>
      <c r="J11" s="282">
        <v>745</v>
      </c>
      <c r="K11" s="282">
        <v>539</v>
      </c>
      <c r="L11" s="282">
        <v>640</v>
      </c>
      <c r="M11" s="352" t="s">
        <v>2</v>
      </c>
    </row>
    <row r="12" spans="1:13" ht="11.5" x14ac:dyDescent="0.25">
      <c r="A12" s="352">
        <v>11</v>
      </c>
      <c r="B12" s="280" t="s">
        <v>643</v>
      </c>
      <c r="C12" s="282">
        <v>1890</v>
      </c>
      <c r="D12" s="282">
        <v>683</v>
      </c>
      <c r="E12" s="282">
        <v>1077</v>
      </c>
      <c r="F12" s="282">
        <v>3943</v>
      </c>
      <c r="G12" s="282"/>
      <c r="H12" s="282"/>
      <c r="I12" s="424"/>
      <c r="J12" s="282">
        <v>42</v>
      </c>
      <c r="K12" s="282">
        <v>1578</v>
      </c>
      <c r="L12" s="282">
        <v>270</v>
      </c>
      <c r="M12" s="352" t="s">
        <v>2</v>
      </c>
    </row>
    <row r="13" spans="1:13" ht="11.5" x14ac:dyDescent="0.25">
      <c r="A13" s="352">
        <v>12</v>
      </c>
      <c r="B13" s="280" t="s">
        <v>645</v>
      </c>
      <c r="C13" s="282">
        <v>1674</v>
      </c>
      <c r="D13" s="282">
        <v>550</v>
      </c>
      <c r="E13" s="282">
        <v>572</v>
      </c>
      <c r="F13" s="282">
        <v>3543</v>
      </c>
      <c r="G13" s="282"/>
      <c r="H13" s="282"/>
      <c r="I13" s="424"/>
      <c r="J13" s="282">
        <v>429</v>
      </c>
      <c r="K13" s="282">
        <v>1040</v>
      </c>
      <c r="L13" s="282">
        <v>205</v>
      </c>
      <c r="M13" s="352" t="s">
        <v>2</v>
      </c>
    </row>
    <row r="14" spans="1:13" ht="11.5" x14ac:dyDescent="0.25">
      <c r="A14" s="352">
        <v>13</v>
      </c>
      <c r="B14" s="280" t="s">
        <v>634</v>
      </c>
      <c r="C14" s="282">
        <v>1433</v>
      </c>
      <c r="D14" s="282">
        <v>504</v>
      </c>
      <c r="E14" s="282">
        <v>352</v>
      </c>
      <c r="F14" s="282">
        <v>2514</v>
      </c>
      <c r="G14" s="282"/>
      <c r="H14" s="282"/>
      <c r="I14" s="423"/>
      <c r="J14" s="282">
        <v>233</v>
      </c>
      <c r="K14" s="282">
        <v>699</v>
      </c>
      <c r="L14" s="282">
        <v>501</v>
      </c>
      <c r="M14" s="352" t="s">
        <v>2</v>
      </c>
    </row>
    <row r="15" spans="1:13" ht="11.5" x14ac:dyDescent="0.25">
      <c r="A15" s="352">
        <v>14</v>
      </c>
      <c r="B15" s="280" t="s">
        <v>648</v>
      </c>
      <c r="C15" s="282">
        <v>1378</v>
      </c>
      <c r="D15" s="282">
        <v>667</v>
      </c>
      <c r="E15" s="282">
        <v>850</v>
      </c>
      <c r="F15" s="282">
        <v>1825</v>
      </c>
      <c r="G15" s="282"/>
      <c r="H15" s="282"/>
      <c r="I15" s="424"/>
      <c r="J15" s="282">
        <v>57</v>
      </c>
      <c r="K15" s="282">
        <v>1274</v>
      </c>
      <c r="L15" s="282">
        <v>47</v>
      </c>
      <c r="M15" s="352" t="s">
        <v>2</v>
      </c>
    </row>
    <row r="16" spans="1:13" ht="11.5" x14ac:dyDescent="0.25">
      <c r="A16" s="352">
        <v>15</v>
      </c>
      <c r="B16" s="280" t="s">
        <v>647</v>
      </c>
      <c r="C16" s="282">
        <v>1167</v>
      </c>
      <c r="D16" s="282">
        <v>757</v>
      </c>
      <c r="E16" s="282">
        <v>171</v>
      </c>
      <c r="F16" s="282">
        <v>669</v>
      </c>
      <c r="G16" s="282"/>
      <c r="H16" s="282"/>
      <c r="I16" s="424"/>
      <c r="J16" s="282">
        <v>109</v>
      </c>
      <c r="K16" s="282">
        <v>226</v>
      </c>
      <c r="L16" s="282">
        <v>832</v>
      </c>
      <c r="M16" s="352" t="s">
        <v>2</v>
      </c>
    </row>
    <row r="17" spans="1:13" ht="11.5" x14ac:dyDescent="0.25">
      <c r="A17" s="352">
        <v>16</v>
      </c>
      <c r="B17" s="280" t="s">
        <v>638</v>
      </c>
      <c r="C17" s="282">
        <v>972</v>
      </c>
      <c r="D17" s="282">
        <v>670</v>
      </c>
      <c r="E17" s="282">
        <v>359</v>
      </c>
      <c r="F17" s="282">
        <v>1416</v>
      </c>
      <c r="G17" s="282"/>
      <c r="H17" s="282"/>
      <c r="I17" s="424"/>
      <c r="J17" s="282">
        <v>293</v>
      </c>
      <c r="K17" s="282">
        <v>536</v>
      </c>
      <c r="L17" s="282">
        <v>143</v>
      </c>
      <c r="M17" s="352" t="s">
        <v>2</v>
      </c>
    </row>
    <row r="18" spans="1:13" ht="11.5" x14ac:dyDescent="0.25">
      <c r="A18" s="352">
        <v>17</v>
      </c>
      <c r="B18" s="280" t="s">
        <v>653</v>
      </c>
      <c r="C18" s="282">
        <v>755</v>
      </c>
      <c r="D18" s="282">
        <v>555</v>
      </c>
      <c r="E18" s="282">
        <v>211</v>
      </c>
      <c r="F18" s="282">
        <v>1194</v>
      </c>
      <c r="G18" s="282"/>
      <c r="H18" s="282"/>
      <c r="I18" s="424"/>
      <c r="J18" s="282">
        <v>281</v>
      </c>
      <c r="K18" s="282">
        <v>380</v>
      </c>
      <c r="L18" s="282">
        <v>94</v>
      </c>
      <c r="M18" s="352" t="s">
        <v>2</v>
      </c>
    </row>
    <row r="19" spans="1:13" ht="11.5" x14ac:dyDescent="0.25">
      <c r="A19" s="352">
        <v>18</v>
      </c>
      <c r="B19" s="280" t="s">
        <v>650</v>
      </c>
      <c r="C19" s="282">
        <v>737</v>
      </c>
      <c r="D19" s="282">
        <v>990</v>
      </c>
      <c r="E19" s="282">
        <v>241</v>
      </c>
      <c r="F19" s="282">
        <v>1012</v>
      </c>
      <c r="G19" s="282"/>
      <c r="H19" s="282"/>
      <c r="I19" s="424"/>
      <c r="J19" s="282">
        <v>124</v>
      </c>
      <c r="K19" s="282">
        <v>243</v>
      </c>
      <c r="L19" s="282">
        <v>370</v>
      </c>
      <c r="M19" s="352" t="s">
        <v>2</v>
      </c>
    </row>
    <row r="20" spans="1:13" ht="11.5" x14ac:dyDescent="0.25">
      <c r="A20" s="352">
        <v>19</v>
      </c>
      <c r="B20" s="280" t="s">
        <v>637</v>
      </c>
      <c r="C20" s="282">
        <v>581</v>
      </c>
      <c r="D20" s="282">
        <v>610</v>
      </c>
      <c r="E20" s="282">
        <v>296</v>
      </c>
      <c r="F20" s="282">
        <v>877</v>
      </c>
      <c r="G20" s="282"/>
      <c r="H20" s="282"/>
      <c r="I20" s="424"/>
      <c r="J20" s="282">
        <v>8</v>
      </c>
      <c r="K20" s="282">
        <v>485</v>
      </c>
      <c r="L20" s="282">
        <v>88</v>
      </c>
      <c r="M20" s="352" t="s">
        <v>2</v>
      </c>
    </row>
    <row r="21" spans="1:13" ht="11.5" x14ac:dyDescent="0.25">
      <c r="A21" s="352">
        <v>20</v>
      </c>
      <c r="B21" s="280" t="s">
        <v>633</v>
      </c>
      <c r="C21" s="282">
        <v>371</v>
      </c>
      <c r="D21" s="282">
        <v>868</v>
      </c>
      <c r="E21" s="282">
        <v>84</v>
      </c>
      <c r="F21" s="282">
        <v>810</v>
      </c>
      <c r="G21" s="282"/>
      <c r="H21" s="282"/>
      <c r="I21" s="423"/>
      <c r="J21" s="282">
        <v>41</v>
      </c>
      <c r="K21" s="282">
        <v>97</v>
      </c>
      <c r="L21" s="282">
        <v>233</v>
      </c>
      <c r="M21" s="352" t="s">
        <v>2</v>
      </c>
    </row>
    <row r="22" spans="1:13" ht="11.5" x14ac:dyDescent="0.25">
      <c r="A22" s="352">
        <v>21</v>
      </c>
      <c r="B22" s="280" t="s">
        <v>651</v>
      </c>
      <c r="C22" s="282">
        <v>134</v>
      </c>
      <c r="D22" s="282">
        <v>784</v>
      </c>
      <c r="E22" s="282">
        <v>78</v>
      </c>
      <c r="F22" s="282">
        <v>399</v>
      </c>
      <c r="G22" s="282"/>
      <c r="H22" s="282"/>
      <c r="I22" s="424"/>
      <c r="J22" s="282">
        <v>26</v>
      </c>
      <c r="K22" s="282">
        <v>99</v>
      </c>
      <c r="L22" s="282">
        <v>9</v>
      </c>
      <c r="M22" s="352" t="s">
        <v>2</v>
      </c>
    </row>
    <row r="23" spans="1:13" ht="11.5" x14ac:dyDescent="0.25">
      <c r="A23" s="352">
        <v>22</v>
      </c>
      <c r="B23" s="280" t="s">
        <v>652</v>
      </c>
      <c r="C23" s="282">
        <v>134</v>
      </c>
      <c r="D23" s="282">
        <v>890</v>
      </c>
      <c r="E23" s="282">
        <v>73</v>
      </c>
      <c r="F23" s="282">
        <v>152</v>
      </c>
      <c r="G23" s="282"/>
      <c r="H23" s="282"/>
      <c r="I23" s="424"/>
      <c r="J23" s="282">
        <v>53</v>
      </c>
      <c r="K23" s="282">
        <v>82</v>
      </c>
      <c r="L23" s="424"/>
      <c r="M23" s="352" t="s">
        <v>2</v>
      </c>
    </row>
    <row r="24" spans="1:13" ht="11.5" x14ac:dyDescent="0.25">
      <c r="A24" s="352">
        <v>23</v>
      </c>
      <c r="B24" s="305" t="s">
        <v>741</v>
      </c>
      <c r="C24" s="306">
        <v>2091</v>
      </c>
      <c r="D24" s="306">
        <v>899</v>
      </c>
      <c r="E24" s="306">
        <v>657</v>
      </c>
      <c r="F24" s="306">
        <v>3210</v>
      </c>
      <c r="G24" s="306"/>
      <c r="H24" s="306"/>
      <c r="I24" s="391"/>
      <c r="J24" s="306">
        <v>961</v>
      </c>
      <c r="K24" s="306">
        <v>731</v>
      </c>
      <c r="L24" s="306">
        <v>399</v>
      </c>
      <c r="M24" s="352" t="s">
        <v>3</v>
      </c>
    </row>
    <row r="25" spans="1:13" ht="11.5" x14ac:dyDescent="0.25">
      <c r="A25" s="352">
        <v>24</v>
      </c>
      <c r="B25" s="851" t="s">
        <v>1347</v>
      </c>
      <c r="C25" s="306">
        <v>6503</v>
      </c>
      <c r="D25" s="306">
        <v>1035</v>
      </c>
      <c r="E25" s="306">
        <v>2895</v>
      </c>
      <c r="F25" s="306">
        <v>3791</v>
      </c>
      <c r="G25" s="306"/>
      <c r="H25" s="306"/>
      <c r="I25" s="391"/>
      <c r="J25" s="306">
        <v>3125</v>
      </c>
      <c r="K25" s="306">
        <v>2796</v>
      </c>
      <c r="L25" s="306">
        <v>582</v>
      </c>
      <c r="M25" s="352" t="s">
        <v>3</v>
      </c>
    </row>
    <row r="26" spans="1:13" ht="11.5" x14ac:dyDescent="0.25">
      <c r="A26" s="352">
        <v>25</v>
      </c>
      <c r="B26" s="851" t="s">
        <v>1348</v>
      </c>
      <c r="C26" s="306">
        <v>5608</v>
      </c>
      <c r="D26" s="306">
        <v>857</v>
      </c>
      <c r="E26" s="306">
        <v>3566</v>
      </c>
      <c r="F26" s="306">
        <v>3321</v>
      </c>
      <c r="G26" s="306"/>
      <c r="H26" s="306"/>
      <c r="I26" s="391"/>
      <c r="J26" s="306">
        <v>1322</v>
      </c>
      <c r="K26" s="306">
        <v>4160</v>
      </c>
      <c r="L26" s="306">
        <v>126</v>
      </c>
      <c r="M26" s="352" t="s">
        <v>3</v>
      </c>
    </row>
    <row r="27" spans="1:13" ht="11.5" x14ac:dyDescent="0.25">
      <c r="A27" s="352">
        <v>26</v>
      </c>
      <c r="B27" s="851" t="s">
        <v>1349</v>
      </c>
      <c r="C27" s="306">
        <v>4543</v>
      </c>
      <c r="D27" s="306">
        <v>1045</v>
      </c>
      <c r="E27" s="306">
        <v>3808</v>
      </c>
      <c r="F27" s="306">
        <v>8387</v>
      </c>
      <c r="G27" s="306"/>
      <c r="H27" s="306"/>
      <c r="I27" s="391"/>
      <c r="J27" s="306">
        <v>491</v>
      </c>
      <c r="K27" s="306">
        <v>3643</v>
      </c>
      <c r="L27" s="306">
        <v>408</v>
      </c>
      <c r="M27" s="352" t="s">
        <v>3</v>
      </c>
    </row>
    <row r="28" spans="1:13" ht="11.5" x14ac:dyDescent="0.25">
      <c r="A28" s="352">
        <v>27</v>
      </c>
      <c r="B28" s="305" t="s">
        <v>751</v>
      </c>
      <c r="C28" s="306">
        <v>4227</v>
      </c>
      <c r="D28" s="306">
        <v>1022</v>
      </c>
      <c r="E28" s="306">
        <v>3194</v>
      </c>
      <c r="F28" s="306">
        <v>6562</v>
      </c>
      <c r="G28" s="306"/>
      <c r="H28" s="306"/>
      <c r="I28" s="391"/>
      <c r="J28" s="306">
        <v>691</v>
      </c>
      <c r="K28" s="306">
        <v>3124</v>
      </c>
      <c r="L28" s="306">
        <v>412</v>
      </c>
      <c r="M28" s="352" t="s">
        <v>3</v>
      </c>
    </row>
    <row r="29" spans="1:13" ht="11.5" x14ac:dyDescent="0.25">
      <c r="A29" s="352">
        <v>28</v>
      </c>
      <c r="B29" s="305" t="s">
        <v>743</v>
      </c>
      <c r="C29" s="306">
        <v>3987</v>
      </c>
      <c r="D29" s="306">
        <v>779</v>
      </c>
      <c r="E29" s="306">
        <v>2009</v>
      </c>
      <c r="F29" s="306">
        <v>6237</v>
      </c>
      <c r="G29" s="306"/>
      <c r="H29" s="306"/>
      <c r="I29" s="391"/>
      <c r="J29" s="306">
        <v>1161</v>
      </c>
      <c r="K29" s="306">
        <v>2579</v>
      </c>
      <c r="L29" s="306">
        <v>247</v>
      </c>
      <c r="M29" s="352" t="s">
        <v>3</v>
      </c>
    </row>
    <row r="30" spans="1:13" ht="11.5" x14ac:dyDescent="0.25">
      <c r="A30" s="352">
        <v>29</v>
      </c>
      <c r="B30" s="305" t="s">
        <v>742</v>
      </c>
      <c r="C30" s="306">
        <v>3796</v>
      </c>
      <c r="D30" s="306">
        <v>1183</v>
      </c>
      <c r="E30" s="306">
        <v>3552</v>
      </c>
      <c r="F30" s="306">
        <v>3037</v>
      </c>
      <c r="G30" s="306"/>
      <c r="H30" s="306"/>
      <c r="I30" s="391"/>
      <c r="J30" s="306">
        <v>117</v>
      </c>
      <c r="K30" s="306">
        <v>3002</v>
      </c>
      <c r="L30" s="306">
        <v>677</v>
      </c>
      <c r="M30" s="352" t="s">
        <v>3</v>
      </c>
    </row>
    <row r="31" spans="1:13" ht="11.5" x14ac:dyDescent="0.25">
      <c r="A31" s="352">
        <v>30</v>
      </c>
      <c r="B31" s="305" t="s">
        <v>745</v>
      </c>
      <c r="C31" s="306">
        <v>3216</v>
      </c>
      <c r="D31" s="306">
        <v>675</v>
      </c>
      <c r="E31" s="306">
        <v>1772</v>
      </c>
      <c r="F31" s="306">
        <v>3667</v>
      </c>
      <c r="G31" s="306"/>
      <c r="H31" s="306"/>
      <c r="I31" s="391"/>
      <c r="J31" s="306">
        <v>417</v>
      </c>
      <c r="K31" s="306">
        <v>2626</v>
      </c>
      <c r="L31" s="306">
        <v>173</v>
      </c>
      <c r="M31" s="352" t="s">
        <v>3</v>
      </c>
    </row>
    <row r="32" spans="1:13" ht="11.5" x14ac:dyDescent="0.25">
      <c r="A32" s="352">
        <v>31</v>
      </c>
      <c r="B32" s="305" t="s">
        <v>744</v>
      </c>
      <c r="C32" s="306">
        <v>3104</v>
      </c>
      <c r="D32" s="306">
        <v>1090</v>
      </c>
      <c r="E32" s="306">
        <v>2130</v>
      </c>
      <c r="F32" s="306">
        <v>3804</v>
      </c>
      <c r="G32" s="306"/>
      <c r="H32" s="306"/>
      <c r="I32" s="391"/>
      <c r="J32" s="306">
        <v>946</v>
      </c>
      <c r="K32" s="306">
        <v>1955</v>
      </c>
      <c r="L32" s="306">
        <v>203</v>
      </c>
      <c r="M32" s="352" t="s">
        <v>3</v>
      </c>
    </row>
    <row r="33" spans="1:13" ht="11.5" x14ac:dyDescent="0.25">
      <c r="A33" s="352">
        <v>32</v>
      </c>
      <c r="B33" s="305" t="s">
        <v>752</v>
      </c>
      <c r="C33" s="306">
        <v>3006</v>
      </c>
      <c r="D33" s="306">
        <v>1154</v>
      </c>
      <c r="E33" s="306">
        <v>2914</v>
      </c>
      <c r="F33" s="306">
        <v>2487</v>
      </c>
      <c r="G33" s="306"/>
      <c r="H33" s="306"/>
      <c r="I33" s="391"/>
      <c r="J33" s="306">
        <v>441</v>
      </c>
      <c r="K33" s="306">
        <v>2526</v>
      </c>
      <c r="L33" s="306">
        <v>39</v>
      </c>
      <c r="M33" s="352" t="s">
        <v>3</v>
      </c>
    </row>
    <row r="34" spans="1:13" ht="11.5" x14ac:dyDescent="0.25">
      <c r="A34" s="352">
        <v>33</v>
      </c>
      <c r="B34" s="305" t="s">
        <v>749</v>
      </c>
      <c r="C34" s="306">
        <v>2339</v>
      </c>
      <c r="D34" s="306">
        <v>646</v>
      </c>
      <c r="E34" s="306">
        <v>1046</v>
      </c>
      <c r="F34" s="306">
        <v>4690</v>
      </c>
      <c r="G34" s="306"/>
      <c r="H34" s="306"/>
      <c r="I34" s="391"/>
      <c r="J34" s="306">
        <v>160</v>
      </c>
      <c r="K34" s="306">
        <v>1620</v>
      </c>
      <c r="L34" s="306">
        <v>559</v>
      </c>
      <c r="M34" s="352" t="s">
        <v>3</v>
      </c>
    </row>
    <row r="35" spans="1:13" ht="11.5" x14ac:dyDescent="0.25">
      <c r="A35" s="352">
        <v>34</v>
      </c>
      <c r="B35" s="305" t="s">
        <v>753</v>
      </c>
      <c r="C35" s="306">
        <v>1559</v>
      </c>
      <c r="D35" s="306">
        <v>623</v>
      </c>
      <c r="E35" s="306">
        <v>578</v>
      </c>
      <c r="F35" s="306">
        <v>2032</v>
      </c>
      <c r="G35" s="306"/>
      <c r="H35" s="306"/>
      <c r="I35" s="391"/>
      <c r="J35" s="306">
        <v>511</v>
      </c>
      <c r="K35" s="306">
        <v>928</v>
      </c>
      <c r="L35" s="306">
        <v>121</v>
      </c>
      <c r="M35" s="352" t="s">
        <v>3</v>
      </c>
    </row>
    <row r="36" spans="1:13" ht="11.5" x14ac:dyDescent="0.25">
      <c r="A36" s="352">
        <v>35</v>
      </c>
      <c r="B36" s="305" t="s">
        <v>748</v>
      </c>
      <c r="C36" s="306">
        <v>1476</v>
      </c>
      <c r="D36" s="306">
        <v>585</v>
      </c>
      <c r="E36" s="306">
        <v>580</v>
      </c>
      <c r="F36" s="306">
        <v>13812</v>
      </c>
      <c r="G36" s="306"/>
      <c r="H36" s="306"/>
      <c r="I36" s="391"/>
      <c r="J36" s="306">
        <v>406</v>
      </c>
      <c r="K36" s="306">
        <v>992</v>
      </c>
      <c r="L36" s="306">
        <v>78</v>
      </c>
      <c r="M36" s="352" t="s">
        <v>3</v>
      </c>
    </row>
    <row r="37" spans="1:13" ht="11.5" x14ac:dyDescent="0.25">
      <c r="A37" s="352">
        <v>36</v>
      </c>
      <c r="B37" s="305" t="s">
        <v>756</v>
      </c>
      <c r="C37" s="306">
        <v>1429</v>
      </c>
      <c r="D37" s="306">
        <v>1112</v>
      </c>
      <c r="E37" s="306">
        <v>1166</v>
      </c>
      <c r="F37" s="306">
        <v>1428</v>
      </c>
      <c r="G37" s="306"/>
      <c r="H37" s="306"/>
      <c r="I37" s="391"/>
      <c r="J37" s="306">
        <v>263</v>
      </c>
      <c r="K37" s="306">
        <v>1049</v>
      </c>
      <c r="L37" s="306">
        <v>117</v>
      </c>
      <c r="M37" s="352" t="s">
        <v>3</v>
      </c>
    </row>
    <row r="38" spans="1:13" ht="14.5" customHeight="1" x14ac:dyDescent="0.25">
      <c r="A38" s="352">
        <v>37</v>
      </c>
      <c r="B38" s="305" t="s">
        <v>755</v>
      </c>
      <c r="C38" s="306">
        <v>1233</v>
      </c>
      <c r="D38" s="306">
        <v>957</v>
      </c>
      <c r="E38" s="306">
        <v>1143</v>
      </c>
      <c r="F38" s="306">
        <v>4674</v>
      </c>
      <c r="G38" s="306"/>
      <c r="H38" s="306"/>
      <c r="I38" s="391"/>
      <c r="J38" s="306">
        <v>16</v>
      </c>
      <c r="K38" s="306">
        <v>1194</v>
      </c>
      <c r="L38" s="306">
        <v>23</v>
      </c>
      <c r="M38" s="352" t="s">
        <v>3</v>
      </c>
    </row>
    <row r="39" spans="1:13" ht="11.5" x14ac:dyDescent="0.25">
      <c r="A39" s="352">
        <v>38</v>
      </c>
      <c r="B39" s="305" t="s">
        <v>750</v>
      </c>
      <c r="C39" s="306">
        <v>1185</v>
      </c>
      <c r="D39" s="306">
        <v>495</v>
      </c>
      <c r="E39" s="306">
        <v>400</v>
      </c>
      <c r="F39" s="306">
        <v>1218</v>
      </c>
      <c r="G39" s="306"/>
      <c r="H39" s="306"/>
      <c r="I39" s="391"/>
      <c r="J39" s="306">
        <v>374</v>
      </c>
      <c r="K39" s="306">
        <v>810</v>
      </c>
      <c r="L39" s="306">
        <v>1</v>
      </c>
      <c r="M39" s="352" t="s">
        <v>3</v>
      </c>
    </row>
    <row r="40" spans="1:13" ht="11.5" x14ac:dyDescent="0.25">
      <c r="A40" s="352">
        <v>39</v>
      </c>
      <c r="B40" s="305" t="s">
        <v>761</v>
      </c>
      <c r="C40" s="306">
        <v>890</v>
      </c>
      <c r="D40" s="306">
        <v>830</v>
      </c>
      <c r="E40" s="306">
        <v>466</v>
      </c>
      <c r="F40" s="306">
        <v>2667</v>
      </c>
      <c r="G40" s="306"/>
      <c r="H40" s="306"/>
      <c r="I40" s="391"/>
      <c r="J40" s="306">
        <v>195</v>
      </c>
      <c r="K40" s="306">
        <v>561</v>
      </c>
      <c r="L40" s="306">
        <v>134</v>
      </c>
      <c r="M40" s="352" t="s">
        <v>3</v>
      </c>
    </row>
    <row r="41" spans="1:13" ht="11.5" x14ac:dyDescent="0.25">
      <c r="A41" s="352">
        <v>40</v>
      </c>
      <c r="B41" s="305" t="s">
        <v>757</v>
      </c>
      <c r="C41" s="306">
        <v>889</v>
      </c>
      <c r="D41" s="306">
        <v>798</v>
      </c>
      <c r="E41" s="306">
        <v>381</v>
      </c>
      <c r="F41" s="306">
        <v>1051</v>
      </c>
      <c r="G41" s="306"/>
      <c r="H41" s="306"/>
      <c r="I41" s="391"/>
      <c r="J41" s="306">
        <v>277</v>
      </c>
      <c r="K41" s="306">
        <v>478</v>
      </c>
      <c r="L41" s="306">
        <v>135</v>
      </c>
      <c r="M41" s="352" t="s">
        <v>3</v>
      </c>
    </row>
    <row r="42" spans="1:13" ht="11.5" x14ac:dyDescent="0.25">
      <c r="A42" s="352">
        <v>41</v>
      </c>
      <c r="B42" s="305" t="s">
        <v>758</v>
      </c>
      <c r="C42" s="306">
        <v>618</v>
      </c>
      <c r="D42" s="306">
        <v>657</v>
      </c>
      <c r="E42" s="306">
        <v>213</v>
      </c>
      <c r="F42" s="306">
        <v>321</v>
      </c>
      <c r="G42" s="306"/>
      <c r="H42" s="306"/>
      <c r="I42" s="391"/>
      <c r="J42" s="306">
        <v>233</v>
      </c>
      <c r="K42" s="306">
        <v>324</v>
      </c>
      <c r="L42" s="306">
        <v>61</v>
      </c>
      <c r="M42" s="352" t="s">
        <v>3</v>
      </c>
    </row>
    <row r="43" spans="1:13" ht="11.5" x14ac:dyDescent="0.25">
      <c r="A43" s="352">
        <v>42</v>
      </c>
      <c r="B43" s="305" t="s">
        <v>747</v>
      </c>
      <c r="C43" s="306">
        <v>495</v>
      </c>
      <c r="D43" s="306">
        <v>744</v>
      </c>
      <c r="E43" s="306">
        <v>254</v>
      </c>
      <c r="F43" s="306">
        <v>264</v>
      </c>
      <c r="G43" s="306"/>
      <c r="H43" s="306"/>
      <c r="I43" s="391"/>
      <c r="J43" s="306">
        <v>29</v>
      </c>
      <c r="K43" s="306">
        <v>341</v>
      </c>
      <c r="L43" s="306">
        <v>125</v>
      </c>
      <c r="M43" s="352" t="s">
        <v>3</v>
      </c>
    </row>
    <row r="44" spans="1:13" ht="11.5" x14ac:dyDescent="0.25">
      <c r="A44" s="352">
        <v>43</v>
      </c>
      <c r="B44" s="305" t="s">
        <v>763</v>
      </c>
      <c r="C44" s="306">
        <v>387</v>
      </c>
      <c r="D44" s="306">
        <v>1052</v>
      </c>
      <c r="E44" s="306">
        <v>122</v>
      </c>
      <c r="F44" s="306">
        <v>454</v>
      </c>
      <c r="G44" s="306"/>
      <c r="H44" s="306"/>
      <c r="I44" s="391"/>
      <c r="J44" s="306">
        <v>125</v>
      </c>
      <c r="K44" s="306">
        <v>116</v>
      </c>
      <c r="L44" s="306">
        <v>146</v>
      </c>
      <c r="M44" s="352" t="s">
        <v>3</v>
      </c>
    </row>
    <row r="45" spans="1:13" ht="14.5" customHeight="1" x14ac:dyDescent="0.25">
      <c r="A45" s="352">
        <v>44</v>
      </c>
      <c r="B45" s="305" t="s">
        <v>760</v>
      </c>
      <c r="C45" s="306">
        <v>349</v>
      </c>
      <c r="D45" s="306">
        <v>1549</v>
      </c>
      <c r="E45" s="306">
        <v>480</v>
      </c>
      <c r="F45" s="306">
        <v>207</v>
      </c>
      <c r="G45" s="306"/>
      <c r="H45" s="306"/>
      <c r="I45" s="391"/>
      <c r="J45" s="306">
        <v>11</v>
      </c>
      <c r="K45" s="306">
        <v>310</v>
      </c>
      <c r="L45" s="306">
        <v>28</v>
      </c>
      <c r="M45" s="352" t="s">
        <v>3</v>
      </c>
    </row>
    <row r="46" spans="1:13" ht="11.5" x14ac:dyDescent="0.25">
      <c r="A46" s="352">
        <v>45</v>
      </c>
      <c r="B46" s="305" t="s">
        <v>746</v>
      </c>
      <c r="C46" s="306">
        <v>293</v>
      </c>
      <c r="D46" s="306">
        <v>1462</v>
      </c>
      <c r="E46" s="306">
        <v>226</v>
      </c>
      <c r="F46" s="306">
        <v>718</v>
      </c>
      <c r="G46" s="306"/>
      <c r="H46" s="306"/>
      <c r="I46" s="391"/>
      <c r="J46" s="306">
        <v>128</v>
      </c>
      <c r="K46" s="306">
        <v>155</v>
      </c>
      <c r="L46" s="306">
        <v>11</v>
      </c>
      <c r="M46" s="352" t="s">
        <v>3</v>
      </c>
    </row>
    <row r="47" spans="1:13" ht="11.5" x14ac:dyDescent="0.25">
      <c r="A47" s="352">
        <v>46</v>
      </c>
      <c r="B47" s="305" t="s">
        <v>759</v>
      </c>
      <c r="C47" s="306">
        <v>283</v>
      </c>
      <c r="D47" s="306">
        <v>1032</v>
      </c>
      <c r="E47" s="306">
        <v>228</v>
      </c>
      <c r="F47" s="306">
        <v>164</v>
      </c>
      <c r="G47" s="306"/>
      <c r="H47" s="306"/>
      <c r="I47" s="391"/>
      <c r="J47" s="306">
        <v>48</v>
      </c>
      <c r="K47" s="306">
        <v>221</v>
      </c>
      <c r="L47" s="306">
        <v>14</v>
      </c>
      <c r="M47" s="352" t="s">
        <v>3</v>
      </c>
    </row>
    <row r="48" spans="1:13" ht="11.5" x14ac:dyDescent="0.25">
      <c r="A48" s="352">
        <v>47</v>
      </c>
      <c r="B48" s="305" t="s">
        <v>754</v>
      </c>
      <c r="C48" s="306">
        <v>221</v>
      </c>
      <c r="D48" s="306">
        <v>680</v>
      </c>
      <c r="E48" s="306">
        <v>123</v>
      </c>
      <c r="F48" s="306">
        <v>342</v>
      </c>
      <c r="G48" s="306"/>
      <c r="H48" s="306"/>
      <c r="I48" s="391"/>
      <c r="J48" s="306">
        <v>35</v>
      </c>
      <c r="K48" s="306">
        <v>181</v>
      </c>
      <c r="L48" s="306">
        <v>6</v>
      </c>
      <c r="M48" s="352" t="s">
        <v>3</v>
      </c>
    </row>
    <row r="49" spans="1:13" ht="11.5" x14ac:dyDescent="0.25">
      <c r="A49" s="352">
        <v>48</v>
      </c>
      <c r="B49" s="305" t="s">
        <v>1325</v>
      </c>
      <c r="C49" s="306">
        <v>176</v>
      </c>
      <c r="D49" s="306">
        <v>855</v>
      </c>
      <c r="E49" s="306">
        <v>65</v>
      </c>
      <c r="F49" s="306">
        <v>256</v>
      </c>
      <c r="G49" s="306"/>
      <c r="H49" s="306"/>
      <c r="I49" s="391"/>
      <c r="J49" s="306">
        <v>79</v>
      </c>
      <c r="K49" s="306">
        <v>76</v>
      </c>
      <c r="L49" s="306">
        <v>21</v>
      </c>
      <c r="M49" s="352" t="s">
        <v>3</v>
      </c>
    </row>
    <row r="50" spans="1:13" ht="11.5" x14ac:dyDescent="0.25">
      <c r="A50" s="352">
        <v>49</v>
      </c>
      <c r="B50" s="305" t="s">
        <v>762</v>
      </c>
      <c r="C50" s="306">
        <v>135</v>
      </c>
      <c r="D50" s="306">
        <v>829</v>
      </c>
      <c r="E50" s="306">
        <v>102</v>
      </c>
      <c r="F50" s="306">
        <v>176</v>
      </c>
      <c r="G50" s="306"/>
      <c r="H50" s="306"/>
      <c r="I50" s="391"/>
      <c r="J50" s="306">
        <v>7</v>
      </c>
      <c r="K50" s="306">
        <v>123</v>
      </c>
      <c r="L50" s="306">
        <v>5</v>
      </c>
      <c r="M50" s="352" t="s">
        <v>3</v>
      </c>
    </row>
    <row r="51" spans="1:13" ht="11.5" x14ac:dyDescent="0.25">
      <c r="A51" s="352">
        <v>50</v>
      </c>
      <c r="B51" s="347" t="s">
        <v>216</v>
      </c>
      <c r="C51" s="283">
        <v>2967</v>
      </c>
      <c r="D51" s="283">
        <v>113</v>
      </c>
      <c r="E51" s="283">
        <v>260</v>
      </c>
      <c r="F51" s="283">
        <v>2460</v>
      </c>
      <c r="G51" s="283"/>
      <c r="H51" s="283"/>
      <c r="I51" s="283"/>
      <c r="J51" s="283">
        <v>244</v>
      </c>
      <c r="K51" s="283">
        <v>2301</v>
      </c>
      <c r="L51" s="283">
        <v>422</v>
      </c>
      <c r="M51" s="352" t="s">
        <v>4</v>
      </c>
    </row>
    <row r="52" spans="1:13" ht="11.5" x14ac:dyDescent="0.25">
      <c r="A52" s="352">
        <v>51</v>
      </c>
      <c r="B52" s="347" t="s">
        <v>225</v>
      </c>
      <c r="C52" s="283">
        <v>25190</v>
      </c>
      <c r="D52" s="283">
        <v>935</v>
      </c>
      <c r="E52" s="283">
        <v>16</v>
      </c>
      <c r="F52" s="283">
        <v>18006</v>
      </c>
      <c r="G52" s="283"/>
      <c r="H52" s="283"/>
      <c r="I52" s="283"/>
      <c r="J52" s="283">
        <v>6513</v>
      </c>
      <c r="K52" s="283">
        <v>17121</v>
      </c>
      <c r="L52" s="283">
        <v>1556</v>
      </c>
      <c r="M52" s="352" t="s">
        <v>4</v>
      </c>
    </row>
    <row r="53" spans="1:13" ht="11.5" x14ac:dyDescent="0.25">
      <c r="A53" s="352">
        <v>52</v>
      </c>
      <c r="B53" s="347" t="s">
        <v>221</v>
      </c>
      <c r="C53" s="283">
        <v>24718</v>
      </c>
      <c r="D53" s="283">
        <v>876</v>
      </c>
      <c r="E53" s="283">
        <v>11759</v>
      </c>
      <c r="F53" s="283">
        <v>9482</v>
      </c>
      <c r="G53" s="283"/>
      <c r="H53" s="283"/>
      <c r="I53" s="283"/>
      <c r="J53" s="283">
        <v>215</v>
      </c>
      <c r="K53" s="283">
        <v>13421</v>
      </c>
      <c r="L53" s="283">
        <v>11082</v>
      </c>
      <c r="M53" s="352" t="s">
        <v>4</v>
      </c>
    </row>
    <row r="54" spans="1:13" ht="11.5" x14ac:dyDescent="0.25">
      <c r="A54" s="352">
        <v>53</v>
      </c>
      <c r="B54" s="347" t="s">
        <v>228</v>
      </c>
      <c r="C54" s="283">
        <v>17294</v>
      </c>
      <c r="D54" s="283">
        <v>817</v>
      </c>
      <c r="E54" s="283">
        <v>8307</v>
      </c>
      <c r="F54" s="283">
        <v>6417</v>
      </c>
      <c r="G54" s="283"/>
      <c r="H54" s="283"/>
      <c r="I54" s="283"/>
      <c r="J54" s="283">
        <v>4613</v>
      </c>
      <c r="K54" s="283">
        <v>10167</v>
      </c>
      <c r="L54" s="283">
        <v>2514</v>
      </c>
      <c r="M54" s="352" t="s">
        <v>4</v>
      </c>
    </row>
    <row r="55" spans="1:13" ht="11.5" x14ac:dyDescent="0.25">
      <c r="A55" s="352">
        <v>54</v>
      </c>
      <c r="B55" s="347" t="s">
        <v>223</v>
      </c>
      <c r="C55" s="283">
        <v>8796</v>
      </c>
      <c r="D55" s="283">
        <v>1075</v>
      </c>
      <c r="E55" s="283">
        <v>4836</v>
      </c>
      <c r="F55" s="283">
        <v>9456</v>
      </c>
      <c r="G55" s="283"/>
      <c r="H55" s="283"/>
      <c r="I55" s="283"/>
      <c r="J55" s="283">
        <v>2996</v>
      </c>
      <c r="K55" s="283">
        <v>450</v>
      </c>
      <c r="L55" s="283">
        <v>130</v>
      </c>
      <c r="M55" s="352" t="s">
        <v>4</v>
      </c>
    </row>
    <row r="56" spans="1:13" ht="11.5" x14ac:dyDescent="0.25">
      <c r="A56" s="352">
        <v>55</v>
      </c>
      <c r="B56" s="347" t="s">
        <v>224</v>
      </c>
      <c r="C56" s="283">
        <v>8557</v>
      </c>
      <c r="D56" s="283">
        <v>895</v>
      </c>
      <c r="E56" s="283">
        <v>4091</v>
      </c>
      <c r="F56" s="283">
        <v>7537</v>
      </c>
      <c r="G56" s="283"/>
      <c r="H56" s="283"/>
      <c r="I56" s="283"/>
      <c r="J56" s="283">
        <v>2285</v>
      </c>
      <c r="K56" s="283">
        <v>4570</v>
      </c>
      <c r="L56" s="283">
        <v>1702</v>
      </c>
      <c r="M56" s="352" t="s">
        <v>4</v>
      </c>
    </row>
    <row r="57" spans="1:13" ht="11.5" x14ac:dyDescent="0.25">
      <c r="A57" s="352">
        <v>56</v>
      </c>
      <c r="B57" s="347" t="s">
        <v>220</v>
      </c>
      <c r="C57" s="283">
        <v>6179</v>
      </c>
      <c r="D57" s="283">
        <v>1</v>
      </c>
      <c r="E57" s="283">
        <v>3790</v>
      </c>
      <c r="F57" s="283">
        <v>10324</v>
      </c>
      <c r="G57" s="283"/>
      <c r="H57" s="283"/>
      <c r="I57" s="283"/>
      <c r="J57" s="283">
        <v>30</v>
      </c>
      <c r="K57" s="283">
        <v>3791</v>
      </c>
      <c r="L57" s="283">
        <v>2358</v>
      </c>
      <c r="M57" s="352" t="s">
        <v>4</v>
      </c>
    </row>
    <row r="58" spans="1:13" ht="11.5" x14ac:dyDescent="0.25">
      <c r="A58" s="352">
        <v>57</v>
      </c>
      <c r="B58" s="347" t="s">
        <v>217</v>
      </c>
      <c r="C58" s="283">
        <v>4925</v>
      </c>
      <c r="D58" s="283">
        <v>420</v>
      </c>
      <c r="E58" s="283">
        <v>1006</v>
      </c>
      <c r="F58" s="283">
        <v>6745</v>
      </c>
      <c r="G58" s="283"/>
      <c r="H58" s="283"/>
      <c r="I58" s="283"/>
      <c r="J58" s="283">
        <v>914</v>
      </c>
      <c r="K58" s="283">
        <v>2398</v>
      </c>
      <c r="L58" s="283">
        <v>1613</v>
      </c>
      <c r="M58" s="352" t="s">
        <v>4</v>
      </c>
    </row>
    <row r="59" spans="1:13" ht="11.5" x14ac:dyDescent="0.25">
      <c r="A59" s="352">
        <v>58</v>
      </c>
      <c r="B59" s="347" t="s">
        <v>219</v>
      </c>
      <c r="C59" s="283">
        <v>4129</v>
      </c>
      <c r="D59" s="283">
        <v>503</v>
      </c>
      <c r="E59" s="283">
        <v>1023</v>
      </c>
      <c r="F59" s="283">
        <v>3616</v>
      </c>
      <c r="G59" s="283"/>
      <c r="H59" s="283"/>
      <c r="I59" s="283"/>
      <c r="J59" s="283">
        <v>669</v>
      </c>
      <c r="K59" s="283">
        <v>2034</v>
      </c>
      <c r="L59" s="283">
        <v>1426</v>
      </c>
      <c r="M59" s="352" t="s">
        <v>4</v>
      </c>
    </row>
    <row r="60" spans="1:13" ht="11.5" x14ac:dyDescent="0.25">
      <c r="A60" s="352">
        <v>59</v>
      </c>
      <c r="B60" s="347" t="s">
        <v>218</v>
      </c>
      <c r="C60" s="283">
        <v>3957</v>
      </c>
      <c r="D60" s="283">
        <v>712</v>
      </c>
      <c r="E60" s="283">
        <v>1666</v>
      </c>
      <c r="F60" s="283">
        <v>5288</v>
      </c>
      <c r="G60" s="283"/>
      <c r="H60" s="283"/>
      <c r="I60" s="283"/>
      <c r="J60" s="283">
        <v>1581</v>
      </c>
      <c r="K60" s="283">
        <v>2339</v>
      </c>
      <c r="L60" s="283">
        <v>37</v>
      </c>
      <c r="M60" s="352" t="s">
        <v>4</v>
      </c>
    </row>
    <row r="61" spans="1:13" ht="11.5" x14ac:dyDescent="0.25">
      <c r="A61" s="352">
        <v>60</v>
      </c>
      <c r="B61" s="347" t="s">
        <v>231</v>
      </c>
      <c r="C61" s="283">
        <v>3891</v>
      </c>
      <c r="D61" s="283">
        <v>339</v>
      </c>
      <c r="E61" s="283">
        <v>542</v>
      </c>
      <c r="F61" s="283">
        <v>3634</v>
      </c>
      <c r="G61" s="283"/>
      <c r="H61" s="283"/>
      <c r="I61" s="283"/>
      <c r="J61" s="283">
        <v>83</v>
      </c>
      <c r="K61" s="283">
        <v>1598</v>
      </c>
      <c r="L61" s="283">
        <v>2210</v>
      </c>
      <c r="M61" s="352" t="s">
        <v>4</v>
      </c>
    </row>
    <row r="62" spans="1:13" ht="11.5" x14ac:dyDescent="0.25">
      <c r="A62" s="352">
        <v>61</v>
      </c>
      <c r="B62" s="347" t="s">
        <v>227</v>
      </c>
      <c r="C62" s="283">
        <v>3825</v>
      </c>
      <c r="D62" s="283">
        <v>863</v>
      </c>
      <c r="E62" s="283">
        <v>2325</v>
      </c>
      <c r="F62" s="283">
        <v>6583</v>
      </c>
      <c r="G62" s="283"/>
      <c r="H62" s="283"/>
      <c r="I62" s="283"/>
      <c r="J62" s="283">
        <v>277</v>
      </c>
      <c r="K62" s="283">
        <v>2695</v>
      </c>
      <c r="L62" s="283">
        <v>853</v>
      </c>
      <c r="M62" s="352" t="s">
        <v>4</v>
      </c>
    </row>
    <row r="63" spans="1:13" ht="11.5" x14ac:dyDescent="0.25">
      <c r="A63" s="352">
        <v>62</v>
      </c>
      <c r="B63" s="347" t="s">
        <v>234</v>
      </c>
      <c r="C63" s="283">
        <v>1560</v>
      </c>
      <c r="D63" s="283">
        <v>717</v>
      </c>
      <c r="E63" s="283">
        <v>975</v>
      </c>
      <c r="F63" s="283">
        <v>3545</v>
      </c>
      <c r="G63" s="283"/>
      <c r="H63" s="283"/>
      <c r="I63" s="283"/>
      <c r="J63" s="283">
        <v>181</v>
      </c>
      <c r="K63" s="283">
        <v>1360</v>
      </c>
      <c r="L63" s="283">
        <v>19</v>
      </c>
      <c r="M63" s="352" t="s">
        <v>4</v>
      </c>
    </row>
    <row r="64" spans="1:13" ht="11.5" x14ac:dyDescent="0.25">
      <c r="A64" s="352">
        <v>63</v>
      </c>
      <c r="B64" s="347" t="s">
        <v>229</v>
      </c>
      <c r="C64" s="283">
        <v>1419</v>
      </c>
      <c r="D64" s="283">
        <v>900</v>
      </c>
      <c r="E64" s="283">
        <v>601</v>
      </c>
      <c r="F64" s="283">
        <v>1675</v>
      </c>
      <c r="G64" s="283"/>
      <c r="H64" s="283"/>
      <c r="I64" s="283"/>
      <c r="J64" s="283">
        <v>457</v>
      </c>
      <c r="K64" s="283">
        <v>668</v>
      </c>
      <c r="L64" s="283">
        <v>294</v>
      </c>
      <c r="M64" s="352" t="s">
        <v>4</v>
      </c>
    </row>
    <row r="65" spans="1:13" ht="11.5" x14ac:dyDescent="0.25">
      <c r="A65" s="352">
        <v>64</v>
      </c>
      <c r="B65" s="347" t="s">
        <v>222</v>
      </c>
      <c r="C65" s="283">
        <v>812</v>
      </c>
      <c r="D65" s="283">
        <v>440</v>
      </c>
      <c r="E65" s="283">
        <v>229</v>
      </c>
      <c r="F65" s="283">
        <v>620</v>
      </c>
      <c r="G65" s="283"/>
      <c r="H65" s="283"/>
      <c r="I65" s="283"/>
      <c r="J65" s="283">
        <v>18</v>
      </c>
      <c r="K65" s="283">
        <v>519</v>
      </c>
      <c r="L65" s="283">
        <v>275</v>
      </c>
      <c r="M65" s="352" t="s">
        <v>4</v>
      </c>
    </row>
    <row r="66" spans="1:13" ht="11.5" x14ac:dyDescent="0.25">
      <c r="A66" s="352">
        <v>65</v>
      </c>
      <c r="B66" s="347" t="s">
        <v>230</v>
      </c>
      <c r="C66" s="283">
        <v>544</v>
      </c>
      <c r="D66" s="283">
        <v>694</v>
      </c>
      <c r="E66" s="283">
        <v>244</v>
      </c>
      <c r="F66" s="283">
        <v>382</v>
      </c>
      <c r="G66" s="283"/>
      <c r="H66" s="283"/>
      <c r="I66" s="283"/>
      <c r="J66" s="384"/>
      <c r="K66" s="283">
        <v>352</v>
      </c>
      <c r="L66" s="283">
        <v>192</v>
      </c>
      <c r="M66" s="352" t="s">
        <v>4</v>
      </c>
    </row>
    <row r="67" spans="1:13" ht="11.5" x14ac:dyDescent="0.25">
      <c r="A67" s="352">
        <v>66</v>
      </c>
      <c r="B67" s="347" t="s">
        <v>226</v>
      </c>
      <c r="C67" s="283">
        <v>240</v>
      </c>
      <c r="D67" s="283">
        <v>871</v>
      </c>
      <c r="E67" s="283">
        <v>934</v>
      </c>
      <c r="F67" s="283">
        <v>3552</v>
      </c>
      <c r="G67" s="283"/>
      <c r="H67" s="283"/>
      <c r="I67" s="283"/>
      <c r="J67" s="283">
        <v>1318</v>
      </c>
      <c r="K67" s="283">
        <v>1073</v>
      </c>
      <c r="L67" s="283">
        <v>9</v>
      </c>
      <c r="M67" s="352" t="s">
        <v>4</v>
      </c>
    </row>
    <row r="68" spans="1:13" ht="11.5" x14ac:dyDescent="0.25">
      <c r="A68" s="352">
        <v>67</v>
      </c>
      <c r="B68" s="347" t="s">
        <v>233</v>
      </c>
      <c r="C68" s="283">
        <v>34</v>
      </c>
      <c r="D68" s="283">
        <v>500</v>
      </c>
      <c r="E68" s="283">
        <v>15</v>
      </c>
      <c r="F68" s="283">
        <v>327</v>
      </c>
      <c r="G68" s="283"/>
      <c r="H68" s="283"/>
      <c r="I68" s="283"/>
      <c r="J68" s="283">
        <v>2</v>
      </c>
      <c r="K68" s="283">
        <v>30</v>
      </c>
      <c r="L68" s="283">
        <v>2</v>
      </c>
      <c r="M68" s="352" t="s">
        <v>4</v>
      </c>
    </row>
    <row r="69" spans="1:13" ht="11.5" x14ac:dyDescent="0.25">
      <c r="A69" s="352">
        <v>68</v>
      </c>
      <c r="B69" s="347" t="s">
        <v>232</v>
      </c>
      <c r="C69" s="283">
        <v>31</v>
      </c>
      <c r="D69" s="283">
        <v>967</v>
      </c>
      <c r="E69" s="283">
        <v>3</v>
      </c>
      <c r="F69" s="283">
        <v>36</v>
      </c>
      <c r="G69" s="283"/>
      <c r="H69" s="283"/>
      <c r="I69" s="283"/>
      <c r="J69" s="283">
        <v>3</v>
      </c>
      <c r="K69" s="283">
        <v>3</v>
      </c>
      <c r="L69" s="283">
        <v>25</v>
      </c>
      <c r="M69" s="352" t="s">
        <v>4</v>
      </c>
    </row>
    <row r="70" spans="1:13" ht="11.5" x14ac:dyDescent="0.25">
      <c r="A70" s="352">
        <v>69</v>
      </c>
      <c r="B70" s="286" t="s">
        <v>775</v>
      </c>
      <c r="C70" s="285">
        <v>220</v>
      </c>
      <c r="D70" s="285">
        <v>226</v>
      </c>
      <c r="E70" s="285">
        <v>26</v>
      </c>
      <c r="F70" s="285">
        <v>3267</v>
      </c>
      <c r="G70" s="285"/>
      <c r="H70" s="285"/>
      <c r="I70" s="425"/>
      <c r="J70" s="285">
        <v>92</v>
      </c>
      <c r="K70" s="285">
        <v>115</v>
      </c>
      <c r="L70" s="285">
        <v>13</v>
      </c>
      <c r="M70" s="352" t="s">
        <v>5</v>
      </c>
    </row>
    <row r="71" spans="1:13" ht="11.5" x14ac:dyDescent="0.25">
      <c r="A71" s="352">
        <v>70</v>
      </c>
      <c r="B71" s="286" t="s">
        <v>777</v>
      </c>
      <c r="C71" s="285">
        <v>1888</v>
      </c>
      <c r="D71" s="285">
        <v>1732</v>
      </c>
      <c r="E71" s="285">
        <v>1637</v>
      </c>
      <c r="F71" s="285">
        <v>1023</v>
      </c>
      <c r="G71" s="285"/>
      <c r="H71" s="285"/>
      <c r="I71" s="425"/>
      <c r="J71" s="285">
        <v>564</v>
      </c>
      <c r="K71" s="285">
        <v>945</v>
      </c>
      <c r="L71" s="285">
        <v>379</v>
      </c>
      <c r="M71" s="352" t="s">
        <v>5</v>
      </c>
    </row>
    <row r="72" spans="1:13" ht="11.5" x14ac:dyDescent="0.25">
      <c r="A72" s="352">
        <v>71</v>
      </c>
      <c r="B72" s="286" t="s">
        <v>778</v>
      </c>
      <c r="C72" s="285">
        <v>706</v>
      </c>
      <c r="D72" s="285">
        <v>421</v>
      </c>
      <c r="E72" s="285">
        <v>83</v>
      </c>
      <c r="F72" s="285">
        <v>495</v>
      </c>
      <c r="G72" s="285"/>
      <c r="H72" s="285"/>
      <c r="I72" s="425"/>
      <c r="J72" s="285">
        <v>509</v>
      </c>
      <c r="K72" s="285">
        <v>197</v>
      </c>
      <c r="L72" s="425"/>
      <c r="M72" s="352" t="s">
        <v>5</v>
      </c>
    </row>
    <row r="73" spans="1:13" ht="11.5" x14ac:dyDescent="0.25">
      <c r="A73" s="352">
        <v>72</v>
      </c>
      <c r="B73" s="286" t="s">
        <v>776</v>
      </c>
      <c r="C73" s="285">
        <v>638</v>
      </c>
      <c r="D73" s="285">
        <v>416</v>
      </c>
      <c r="E73" s="285">
        <v>227</v>
      </c>
      <c r="F73" s="285">
        <v>2654</v>
      </c>
      <c r="G73" s="285"/>
      <c r="H73" s="285"/>
      <c r="I73" s="425"/>
      <c r="J73" s="285">
        <v>52</v>
      </c>
      <c r="K73" s="285">
        <v>546</v>
      </c>
      <c r="L73" s="285">
        <v>40</v>
      </c>
      <c r="M73" s="352" t="s">
        <v>5</v>
      </c>
    </row>
    <row r="74" spans="1:13" ht="11.5" x14ac:dyDescent="0.25">
      <c r="A74" s="352">
        <v>73</v>
      </c>
      <c r="B74" s="353" t="s">
        <v>654</v>
      </c>
      <c r="C74" s="285">
        <v>341</v>
      </c>
      <c r="D74" s="285">
        <v>198</v>
      </c>
      <c r="E74" s="285">
        <v>43</v>
      </c>
      <c r="F74" s="285">
        <v>540</v>
      </c>
      <c r="G74" s="285"/>
      <c r="H74" s="285"/>
      <c r="I74" s="425"/>
      <c r="J74" s="285">
        <v>97</v>
      </c>
      <c r="K74" s="285">
        <v>215</v>
      </c>
      <c r="L74" s="285">
        <v>29</v>
      </c>
      <c r="M74" s="352" t="s">
        <v>5</v>
      </c>
    </row>
    <row r="75" spans="1:13" ht="11.5" x14ac:dyDescent="0.25">
      <c r="A75" s="352">
        <v>74</v>
      </c>
      <c r="B75" s="353" t="s">
        <v>657</v>
      </c>
      <c r="C75" s="285">
        <v>269</v>
      </c>
      <c r="D75" s="285">
        <v>628</v>
      </c>
      <c r="E75" s="285">
        <v>114</v>
      </c>
      <c r="F75" s="285">
        <v>487</v>
      </c>
      <c r="G75" s="285"/>
      <c r="H75" s="285"/>
      <c r="I75" s="425"/>
      <c r="J75" s="285">
        <v>62</v>
      </c>
      <c r="K75" s="285">
        <v>181</v>
      </c>
      <c r="L75" s="285">
        <v>26</v>
      </c>
      <c r="M75" s="352" t="s">
        <v>5</v>
      </c>
    </row>
    <row r="76" spans="1:13" ht="11.5" x14ac:dyDescent="0.25">
      <c r="A76" s="352">
        <v>75</v>
      </c>
      <c r="B76" s="353" t="s">
        <v>655</v>
      </c>
      <c r="C76" s="285">
        <v>196</v>
      </c>
      <c r="D76" s="285">
        <v>597</v>
      </c>
      <c r="E76" s="285">
        <v>110</v>
      </c>
      <c r="F76" s="285">
        <v>492</v>
      </c>
      <c r="G76" s="285"/>
      <c r="H76" s="285"/>
      <c r="I76" s="425"/>
      <c r="J76" s="425"/>
      <c r="K76" s="285">
        <v>185</v>
      </c>
      <c r="L76" s="285">
        <v>11</v>
      </c>
      <c r="M76" s="352" t="s">
        <v>5</v>
      </c>
    </row>
    <row r="77" spans="1:13" ht="11.5" x14ac:dyDescent="0.25">
      <c r="A77" s="352">
        <v>76</v>
      </c>
      <c r="B77" s="286" t="s">
        <v>779</v>
      </c>
      <c r="C77" s="285">
        <v>66</v>
      </c>
      <c r="D77" s="285">
        <v>697</v>
      </c>
      <c r="E77" s="285">
        <v>22</v>
      </c>
      <c r="F77" s="285">
        <v>138</v>
      </c>
      <c r="G77" s="285"/>
      <c r="H77" s="285"/>
      <c r="I77" s="425"/>
      <c r="J77" s="285">
        <v>32</v>
      </c>
      <c r="K77" s="285">
        <v>31</v>
      </c>
      <c r="L77" s="285">
        <v>3</v>
      </c>
      <c r="M77" s="352" t="s">
        <v>5</v>
      </c>
    </row>
    <row r="78" spans="1:13" ht="11.5" x14ac:dyDescent="0.25">
      <c r="A78" s="352">
        <v>77</v>
      </c>
      <c r="B78" s="353" t="s">
        <v>659</v>
      </c>
      <c r="C78" s="285">
        <v>27</v>
      </c>
      <c r="D78" s="285">
        <v>643</v>
      </c>
      <c r="E78" s="285">
        <v>10</v>
      </c>
      <c r="F78" s="285">
        <v>46</v>
      </c>
      <c r="G78" s="285"/>
      <c r="H78" s="285"/>
      <c r="I78" s="425"/>
      <c r="J78" s="285">
        <v>10</v>
      </c>
      <c r="K78" s="285">
        <v>15</v>
      </c>
      <c r="L78" s="285">
        <v>2</v>
      </c>
      <c r="M78" s="352" t="s">
        <v>5</v>
      </c>
    </row>
    <row r="79" spans="1:13" ht="11.5" x14ac:dyDescent="0.25">
      <c r="A79" s="352">
        <v>78</v>
      </c>
      <c r="B79" s="353" t="s">
        <v>658</v>
      </c>
      <c r="C79" s="285">
        <v>13</v>
      </c>
      <c r="D79" s="425"/>
      <c r="E79" s="425"/>
      <c r="F79" s="285">
        <v>36</v>
      </c>
      <c r="G79" s="425"/>
      <c r="H79" s="425"/>
      <c r="I79" s="425"/>
      <c r="J79" s="285">
        <v>13</v>
      </c>
      <c r="K79" s="425"/>
      <c r="L79" s="425"/>
      <c r="M79" s="352" t="s">
        <v>5</v>
      </c>
    </row>
    <row r="80" spans="1:13" ht="11.5" x14ac:dyDescent="0.25">
      <c r="A80" s="352">
        <v>79</v>
      </c>
      <c r="B80" s="353" t="s">
        <v>656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352" t="s">
        <v>5</v>
      </c>
    </row>
    <row r="81" spans="1:13" ht="11.5" x14ac:dyDescent="0.25">
      <c r="A81" s="352">
        <v>80</v>
      </c>
      <c r="B81" s="353" t="s">
        <v>246</v>
      </c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352" t="s">
        <v>5</v>
      </c>
    </row>
    <row r="82" spans="1:13" ht="11.5" x14ac:dyDescent="0.25">
      <c r="A82" s="352">
        <v>81</v>
      </c>
      <c r="B82" s="354" t="s">
        <v>247</v>
      </c>
      <c r="C82" s="355">
        <v>24</v>
      </c>
      <c r="D82" s="355">
        <v>286</v>
      </c>
      <c r="E82" s="356">
        <v>2</v>
      </c>
      <c r="F82" s="355">
        <v>195</v>
      </c>
      <c r="G82" s="355"/>
      <c r="H82" s="355"/>
      <c r="I82" s="306"/>
      <c r="J82" s="355">
        <v>14</v>
      </c>
      <c r="K82" s="355">
        <v>7</v>
      </c>
      <c r="L82" s="355">
        <v>3</v>
      </c>
      <c r="M82" s="352" t="s">
        <v>6</v>
      </c>
    </row>
    <row r="83" spans="1:13" ht="11.5" x14ac:dyDescent="0.25">
      <c r="A83" s="352">
        <v>82</v>
      </c>
      <c r="B83" s="354" t="s">
        <v>660</v>
      </c>
      <c r="C83" s="355">
        <v>10</v>
      </c>
      <c r="D83" s="426"/>
      <c r="E83" s="427"/>
      <c r="F83" s="355">
        <v>6</v>
      </c>
      <c r="G83" s="426"/>
      <c r="H83" s="426"/>
      <c r="I83" s="306"/>
      <c r="J83" s="355">
        <v>10</v>
      </c>
      <c r="K83" s="428"/>
      <c r="L83" s="428"/>
      <c r="M83" s="352" t="s">
        <v>6</v>
      </c>
    </row>
    <row r="84" spans="1:13" ht="11.5" x14ac:dyDescent="0.25">
      <c r="A84" s="352">
        <v>83</v>
      </c>
      <c r="B84" s="354" t="s">
        <v>249</v>
      </c>
      <c r="C84" s="355">
        <v>3</v>
      </c>
      <c r="D84" s="355">
        <v>200</v>
      </c>
      <c r="E84" s="356">
        <v>0</v>
      </c>
      <c r="F84" s="355">
        <v>1</v>
      </c>
      <c r="G84" s="355"/>
      <c r="H84" s="355"/>
      <c r="I84" s="306"/>
      <c r="J84" s="355">
        <v>1</v>
      </c>
      <c r="K84" s="355">
        <v>1</v>
      </c>
      <c r="L84" s="355">
        <v>2</v>
      </c>
      <c r="M84" s="352" t="s">
        <v>6</v>
      </c>
    </row>
    <row r="85" spans="1:13" ht="11.5" x14ac:dyDescent="0.25">
      <c r="A85" s="352">
        <v>84</v>
      </c>
      <c r="B85" s="354" t="s">
        <v>248</v>
      </c>
      <c r="C85" s="426"/>
      <c r="D85" s="426"/>
      <c r="E85" s="427"/>
      <c r="F85" s="426"/>
      <c r="G85" s="426"/>
      <c r="H85" s="426"/>
      <c r="I85" s="306"/>
      <c r="J85" s="426"/>
      <c r="K85" s="428"/>
      <c r="L85" s="428"/>
      <c r="M85" s="352" t="s">
        <v>6</v>
      </c>
    </row>
    <row r="86" spans="1:13" ht="11.5" x14ac:dyDescent="0.25">
      <c r="A86" s="352">
        <v>85</v>
      </c>
      <c r="B86" s="358" t="s">
        <v>258</v>
      </c>
      <c r="C86" s="359">
        <v>220</v>
      </c>
      <c r="D86" s="359">
        <v>429</v>
      </c>
      <c r="E86" s="359">
        <v>48</v>
      </c>
      <c r="F86" s="359">
        <v>424</v>
      </c>
      <c r="G86" s="359"/>
      <c r="H86" s="359"/>
      <c r="I86" s="429"/>
      <c r="J86" s="359">
        <v>100</v>
      </c>
      <c r="K86" s="359">
        <v>112</v>
      </c>
      <c r="L86" s="359">
        <v>8</v>
      </c>
      <c r="M86" s="352" t="s">
        <v>7</v>
      </c>
    </row>
    <row r="87" spans="1:13" ht="11.5" x14ac:dyDescent="0.25">
      <c r="A87" s="352">
        <v>86</v>
      </c>
      <c r="B87" s="358" t="s">
        <v>664</v>
      </c>
      <c r="C87" s="359">
        <v>800</v>
      </c>
      <c r="D87" s="359">
        <v>651</v>
      </c>
      <c r="E87" s="359">
        <v>298</v>
      </c>
      <c r="F87" s="359">
        <v>1107</v>
      </c>
      <c r="G87" s="359"/>
      <c r="H87" s="359"/>
      <c r="I87" s="429"/>
      <c r="J87" s="359">
        <v>192</v>
      </c>
      <c r="K87" s="359">
        <v>458</v>
      </c>
      <c r="L87" s="359">
        <v>150</v>
      </c>
      <c r="M87" s="352" t="s">
        <v>7</v>
      </c>
    </row>
    <row r="88" spans="1:13" ht="11.5" x14ac:dyDescent="0.25">
      <c r="A88" s="352">
        <v>87</v>
      </c>
      <c r="B88" s="358" t="s">
        <v>665</v>
      </c>
      <c r="C88" s="359">
        <v>400</v>
      </c>
      <c r="D88" s="359">
        <v>895</v>
      </c>
      <c r="E88" s="359">
        <v>212</v>
      </c>
      <c r="F88" s="359">
        <v>731</v>
      </c>
      <c r="G88" s="359"/>
      <c r="H88" s="359"/>
      <c r="I88" s="429"/>
      <c r="J88" s="359">
        <v>82</v>
      </c>
      <c r="K88" s="359">
        <v>237</v>
      </c>
      <c r="L88" s="359">
        <v>81</v>
      </c>
      <c r="M88" s="352" t="s">
        <v>7</v>
      </c>
    </row>
    <row r="89" spans="1:13" ht="11.5" x14ac:dyDescent="0.25">
      <c r="A89" s="352">
        <v>88</v>
      </c>
      <c r="B89" s="358" t="s">
        <v>256</v>
      </c>
      <c r="C89" s="359">
        <v>352</v>
      </c>
      <c r="D89" s="359">
        <v>127</v>
      </c>
      <c r="E89" s="359">
        <v>32</v>
      </c>
      <c r="F89" s="359">
        <v>191</v>
      </c>
      <c r="G89" s="359"/>
      <c r="H89" s="359"/>
      <c r="I89" s="429"/>
      <c r="J89" s="359">
        <v>96</v>
      </c>
      <c r="K89" s="359">
        <v>252</v>
      </c>
      <c r="L89" s="359">
        <v>4</v>
      </c>
      <c r="M89" s="352" t="s">
        <v>7</v>
      </c>
    </row>
    <row r="90" spans="1:13" ht="11.5" x14ac:dyDescent="0.25">
      <c r="A90" s="352">
        <v>89</v>
      </c>
      <c r="B90" s="358" t="s">
        <v>666</v>
      </c>
      <c r="C90" s="359">
        <v>281</v>
      </c>
      <c r="D90" s="359">
        <v>485</v>
      </c>
      <c r="E90" s="359">
        <v>50</v>
      </c>
      <c r="F90" s="359">
        <v>643</v>
      </c>
      <c r="G90" s="359"/>
      <c r="H90" s="359"/>
      <c r="I90" s="429"/>
      <c r="J90" s="359">
        <v>155</v>
      </c>
      <c r="K90" s="359">
        <v>103</v>
      </c>
      <c r="L90" s="359">
        <v>23</v>
      </c>
      <c r="M90" s="352" t="s">
        <v>7</v>
      </c>
    </row>
    <row r="91" spans="1:13" ht="11.5" x14ac:dyDescent="0.25">
      <c r="A91" s="352">
        <v>90</v>
      </c>
      <c r="B91" s="358" t="s">
        <v>661</v>
      </c>
      <c r="C91" s="359">
        <v>251</v>
      </c>
      <c r="D91" s="359">
        <v>659</v>
      </c>
      <c r="E91" s="359">
        <v>54</v>
      </c>
      <c r="F91" s="359">
        <v>2180</v>
      </c>
      <c r="G91" s="359"/>
      <c r="H91" s="359"/>
      <c r="I91" s="429"/>
      <c r="J91" s="359">
        <v>163</v>
      </c>
      <c r="K91" s="359">
        <v>82</v>
      </c>
      <c r="L91" s="359">
        <v>6</v>
      </c>
      <c r="M91" s="352" t="s">
        <v>7</v>
      </c>
    </row>
    <row r="92" spans="1:13" ht="11.5" x14ac:dyDescent="0.25">
      <c r="A92" s="352">
        <v>91</v>
      </c>
      <c r="B92" s="358" t="s">
        <v>668</v>
      </c>
      <c r="C92" s="359">
        <v>123</v>
      </c>
      <c r="D92" s="359">
        <v>429</v>
      </c>
      <c r="E92" s="359">
        <v>42</v>
      </c>
      <c r="F92" s="359">
        <v>264</v>
      </c>
      <c r="G92" s="359"/>
      <c r="H92" s="359"/>
      <c r="I92" s="429"/>
      <c r="J92" s="359">
        <v>25</v>
      </c>
      <c r="K92" s="359">
        <v>98</v>
      </c>
      <c r="L92" s="429"/>
      <c r="M92" s="352" t="s">
        <v>7</v>
      </c>
    </row>
    <row r="93" spans="1:13" ht="11.5" x14ac:dyDescent="0.25">
      <c r="A93" s="352">
        <v>92</v>
      </c>
      <c r="B93" s="358" t="s">
        <v>667</v>
      </c>
      <c r="C93" s="359">
        <v>91</v>
      </c>
      <c r="D93" s="359">
        <v>1020</v>
      </c>
      <c r="E93" s="359">
        <v>52</v>
      </c>
      <c r="F93" s="359">
        <v>114</v>
      </c>
      <c r="G93" s="359"/>
      <c r="H93" s="359"/>
      <c r="I93" s="429"/>
      <c r="J93" s="359">
        <v>33</v>
      </c>
      <c r="K93" s="359">
        <v>51</v>
      </c>
      <c r="L93" s="359">
        <v>7</v>
      </c>
      <c r="M93" s="352" t="s">
        <v>7</v>
      </c>
    </row>
    <row r="94" spans="1:13" ht="11.5" x14ac:dyDescent="0.25">
      <c r="A94" s="352">
        <v>93</v>
      </c>
      <c r="B94" s="358" t="s">
        <v>663</v>
      </c>
      <c r="C94" s="359">
        <v>50</v>
      </c>
      <c r="D94" s="359">
        <v>944</v>
      </c>
      <c r="E94" s="359">
        <v>34</v>
      </c>
      <c r="F94" s="359">
        <v>396</v>
      </c>
      <c r="G94" s="359"/>
      <c r="H94" s="359"/>
      <c r="I94" s="429"/>
      <c r="J94" s="359">
        <v>7</v>
      </c>
      <c r="K94" s="359">
        <v>36</v>
      </c>
      <c r="L94" s="359">
        <v>7</v>
      </c>
      <c r="M94" s="352" t="s">
        <v>7</v>
      </c>
    </row>
    <row r="95" spans="1:13" ht="11.5" x14ac:dyDescent="0.25">
      <c r="A95" s="352">
        <v>94</v>
      </c>
      <c r="B95" s="358" t="s">
        <v>662</v>
      </c>
      <c r="C95" s="359">
        <v>49</v>
      </c>
      <c r="D95" s="429"/>
      <c r="E95" s="429"/>
      <c r="F95" s="359">
        <v>55</v>
      </c>
      <c r="G95" s="429"/>
      <c r="H95" s="429"/>
      <c r="I95" s="429"/>
      <c r="J95" s="359">
        <v>49</v>
      </c>
      <c r="K95" s="429"/>
      <c r="L95" s="429"/>
      <c r="M95" s="352" t="s">
        <v>7</v>
      </c>
    </row>
    <row r="96" spans="1:13" ht="11.5" x14ac:dyDescent="0.25">
      <c r="A96" s="352">
        <v>95</v>
      </c>
      <c r="B96" s="350" t="s">
        <v>764</v>
      </c>
      <c r="C96" s="430"/>
      <c r="D96" s="430"/>
      <c r="E96" s="430"/>
      <c r="F96" s="430"/>
      <c r="G96" s="430"/>
      <c r="H96" s="430"/>
      <c r="I96" s="430"/>
      <c r="J96" s="430"/>
      <c r="K96" s="430"/>
      <c r="L96" s="430"/>
      <c r="M96" s="352" t="s">
        <v>8</v>
      </c>
    </row>
    <row r="97" spans="1:13" ht="11.5" x14ac:dyDescent="0.25">
      <c r="A97" s="352">
        <v>96</v>
      </c>
      <c r="B97" s="852" t="s">
        <v>1350</v>
      </c>
      <c r="C97" s="351">
        <v>4367</v>
      </c>
      <c r="D97" s="351">
        <v>905</v>
      </c>
      <c r="E97" s="351">
        <v>2197</v>
      </c>
      <c r="F97" s="351">
        <v>2409</v>
      </c>
      <c r="G97" s="351"/>
      <c r="H97" s="351"/>
      <c r="I97" s="430"/>
      <c r="J97" s="351">
        <v>190</v>
      </c>
      <c r="K97" s="351">
        <v>2428</v>
      </c>
      <c r="L97" s="351">
        <v>39</v>
      </c>
      <c r="M97" s="352" t="s">
        <v>8</v>
      </c>
    </row>
    <row r="98" spans="1:13" ht="11.5" x14ac:dyDescent="0.25">
      <c r="A98" s="352">
        <v>97</v>
      </c>
      <c r="B98" s="852" t="s">
        <v>1351</v>
      </c>
      <c r="C98" s="351">
        <v>1734</v>
      </c>
      <c r="D98" s="351">
        <v>600</v>
      </c>
      <c r="E98" s="351">
        <v>634</v>
      </c>
      <c r="F98" s="351">
        <v>3923</v>
      </c>
      <c r="G98" s="351"/>
      <c r="H98" s="351"/>
      <c r="I98" s="430"/>
      <c r="J98" s="351">
        <v>626</v>
      </c>
      <c r="K98" s="351">
        <v>1056</v>
      </c>
      <c r="L98" s="351">
        <v>52</v>
      </c>
      <c r="M98" s="352" t="s">
        <v>8</v>
      </c>
    </row>
    <row r="99" spans="1:13" ht="11.5" x14ac:dyDescent="0.25">
      <c r="A99" s="352">
        <v>98</v>
      </c>
      <c r="B99" s="852" t="s">
        <v>1352</v>
      </c>
      <c r="C99" s="351">
        <v>1209</v>
      </c>
      <c r="D99" s="351">
        <v>551</v>
      </c>
      <c r="E99" s="351">
        <v>281</v>
      </c>
      <c r="F99" s="351">
        <v>990</v>
      </c>
      <c r="G99" s="351"/>
      <c r="H99" s="351"/>
      <c r="I99" s="430"/>
      <c r="J99" s="351">
        <v>669</v>
      </c>
      <c r="K99" s="351">
        <v>510</v>
      </c>
      <c r="L99" s="351">
        <v>30</v>
      </c>
      <c r="M99" s="352" t="s">
        <v>8</v>
      </c>
    </row>
    <row r="100" spans="1:13" ht="11.5" x14ac:dyDescent="0.25">
      <c r="A100" s="352">
        <v>99</v>
      </c>
      <c r="B100" s="350" t="s">
        <v>772</v>
      </c>
      <c r="C100" s="351">
        <v>1024</v>
      </c>
      <c r="D100" s="351">
        <v>286</v>
      </c>
      <c r="E100" s="351">
        <v>212</v>
      </c>
      <c r="F100" s="351">
        <v>676</v>
      </c>
      <c r="G100" s="351"/>
      <c r="H100" s="351"/>
      <c r="I100" s="430"/>
      <c r="J100" s="351">
        <v>76</v>
      </c>
      <c r="K100" s="351">
        <v>741</v>
      </c>
      <c r="L100" s="351">
        <v>207</v>
      </c>
      <c r="M100" s="352" t="s">
        <v>8</v>
      </c>
    </row>
    <row r="101" spans="1:13" ht="11.5" x14ac:dyDescent="0.25">
      <c r="A101" s="352">
        <v>100</v>
      </c>
      <c r="B101" s="350" t="s">
        <v>770</v>
      </c>
      <c r="C101" s="351">
        <v>836</v>
      </c>
      <c r="D101" s="351">
        <v>910</v>
      </c>
      <c r="E101" s="351">
        <v>427</v>
      </c>
      <c r="F101" s="351">
        <v>2021</v>
      </c>
      <c r="G101" s="351"/>
      <c r="H101" s="351"/>
      <c r="I101" s="430"/>
      <c r="J101" s="351">
        <v>367</v>
      </c>
      <c r="K101" s="351">
        <v>469</v>
      </c>
      <c r="L101" s="430"/>
      <c r="M101" s="352" t="s">
        <v>8</v>
      </c>
    </row>
    <row r="102" spans="1:13" ht="11.5" x14ac:dyDescent="0.25">
      <c r="A102" s="352">
        <v>101</v>
      </c>
      <c r="B102" s="350" t="s">
        <v>766</v>
      </c>
      <c r="C102" s="351">
        <v>571</v>
      </c>
      <c r="D102" s="351">
        <v>891</v>
      </c>
      <c r="E102" s="351">
        <v>123</v>
      </c>
      <c r="F102" s="351">
        <v>842</v>
      </c>
      <c r="G102" s="351"/>
      <c r="H102" s="351"/>
      <c r="I102" s="430"/>
      <c r="J102" s="351">
        <v>404</v>
      </c>
      <c r="K102" s="351">
        <v>138</v>
      </c>
      <c r="L102" s="351">
        <v>29</v>
      </c>
      <c r="M102" s="352" t="s">
        <v>8</v>
      </c>
    </row>
    <row r="103" spans="1:13" ht="11.5" x14ac:dyDescent="0.25">
      <c r="A103" s="352">
        <v>102</v>
      </c>
      <c r="B103" s="350" t="s">
        <v>769</v>
      </c>
      <c r="C103" s="351">
        <v>524</v>
      </c>
      <c r="D103" s="351">
        <v>101</v>
      </c>
      <c r="E103" s="351">
        <v>37</v>
      </c>
      <c r="F103" s="351">
        <v>460</v>
      </c>
      <c r="G103" s="351"/>
      <c r="H103" s="351"/>
      <c r="I103" s="430"/>
      <c r="J103" s="351">
        <v>40</v>
      </c>
      <c r="K103" s="351">
        <v>367</v>
      </c>
      <c r="L103" s="351">
        <v>117</v>
      </c>
      <c r="M103" s="352" t="s">
        <v>8</v>
      </c>
    </row>
    <row r="104" spans="1:13" ht="11.5" x14ac:dyDescent="0.25">
      <c r="A104" s="352">
        <v>103</v>
      </c>
      <c r="B104" s="350" t="s">
        <v>767</v>
      </c>
      <c r="C104" s="351">
        <v>186</v>
      </c>
      <c r="D104" s="351">
        <v>1035</v>
      </c>
      <c r="E104" s="351">
        <v>118</v>
      </c>
      <c r="F104" s="351">
        <v>444</v>
      </c>
      <c r="G104" s="351"/>
      <c r="H104" s="351"/>
      <c r="I104" s="430"/>
      <c r="J104" s="351">
        <v>52</v>
      </c>
      <c r="K104" s="351">
        <v>114</v>
      </c>
      <c r="L104" s="351">
        <v>20</v>
      </c>
      <c r="M104" s="352" t="s">
        <v>8</v>
      </c>
    </row>
    <row r="105" spans="1:13" ht="11.5" x14ac:dyDescent="0.25">
      <c r="A105" s="352">
        <v>104</v>
      </c>
      <c r="B105" s="350" t="s">
        <v>765</v>
      </c>
      <c r="C105" s="351">
        <v>174</v>
      </c>
      <c r="D105" s="351">
        <v>436</v>
      </c>
      <c r="E105" s="351">
        <v>58</v>
      </c>
      <c r="F105" s="351">
        <v>355</v>
      </c>
      <c r="G105" s="351"/>
      <c r="H105" s="351"/>
      <c r="I105" s="430"/>
      <c r="J105" s="351">
        <v>37</v>
      </c>
      <c r="K105" s="351">
        <v>133</v>
      </c>
      <c r="L105" s="351">
        <v>4</v>
      </c>
      <c r="M105" s="352" t="s">
        <v>8</v>
      </c>
    </row>
    <row r="106" spans="1:13" ht="11.5" x14ac:dyDescent="0.25">
      <c r="A106" s="352">
        <v>105</v>
      </c>
      <c r="B106" s="350" t="s">
        <v>773</v>
      </c>
      <c r="C106" s="351">
        <v>93</v>
      </c>
      <c r="D106" s="351">
        <v>2778</v>
      </c>
      <c r="E106" s="351">
        <v>25</v>
      </c>
      <c r="F106" s="351">
        <v>75</v>
      </c>
      <c r="G106" s="351"/>
      <c r="H106" s="351"/>
      <c r="I106" s="430"/>
      <c r="J106" s="351">
        <v>80</v>
      </c>
      <c r="K106" s="351">
        <v>9</v>
      </c>
      <c r="L106" s="351">
        <v>4</v>
      </c>
      <c r="M106" s="352" t="s">
        <v>8</v>
      </c>
    </row>
    <row r="107" spans="1:13" ht="11.5" x14ac:dyDescent="0.25">
      <c r="A107" s="352">
        <v>106</v>
      </c>
      <c r="B107" s="350" t="s">
        <v>774</v>
      </c>
      <c r="C107" s="351">
        <v>68</v>
      </c>
      <c r="D107" s="351">
        <v>400</v>
      </c>
      <c r="E107" s="351">
        <v>16</v>
      </c>
      <c r="F107" s="351">
        <v>140</v>
      </c>
      <c r="G107" s="351"/>
      <c r="H107" s="351"/>
      <c r="I107" s="430"/>
      <c r="J107" s="430"/>
      <c r="K107" s="351">
        <v>40</v>
      </c>
      <c r="L107" s="351">
        <v>28</v>
      </c>
      <c r="M107" s="352" t="s">
        <v>8</v>
      </c>
    </row>
    <row r="108" spans="1:13" ht="11.5" x14ac:dyDescent="0.25">
      <c r="A108" s="352">
        <v>107</v>
      </c>
      <c r="B108" s="350" t="s">
        <v>768</v>
      </c>
      <c r="C108" s="351">
        <v>5</v>
      </c>
      <c r="D108" s="351">
        <v>750</v>
      </c>
      <c r="E108" s="351">
        <v>3</v>
      </c>
      <c r="F108" s="351">
        <v>7</v>
      </c>
      <c r="G108" s="351"/>
      <c r="H108" s="351"/>
      <c r="I108" s="430"/>
      <c r="J108" s="351">
        <v>1</v>
      </c>
      <c r="K108" s="351">
        <v>4</v>
      </c>
      <c r="L108" s="430"/>
      <c r="M108" s="352" t="s">
        <v>8</v>
      </c>
    </row>
    <row r="109" spans="1:13" ht="11.5" x14ac:dyDescent="0.25">
      <c r="A109" s="352">
        <v>108</v>
      </c>
      <c r="B109" s="350" t="s">
        <v>771</v>
      </c>
      <c r="C109" s="430"/>
      <c r="D109" s="430"/>
      <c r="E109" s="430"/>
      <c r="F109" s="430"/>
      <c r="G109" s="430"/>
      <c r="H109" s="430"/>
      <c r="I109" s="430"/>
      <c r="J109" s="430"/>
      <c r="K109" s="430"/>
      <c r="L109" s="430"/>
      <c r="M109" s="352" t="s">
        <v>8</v>
      </c>
    </row>
    <row r="110" spans="1:13" ht="11.5" x14ac:dyDescent="0.25">
      <c r="A110" s="352">
        <v>109</v>
      </c>
      <c r="B110" s="853" t="s">
        <v>1353</v>
      </c>
      <c r="C110" s="361">
        <v>551</v>
      </c>
      <c r="D110" s="361">
        <v>875</v>
      </c>
      <c r="E110" s="361">
        <v>250</v>
      </c>
      <c r="F110" s="361">
        <v>608</v>
      </c>
      <c r="G110" s="361"/>
      <c r="H110" s="361"/>
      <c r="I110" s="431"/>
      <c r="J110" s="361">
        <v>233</v>
      </c>
      <c r="K110" s="361">
        <v>286</v>
      </c>
      <c r="L110" s="361">
        <v>32</v>
      </c>
      <c r="M110" s="352" t="s">
        <v>9</v>
      </c>
    </row>
    <row r="111" spans="1:13" ht="11.5" x14ac:dyDescent="0.25">
      <c r="A111" s="352">
        <v>110</v>
      </c>
      <c r="B111" s="360" t="s">
        <v>782</v>
      </c>
      <c r="C111" s="361">
        <v>80</v>
      </c>
      <c r="D111" s="361">
        <v>419</v>
      </c>
      <c r="E111" s="361">
        <v>23</v>
      </c>
      <c r="F111" s="361">
        <v>169</v>
      </c>
      <c r="G111" s="361"/>
      <c r="H111" s="361"/>
      <c r="I111" s="431"/>
      <c r="J111" s="361">
        <v>9</v>
      </c>
      <c r="K111" s="361">
        <v>55</v>
      </c>
      <c r="L111" s="361">
        <v>15</v>
      </c>
      <c r="M111" s="352" t="s">
        <v>9</v>
      </c>
    </row>
    <row r="112" spans="1:13" ht="11.5" x14ac:dyDescent="0.25">
      <c r="A112" s="352">
        <v>111</v>
      </c>
      <c r="B112" s="360" t="s">
        <v>783</v>
      </c>
      <c r="C112" s="361">
        <v>67</v>
      </c>
      <c r="D112" s="361">
        <v>673</v>
      </c>
      <c r="E112" s="361">
        <v>21</v>
      </c>
      <c r="F112" s="361">
        <v>52</v>
      </c>
      <c r="G112" s="361"/>
      <c r="H112" s="361"/>
      <c r="I112" s="431"/>
      <c r="J112" s="361">
        <v>33</v>
      </c>
      <c r="K112" s="361">
        <v>31</v>
      </c>
      <c r="L112" s="361">
        <v>4</v>
      </c>
      <c r="M112" s="352" t="s">
        <v>9</v>
      </c>
    </row>
    <row r="113" spans="1:13" ht="11.5" x14ac:dyDescent="0.25">
      <c r="A113" s="352">
        <v>112</v>
      </c>
      <c r="B113" s="360" t="s">
        <v>781</v>
      </c>
      <c r="C113" s="361">
        <v>25</v>
      </c>
      <c r="D113" s="361">
        <v>533</v>
      </c>
      <c r="E113" s="361">
        <v>8</v>
      </c>
      <c r="F113" s="361">
        <v>66</v>
      </c>
      <c r="G113" s="361"/>
      <c r="H113" s="361"/>
      <c r="I113" s="431"/>
      <c r="J113" s="361">
        <v>8</v>
      </c>
      <c r="K113" s="361">
        <v>14</v>
      </c>
      <c r="L113" s="361">
        <v>2</v>
      </c>
      <c r="M113" s="352" t="s">
        <v>9</v>
      </c>
    </row>
    <row r="114" spans="1:13" ht="11.5" x14ac:dyDescent="0.25">
      <c r="A114" s="352">
        <v>113</v>
      </c>
      <c r="B114" s="360" t="s">
        <v>780</v>
      </c>
      <c r="C114" s="361">
        <v>11</v>
      </c>
      <c r="D114" s="361">
        <v>400</v>
      </c>
      <c r="E114" s="361">
        <v>2</v>
      </c>
      <c r="F114" s="361">
        <v>30</v>
      </c>
      <c r="G114" s="361"/>
      <c r="H114" s="361"/>
      <c r="I114" s="431"/>
      <c r="J114" s="431"/>
      <c r="K114" s="361">
        <v>5</v>
      </c>
      <c r="L114" s="361">
        <v>6</v>
      </c>
      <c r="M114" s="352" t="s">
        <v>9</v>
      </c>
    </row>
    <row r="115" spans="1:13" ht="11.5" x14ac:dyDescent="0.25">
      <c r="A115" s="352">
        <v>114</v>
      </c>
      <c r="B115" s="360" t="s">
        <v>784</v>
      </c>
      <c r="C115" s="421"/>
      <c r="D115" s="431"/>
      <c r="E115" s="431"/>
      <c r="F115" s="421"/>
      <c r="G115" s="361"/>
      <c r="H115" s="361"/>
      <c r="I115" s="361"/>
      <c r="J115" s="361"/>
      <c r="K115" s="361"/>
      <c r="L115" s="361"/>
      <c r="M115" s="352" t="s">
        <v>9</v>
      </c>
    </row>
    <row r="116" spans="1:13" ht="11.5" x14ac:dyDescent="0.25">
      <c r="A116" s="352">
        <v>115</v>
      </c>
      <c r="B116" s="360" t="s">
        <v>785</v>
      </c>
      <c r="C116" s="421"/>
      <c r="D116" s="431"/>
      <c r="E116" s="421"/>
      <c r="F116" s="421"/>
      <c r="G116" s="361"/>
      <c r="H116" s="361"/>
      <c r="I116" s="361"/>
      <c r="J116" s="361"/>
      <c r="K116" s="361"/>
      <c r="L116" s="361"/>
      <c r="M116" s="352" t="s">
        <v>9</v>
      </c>
    </row>
    <row r="117" spans="1:13" ht="11.5" x14ac:dyDescent="0.25">
      <c r="A117" s="352">
        <v>116</v>
      </c>
      <c r="B117" s="362" t="s">
        <v>786</v>
      </c>
      <c r="C117" s="363">
        <v>1110</v>
      </c>
      <c r="D117" s="363">
        <v>629</v>
      </c>
      <c r="E117" s="363">
        <v>530</v>
      </c>
      <c r="F117" s="363">
        <v>1782</v>
      </c>
      <c r="G117" s="363"/>
      <c r="H117" s="363"/>
      <c r="I117" s="432"/>
      <c r="J117" s="363">
        <v>252</v>
      </c>
      <c r="K117" s="363">
        <v>842</v>
      </c>
      <c r="L117" s="363">
        <v>16</v>
      </c>
      <c r="M117" s="352" t="s">
        <v>1341</v>
      </c>
    </row>
    <row r="118" spans="1:13" ht="11.5" x14ac:dyDescent="0.25">
      <c r="A118" s="352">
        <v>117</v>
      </c>
      <c r="B118" s="854" t="s">
        <v>1354</v>
      </c>
      <c r="C118" s="363">
        <v>2475</v>
      </c>
      <c r="D118" s="363">
        <v>409</v>
      </c>
      <c r="E118" s="363">
        <v>910</v>
      </c>
      <c r="F118" s="363">
        <v>2578</v>
      </c>
      <c r="G118" s="363"/>
      <c r="H118" s="363"/>
      <c r="I118" s="432"/>
      <c r="J118" s="363">
        <v>227</v>
      </c>
      <c r="K118" s="363">
        <v>2226</v>
      </c>
      <c r="L118" s="363">
        <v>22</v>
      </c>
      <c r="M118" s="352" t="s">
        <v>1341</v>
      </c>
    </row>
    <row r="119" spans="1:13" ht="11.5" x14ac:dyDescent="0.25">
      <c r="A119" s="352">
        <v>118</v>
      </c>
      <c r="B119" s="854" t="s">
        <v>1355</v>
      </c>
      <c r="C119" s="363">
        <v>2086</v>
      </c>
      <c r="D119" s="363">
        <v>600</v>
      </c>
      <c r="E119" s="363">
        <v>925</v>
      </c>
      <c r="F119" s="363">
        <v>2850</v>
      </c>
      <c r="G119" s="363"/>
      <c r="H119" s="363"/>
      <c r="I119" s="432"/>
      <c r="J119" s="363">
        <v>468</v>
      </c>
      <c r="K119" s="363">
        <v>1542</v>
      </c>
      <c r="L119" s="363">
        <v>76</v>
      </c>
      <c r="M119" s="352" t="s">
        <v>1341</v>
      </c>
    </row>
    <row r="120" spans="1:13" ht="11.5" x14ac:dyDescent="0.25">
      <c r="A120" s="352">
        <v>119</v>
      </c>
      <c r="B120" s="362" t="s">
        <v>788</v>
      </c>
      <c r="C120" s="363">
        <v>737</v>
      </c>
      <c r="D120" s="363">
        <v>821</v>
      </c>
      <c r="E120" s="363">
        <v>464</v>
      </c>
      <c r="F120" s="363">
        <v>1260</v>
      </c>
      <c r="G120" s="363"/>
      <c r="H120" s="363"/>
      <c r="I120" s="432"/>
      <c r="J120" s="363">
        <v>158</v>
      </c>
      <c r="K120" s="363">
        <v>565</v>
      </c>
      <c r="L120" s="363">
        <v>14</v>
      </c>
      <c r="M120" s="352" t="s">
        <v>1341</v>
      </c>
    </row>
    <row r="121" spans="1:13" ht="11.5" x14ac:dyDescent="0.25">
      <c r="A121" s="352">
        <v>120</v>
      </c>
      <c r="B121" s="362" t="s">
        <v>787</v>
      </c>
      <c r="C121" s="363">
        <v>444</v>
      </c>
      <c r="D121" s="363">
        <v>775</v>
      </c>
      <c r="E121" s="363">
        <v>245</v>
      </c>
      <c r="F121" s="363">
        <v>764</v>
      </c>
      <c r="G121" s="363"/>
      <c r="H121" s="363"/>
      <c r="I121" s="432"/>
      <c r="J121" s="363">
        <v>88</v>
      </c>
      <c r="K121" s="363">
        <v>316</v>
      </c>
      <c r="L121" s="363">
        <v>40</v>
      </c>
      <c r="M121" s="352" t="s">
        <v>1341</v>
      </c>
    </row>
    <row r="122" spans="1:13" ht="11.5" x14ac:dyDescent="0.25">
      <c r="A122" s="352">
        <v>121</v>
      </c>
      <c r="B122" s="362" t="s">
        <v>789</v>
      </c>
      <c r="C122" s="363">
        <v>425</v>
      </c>
      <c r="D122" s="363">
        <v>747</v>
      </c>
      <c r="E122" s="363">
        <v>165</v>
      </c>
      <c r="F122" s="363">
        <v>765</v>
      </c>
      <c r="G122" s="363"/>
      <c r="H122" s="363"/>
      <c r="I122" s="432"/>
      <c r="J122" s="363">
        <v>175</v>
      </c>
      <c r="K122" s="363">
        <v>221</v>
      </c>
      <c r="L122" s="363">
        <v>29</v>
      </c>
      <c r="M122" s="352" t="s">
        <v>1341</v>
      </c>
    </row>
    <row r="123" spans="1:13" ht="11.5" x14ac:dyDescent="0.25">
      <c r="A123" s="352">
        <v>122</v>
      </c>
      <c r="B123" s="362" t="s">
        <v>790</v>
      </c>
      <c r="C123" s="363">
        <v>420</v>
      </c>
      <c r="D123" s="363">
        <v>32</v>
      </c>
      <c r="E123" s="363">
        <v>9</v>
      </c>
      <c r="F123" s="363">
        <v>845</v>
      </c>
      <c r="G123" s="363"/>
      <c r="H123" s="363"/>
      <c r="I123" s="432"/>
      <c r="J123" s="363">
        <v>5</v>
      </c>
      <c r="K123" s="363">
        <v>290</v>
      </c>
      <c r="L123" s="363">
        <v>125</v>
      </c>
      <c r="M123" s="352" t="s">
        <v>1341</v>
      </c>
    </row>
    <row r="124" spans="1:13" ht="11.5" x14ac:dyDescent="0.25">
      <c r="A124" s="352">
        <v>123</v>
      </c>
      <c r="B124" s="362" t="s">
        <v>791</v>
      </c>
      <c r="C124" s="363">
        <v>281</v>
      </c>
      <c r="D124" s="363">
        <v>107</v>
      </c>
      <c r="E124" s="363">
        <v>30</v>
      </c>
      <c r="F124" s="363">
        <v>595</v>
      </c>
      <c r="G124" s="363"/>
      <c r="H124" s="363"/>
      <c r="I124" s="432"/>
      <c r="J124" s="432"/>
      <c r="K124" s="363">
        <v>281</v>
      </c>
      <c r="L124" s="432"/>
      <c r="M124" s="352" t="s">
        <v>1341</v>
      </c>
    </row>
    <row r="125" spans="1:13" ht="11.5" x14ac:dyDescent="0.25">
      <c r="A125" s="352">
        <v>124</v>
      </c>
      <c r="B125" s="362" t="s">
        <v>1326</v>
      </c>
      <c r="C125" s="363">
        <v>79</v>
      </c>
      <c r="D125" s="363">
        <v>20</v>
      </c>
      <c r="E125" s="363">
        <v>1</v>
      </c>
      <c r="F125" s="363">
        <v>112</v>
      </c>
      <c r="G125" s="363"/>
      <c r="H125" s="363"/>
      <c r="I125" s="432"/>
      <c r="J125" s="363">
        <v>1</v>
      </c>
      <c r="K125" s="363">
        <v>73</v>
      </c>
      <c r="L125" s="363">
        <v>5</v>
      </c>
      <c r="M125" s="352" t="s">
        <v>1341</v>
      </c>
    </row>
    <row r="126" spans="1:13" ht="11.5" x14ac:dyDescent="0.25">
      <c r="A126" s="352">
        <v>125</v>
      </c>
      <c r="B126" s="362" t="s">
        <v>792</v>
      </c>
      <c r="C126" s="363">
        <v>23</v>
      </c>
      <c r="D126" s="363">
        <v>602</v>
      </c>
      <c r="E126" s="363">
        <v>8</v>
      </c>
      <c r="F126" s="363">
        <v>40</v>
      </c>
      <c r="G126" s="363"/>
      <c r="H126" s="363"/>
      <c r="I126" s="432"/>
      <c r="J126" s="363">
        <v>6</v>
      </c>
      <c r="K126" s="363">
        <v>14</v>
      </c>
      <c r="L126" s="363">
        <v>4</v>
      </c>
      <c r="M126" s="352" t="s">
        <v>1341</v>
      </c>
    </row>
    <row r="127" spans="1:13" ht="11.5" x14ac:dyDescent="0.25">
      <c r="A127" s="352">
        <v>126</v>
      </c>
      <c r="B127" s="350" t="s">
        <v>793</v>
      </c>
      <c r="C127" s="351">
        <v>1477</v>
      </c>
      <c r="D127" s="351">
        <v>1167</v>
      </c>
      <c r="E127" s="351">
        <v>1084</v>
      </c>
      <c r="F127" s="351">
        <v>2109</v>
      </c>
      <c r="G127" s="351"/>
      <c r="H127" s="351"/>
      <c r="I127" s="430"/>
      <c r="J127" s="351">
        <v>403</v>
      </c>
      <c r="K127" s="351">
        <v>929</v>
      </c>
      <c r="L127" s="351">
        <v>145</v>
      </c>
      <c r="M127" s="352" t="s">
        <v>1342</v>
      </c>
    </row>
    <row r="128" spans="1:13" ht="11.5" x14ac:dyDescent="0.25">
      <c r="A128" s="352">
        <v>127</v>
      </c>
      <c r="B128" s="852" t="s">
        <v>1356</v>
      </c>
      <c r="C128" s="351">
        <v>27411</v>
      </c>
      <c r="D128" s="351">
        <v>1179</v>
      </c>
      <c r="E128" s="351">
        <v>30059</v>
      </c>
      <c r="F128" s="351">
        <v>42729</v>
      </c>
      <c r="G128" s="351"/>
      <c r="H128" s="351"/>
      <c r="I128" s="430"/>
      <c r="J128" s="351">
        <v>940</v>
      </c>
      <c r="K128" s="351">
        <v>2550</v>
      </c>
      <c r="L128" s="351">
        <v>971</v>
      </c>
      <c r="M128" s="352" t="s">
        <v>1342</v>
      </c>
    </row>
    <row r="129" spans="1:13" ht="11.5" x14ac:dyDescent="0.25">
      <c r="A129" s="352">
        <v>128</v>
      </c>
      <c r="B129" s="852" t="s">
        <v>1357</v>
      </c>
      <c r="C129" s="351">
        <v>11401</v>
      </c>
      <c r="D129" s="351">
        <v>996</v>
      </c>
      <c r="E129" s="351">
        <v>9529</v>
      </c>
      <c r="F129" s="351">
        <v>17890</v>
      </c>
      <c r="G129" s="351"/>
      <c r="H129" s="351"/>
      <c r="I129" s="430"/>
      <c r="J129" s="351">
        <v>958</v>
      </c>
      <c r="K129" s="351">
        <v>9567</v>
      </c>
      <c r="L129" s="351">
        <v>876</v>
      </c>
      <c r="M129" s="352" t="s">
        <v>1342</v>
      </c>
    </row>
    <row r="130" spans="1:13" ht="11.5" x14ac:dyDescent="0.25">
      <c r="A130" s="352">
        <v>129</v>
      </c>
      <c r="B130" s="350" t="s">
        <v>795</v>
      </c>
      <c r="C130" s="351">
        <v>10910</v>
      </c>
      <c r="D130" s="351">
        <v>442</v>
      </c>
      <c r="E130" s="351">
        <v>2870</v>
      </c>
      <c r="F130" s="351">
        <v>24151</v>
      </c>
      <c r="G130" s="351"/>
      <c r="H130" s="351"/>
      <c r="I130" s="430"/>
      <c r="J130" s="351">
        <v>1797</v>
      </c>
      <c r="K130" s="351">
        <v>6495</v>
      </c>
      <c r="L130" s="351">
        <v>2618</v>
      </c>
      <c r="M130" s="352" t="s">
        <v>1342</v>
      </c>
    </row>
    <row r="131" spans="1:13" ht="11.5" x14ac:dyDescent="0.25">
      <c r="A131" s="352">
        <v>130</v>
      </c>
      <c r="B131" s="350" t="s">
        <v>796</v>
      </c>
      <c r="C131" s="351">
        <v>5237</v>
      </c>
      <c r="D131" s="351">
        <v>747</v>
      </c>
      <c r="E131" s="351">
        <v>2992</v>
      </c>
      <c r="F131" s="351">
        <v>22022</v>
      </c>
      <c r="G131" s="351"/>
      <c r="H131" s="351"/>
      <c r="I131" s="430"/>
      <c r="J131" s="351">
        <v>1117</v>
      </c>
      <c r="K131" s="351">
        <v>4005</v>
      </c>
      <c r="L131" s="351">
        <v>115</v>
      </c>
      <c r="M131" s="352" t="s">
        <v>1342</v>
      </c>
    </row>
    <row r="132" spans="1:13" ht="11.5" x14ac:dyDescent="0.25">
      <c r="A132" s="352">
        <v>131</v>
      </c>
      <c r="B132" s="350" t="s">
        <v>800</v>
      </c>
      <c r="C132" s="351">
        <v>4589</v>
      </c>
      <c r="D132" s="351">
        <v>708</v>
      </c>
      <c r="E132" s="351">
        <v>2693</v>
      </c>
      <c r="F132" s="351">
        <v>3875</v>
      </c>
      <c r="G132" s="351"/>
      <c r="H132" s="351"/>
      <c r="I132" s="430"/>
      <c r="J132" s="351">
        <v>617</v>
      </c>
      <c r="K132" s="351">
        <v>3805</v>
      </c>
      <c r="L132" s="351">
        <v>167</v>
      </c>
      <c r="M132" s="352" t="s">
        <v>1342</v>
      </c>
    </row>
    <row r="133" spans="1:13" ht="11.5" x14ac:dyDescent="0.25">
      <c r="A133" s="352">
        <v>132</v>
      </c>
      <c r="B133" s="350" t="s">
        <v>798</v>
      </c>
      <c r="C133" s="351">
        <v>1428</v>
      </c>
      <c r="D133" s="351">
        <v>539</v>
      </c>
      <c r="E133" s="351">
        <v>642</v>
      </c>
      <c r="F133" s="351">
        <v>2128</v>
      </c>
      <c r="G133" s="351"/>
      <c r="H133" s="351"/>
      <c r="I133" s="430"/>
      <c r="J133" s="351">
        <v>117</v>
      </c>
      <c r="K133" s="351">
        <v>1191</v>
      </c>
      <c r="L133" s="351">
        <v>120</v>
      </c>
      <c r="M133" s="352" t="s">
        <v>1342</v>
      </c>
    </row>
    <row r="134" spans="1:13" ht="11.5" x14ac:dyDescent="0.25">
      <c r="A134" s="352">
        <v>133</v>
      </c>
      <c r="B134" s="350" t="s">
        <v>794</v>
      </c>
      <c r="C134" s="351">
        <v>1380</v>
      </c>
      <c r="D134" s="351">
        <v>563</v>
      </c>
      <c r="E134" s="351">
        <v>6620</v>
      </c>
      <c r="F134" s="351">
        <v>17935</v>
      </c>
      <c r="G134" s="351"/>
      <c r="H134" s="351"/>
      <c r="I134" s="430"/>
      <c r="J134" s="351">
        <v>1158</v>
      </c>
      <c r="K134" s="351">
        <v>11760</v>
      </c>
      <c r="L134" s="351">
        <v>882</v>
      </c>
      <c r="M134" s="352" t="s">
        <v>1342</v>
      </c>
    </row>
    <row r="135" spans="1:13" ht="11.5" x14ac:dyDescent="0.25">
      <c r="A135" s="352">
        <v>134</v>
      </c>
      <c r="B135" s="350" t="s">
        <v>803</v>
      </c>
      <c r="C135" s="351">
        <v>1145</v>
      </c>
      <c r="D135" s="351">
        <v>953</v>
      </c>
      <c r="E135" s="351">
        <v>696</v>
      </c>
      <c r="F135" s="351">
        <v>954</v>
      </c>
      <c r="G135" s="351"/>
      <c r="H135" s="351"/>
      <c r="I135" s="430"/>
      <c r="J135" s="351">
        <v>227</v>
      </c>
      <c r="K135" s="351">
        <v>731</v>
      </c>
      <c r="L135" s="351">
        <v>187</v>
      </c>
      <c r="M135" s="352" t="s">
        <v>1342</v>
      </c>
    </row>
    <row r="136" spans="1:13" ht="11.5" x14ac:dyDescent="0.25">
      <c r="A136" s="352">
        <v>135</v>
      </c>
      <c r="B136" s="350" t="s">
        <v>797</v>
      </c>
      <c r="C136" s="351">
        <v>865</v>
      </c>
      <c r="D136" s="351">
        <v>491</v>
      </c>
      <c r="E136" s="351">
        <v>270</v>
      </c>
      <c r="F136" s="351">
        <v>1570</v>
      </c>
      <c r="G136" s="351"/>
      <c r="H136" s="351"/>
      <c r="I136" s="430"/>
      <c r="J136" s="351">
        <v>225</v>
      </c>
      <c r="K136" s="351">
        <v>550</v>
      </c>
      <c r="L136" s="351">
        <v>90</v>
      </c>
      <c r="M136" s="352" t="s">
        <v>1342</v>
      </c>
    </row>
    <row r="137" spans="1:13" ht="11.5" x14ac:dyDescent="0.25">
      <c r="A137" s="352">
        <v>136</v>
      </c>
      <c r="B137" s="350" t="s">
        <v>804</v>
      </c>
      <c r="C137" s="351">
        <v>529</v>
      </c>
      <c r="D137" s="351">
        <v>1</v>
      </c>
      <c r="E137" s="351">
        <v>529</v>
      </c>
      <c r="F137" s="351">
        <v>687</v>
      </c>
      <c r="G137" s="351"/>
      <c r="H137" s="351"/>
      <c r="I137" s="430"/>
      <c r="J137" s="430"/>
      <c r="K137" s="351">
        <v>529</v>
      </c>
      <c r="L137" s="430"/>
      <c r="M137" s="352" t="s">
        <v>1342</v>
      </c>
    </row>
    <row r="138" spans="1:13" ht="11.5" x14ac:dyDescent="0.25">
      <c r="A138" s="352">
        <v>137</v>
      </c>
      <c r="B138" s="350" t="s">
        <v>799</v>
      </c>
      <c r="C138" s="351">
        <v>206</v>
      </c>
      <c r="D138" s="351">
        <v>1044</v>
      </c>
      <c r="E138" s="351">
        <v>119</v>
      </c>
      <c r="F138" s="351">
        <v>2060</v>
      </c>
      <c r="G138" s="351"/>
      <c r="H138" s="351"/>
      <c r="I138" s="430"/>
      <c r="J138" s="351">
        <v>90</v>
      </c>
      <c r="K138" s="351">
        <v>114</v>
      </c>
      <c r="L138" s="351">
        <v>2</v>
      </c>
      <c r="M138" s="352" t="s">
        <v>1342</v>
      </c>
    </row>
    <row r="139" spans="1:13" ht="11.5" x14ac:dyDescent="0.25">
      <c r="A139" s="352">
        <v>138</v>
      </c>
      <c r="B139" s="350" t="s">
        <v>801</v>
      </c>
      <c r="C139" s="351">
        <v>167</v>
      </c>
      <c r="D139" s="351">
        <v>653</v>
      </c>
      <c r="E139" s="351">
        <v>109</v>
      </c>
      <c r="F139" s="351">
        <v>1443</v>
      </c>
      <c r="G139" s="351"/>
      <c r="H139" s="351"/>
      <c r="I139" s="430"/>
      <c r="J139" s="430"/>
      <c r="K139" s="351">
        <v>167</v>
      </c>
      <c r="L139" s="430"/>
      <c r="M139" s="352" t="s">
        <v>1342</v>
      </c>
    </row>
    <row r="140" spans="1:13" ht="11.5" x14ac:dyDescent="0.25">
      <c r="A140" s="352">
        <v>139</v>
      </c>
      <c r="B140" s="350" t="s">
        <v>805</v>
      </c>
      <c r="C140" s="351">
        <v>63</v>
      </c>
      <c r="D140" s="351">
        <v>660</v>
      </c>
      <c r="E140" s="351">
        <v>33</v>
      </c>
      <c r="F140" s="351">
        <v>2793</v>
      </c>
      <c r="G140" s="397"/>
      <c r="H140" s="433"/>
      <c r="I140" s="397"/>
      <c r="J140" s="397">
        <v>8</v>
      </c>
      <c r="K140" s="397">
        <v>50</v>
      </c>
      <c r="L140" s="351">
        <v>5</v>
      </c>
      <c r="M140" s="352" t="s">
        <v>1342</v>
      </c>
    </row>
    <row r="141" spans="1:13" ht="11.5" x14ac:dyDescent="0.25">
      <c r="A141" s="352">
        <v>140</v>
      </c>
      <c r="B141" s="350" t="s">
        <v>802</v>
      </c>
      <c r="C141" s="351">
        <v>18</v>
      </c>
      <c r="D141" s="351">
        <v>750</v>
      </c>
      <c r="E141" s="351">
        <v>6</v>
      </c>
      <c r="F141" s="351">
        <v>46</v>
      </c>
      <c r="G141" s="351"/>
      <c r="H141" s="351"/>
      <c r="I141" s="430"/>
      <c r="J141" s="351">
        <v>10</v>
      </c>
      <c r="K141" s="351">
        <v>8</v>
      </c>
      <c r="L141" s="430"/>
      <c r="M141" s="352" t="s">
        <v>1342</v>
      </c>
    </row>
    <row r="142" spans="1:13" ht="11.5" x14ac:dyDescent="0.25">
      <c r="A142" s="352">
        <v>141</v>
      </c>
      <c r="B142" s="364" t="s">
        <v>675</v>
      </c>
      <c r="C142" s="308">
        <v>49</v>
      </c>
      <c r="D142" s="308">
        <v>593</v>
      </c>
      <c r="E142" s="308">
        <v>29</v>
      </c>
      <c r="F142" s="308">
        <v>17</v>
      </c>
      <c r="G142" s="308"/>
      <c r="H142" s="308"/>
      <c r="I142" s="407"/>
      <c r="J142" s="308">
        <v>0</v>
      </c>
      <c r="K142" s="308">
        <v>48</v>
      </c>
      <c r="L142" s="308">
        <v>1</v>
      </c>
      <c r="M142" s="352" t="s">
        <v>14</v>
      </c>
    </row>
    <row r="143" spans="1:13" ht="11.5" x14ac:dyDescent="0.25">
      <c r="A143" s="352">
        <v>142</v>
      </c>
      <c r="B143" s="364" t="s">
        <v>684</v>
      </c>
      <c r="C143" s="308">
        <v>2102</v>
      </c>
      <c r="D143" s="308">
        <v>253</v>
      </c>
      <c r="E143" s="308">
        <v>355</v>
      </c>
      <c r="F143" s="308">
        <v>7006</v>
      </c>
      <c r="G143" s="308"/>
      <c r="H143" s="308"/>
      <c r="I143" s="407"/>
      <c r="J143" s="308">
        <v>272</v>
      </c>
      <c r="K143" s="308">
        <v>140</v>
      </c>
      <c r="L143" s="308">
        <v>429</v>
      </c>
      <c r="M143" s="352" t="s">
        <v>14</v>
      </c>
    </row>
    <row r="144" spans="1:13" ht="11.5" x14ac:dyDescent="0.25">
      <c r="A144" s="352">
        <v>143</v>
      </c>
      <c r="B144" s="364" t="s">
        <v>695</v>
      </c>
      <c r="C144" s="308">
        <v>977</v>
      </c>
      <c r="D144" s="308">
        <v>373</v>
      </c>
      <c r="E144" s="308">
        <v>228</v>
      </c>
      <c r="F144" s="308">
        <v>1648</v>
      </c>
      <c r="G144" s="308"/>
      <c r="H144" s="308"/>
      <c r="I144" s="407"/>
      <c r="J144" s="308">
        <v>167</v>
      </c>
      <c r="K144" s="308">
        <v>611</v>
      </c>
      <c r="L144" s="308">
        <v>199</v>
      </c>
      <c r="M144" s="352" t="s">
        <v>14</v>
      </c>
    </row>
    <row r="145" spans="1:13" ht="11.5" x14ac:dyDescent="0.25">
      <c r="A145" s="352">
        <v>144</v>
      </c>
      <c r="B145" s="364" t="s">
        <v>683</v>
      </c>
      <c r="C145" s="308">
        <v>803</v>
      </c>
      <c r="D145" s="308">
        <v>757</v>
      </c>
      <c r="E145" s="308">
        <v>175</v>
      </c>
      <c r="F145" s="308">
        <v>270</v>
      </c>
      <c r="G145" s="308"/>
      <c r="H145" s="308"/>
      <c r="I145" s="407"/>
      <c r="J145" s="308">
        <v>564</v>
      </c>
      <c r="K145" s="308">
        <v>231</v>
      </c>
      <c r="L145" s="308">
        <v>8</v>
      </c>
      <c r="M145" s="352" t="s">
        <v>14</v>
      </c>
    </row>
    <row r="146" spans="1:13" ht="11.5" x14ac:dyDescent="0.25">
      <c r="A146" s="352">
        <v>145</v>
      </c>
      <c r="B146" s="364" t="s">
        <v>679</v>
      </c>
      <c r="C146" s="308">
        <v>380</v>
      </c>
      <c r="D146" s="308">
        <v>272</v>
      </c>
      <c r="E146" s="308">
        <v>67</v>
      </c>
      <c r="F146" s="308">
        <v>1521</v>
      </c>
      <c r="G146" s="308"/>
      <c r="H146" s="308"/>
      <c r="I146" s="407"/>
      <c r="J146" s="407"/>
      <c r="K146" s="308">
        <v>246</v>
      </c>
      <c r="L146" s="308">
        <v>134</v>
      </c>
      <c r="M146" s="352" t="s">
        <v>14</v>
      </c>
    </row>
    <row r="147" spans="1:13" ht="11.5" x14ac:dyDescent="0.25">
      <c r="A147" s="352">
        <v>146</v>
      </c>
      <c r="B147" s="364" t="s">
        <v>674</v>
      </c>
      <c r="C147" s="308">
        <v>343</v>
      </c>
      <c r="D147" s="308">
        <v>263</v>
      </c>
      <c r="E147" s="308">
        <v>8</v>
      </c>
      <c r="F147" s="308">
        <v>929</v>
      </c>
      <c r="G147" s="308"/>
      <c r="H147" s="308"/>
      <c r="I147" s="407"/>
      <c r="J147" s="308">
        <v>238</v>
      </c>
      <c r="K147" s="308">
        <v>29</v>
      </c>
      <c r="L147" s="308">
        <v>76</v>
      </c>
      <c r="M147" s="352" t="s">
        <v>14</v>
      </c>
    </row>
    <row r="148" spans="1:13" ht="11.5" x14ac:dyDescent="0.25">
      <c r="A148" s="352">
        <v>147</v>
      </c>
      <c r="B148" s="364" t="s">
        <v>692</v>
      </c>
      <c r="C148" s="308">
        <v>233</v>
      </c>
      <c r="D148" s="308">
        <v>317</v>
      </c>
      <c r="E148" s="308">
        <v>19</v>
      </c>
      <c r="F148" s="308">
        <v>586</v>
      </c>
      <c r="G148" s="308"/>
      <c r="H148" s="308"/>
      <c r="I148" s="407"/>
      <c r="J148" s="308">
        <v>161</v>
      </c>
      <c r="K148" s="308">
        <v>60</v>
      </c>
      <c r="L148" s="308">
        <v>12</v>
      </c>
      <c r="M148" s="352" t="s">
        <v>14</v>
      </c>
    </row>
    <row r="149" spans="1:13" ht="11.5" x14ac:dyDescent="0.25">
      <c r="A149" s="352">
        <v>148</v>
      </c>
      <c r="B149" s="364" t="s">
        <v>673</v>
      </c>
      <c r="C149" s="308">
        <v>186</v>
      </c>
      <c r="D149" s="308">
        <v>252</v>
      </c>
      <c r="E149" s="308">
        <v>12</v>
      </c>
      <c r="F149" s="308">
        <v>355</v>
      </c>
      <c r="G149" s="308"/>
      <c r="H149" s="308"/>
      <c r="I149" s="407"/>
      <c r="J149" s="308">
        <v>111</v>
      </c>
      <c r="K149" s="308">
        <v>49</v>
      </c>
      <c r="L149" s="308">
        <v>26</v>
      </c>
      <c r="M149" s="352" t="s">
        <v>14</v>
      </c>
    </row>
    <row r="150" spans="1:13" ht="11.5" x14ac:dyDescent="0.25">
      <c r="A150" s="352">
        <v>149</v>
      </c>
      <c r="B150" s="364" t="s">
        <v>680</v>
      </c>
      <c r="C150" s="308">
        <v>129</v>
      </c>
      <c r="D150" s="308">
        <v>382</v>
      </c>
      <c r="E150" s="308">
        <v>17</v>
      </c>
      <c r="F150" s="308">
        <v>947</v>
      </c>
      <c r="G150" s="308"/>
      <c r="H150" s="308"/>
      <c r="I150" s="407"/>
      <c r="J150" s="407"/>
      <c r="K150" s="308">
        <v>44</v>
      </c>
      <c r="L150" s="308">
        <v>85</v>
      </c>
      <c r="M150" s="352" t="s">
        <v>14</v>
      </c>
    </row>
    <row r="151" spans="1:13" ht="11.5" x14ac:dyDescent="0.25">
      <c r="A151" s="352">
        <v>150</v>
      </c>
      <c r="B151" s="364" t="s">
        <v>688</v>
      </c>
      <c r="C151" s="308">
        <v>61</v>
      </c>
      <c r="D151" s="308">
        <v>368</v>
      </c>
      <c r="E151" s="308">
        <v>9</v>
      </c>
      <c r="F151" s="308">
        <v>562</v>
      </c>
      <c r="G151" s="308"/>
      <c r="H151" s="308"/>
      <c r="I151" s="407"/>
      <c r="J151" s="308">
        <v>24</v>
      </c>
      <c r="K151" s="308">
        <v>25</v>
      </c>
      <c r="L151" s="308">
        <v>12</v>
      </c>
      <c r="M151" s="352" t="s">
        <v>14</v>
      </c>
    </row>
    <row r="152" spans="1:13" ht="11.5" x14ac:dyDescent="0.25">
      <c r="A152" s="352">
        <v>151</v>
      </c>
      <c r="B152" s="364" t="s">
        <v>681</v>
      </c>
      <c r="C152" s="308">
        <v>40</v>
      </c>
      <c r="D152" s="407"/>
      <c r="E152" s="407"/>
      <c r="F152" s="308">
        <v>80</v>
      </c>
      <c r="G152" s="407"/>
      <c r="H152" s="407"/>
      <c r="I152" s="407"/>
      <c r="J152" s="407"/>
      <c r="K152" s="407"/>
      <c r="L152" s="308">
        <v>40</v>
      </c>
      <c r="M152" s="352" t="s">
        <v>14</v>
      </c>
    </row>
    <row r="153" spans="1:13" ht="11.5" x14ac:dyDescent="0.25">
      <c r="A153" s="352">
        <v>152</v>
      </c>
      <c r="B153" s="364" t="s">
        <v>685</v>
      </c>
      <c r="C153" s="308">
        <v>25</v>
      </c>
      <c r="D153" s="308">
        <v>1074</v>
      </c>
      <c r="E153" s="308">
        <v>12</v>
      </c>
      <c r="F153" s="308">
        <v>200</v>
      </c>
      <c r="G153" s="308"/>
      <c r="H153" s="308"/>
      <c r="I153" s="407"/>
      <c r="J153" s="308">
        <v>8</v>
      </c>
      <c r="K153" s="308">
        <v>11</v>
      </c>
      <c r="L153" s="308">
        <v>6</v>
      </c>
      <c r="M153" s="352" t="s">
        <v>14</v>
      </c>
    </row>
    <row r="154" spans="1:13" ht="11.5" x14ac:dyDescent="0.25">
      <c r="A154" s="352">
        <v>153</v>
      </c>
      <c r="B154" s="364" t="s">
        <v>694</v>
      </c>
      <c r="C154" s="308">
        <v>14</v>
      </c>
      <c r="D154" s="308">
        <v>58</v>
      </c>
      <c r="E154" s="308">
        <v>0</v>
      </c>
      <c r="F154" s="308">
        <v>19</v>
      </c>
      <c r="G154" s="308"/>
      <c r="H154" s="308"/>
      <c r="I154" s="407"/>
      <c r="J154" s="308">
        <v>11</v>
      </c>
      <c r="K154" s="308">
        <v>4</v>
      </c>
      <c r="L154" s="407"/>
      <c r="M154" s="352" t="s">
        <v>14</v>
      </c>
    </row>
    <row r="155" spans="1:13" ht="11.5" x14ac:dyDescent="0.25">
      <c r="A155" s="352">
        <v>154</v>
      </c>
      <c r="B155" s="364" t="s">
        <v>682</v>
      </c>
      <c r="C155" s="308">
        <v>5</v>
      </c>
      <c r="D155" s="308">
        <v>190</v>
      </c>
      <c r="E155" s="308">
        <v>1</v>
      </c>
      <c r="F155" s="308">
        <v>12</v>
      </c>
      <c r="G155" s="308"/>
      <c r="H155" s="308"/>
      <c r="I155" s="407"/>
      <c r="J155" s="407"/>
      <c r="K155" s="308">
        <v>5</v>
      </c>
      <c r="L155" s="308">
        <v>0</v>
      </c>
      <c r="M155" s="352" t="s">
        <v>14</v>
      </c>
    </row>
    <row r="156" spans="1:13" ht="11.5" x14ac:dyDescent="0.25">
      <c r="A156" s="352">
        <v>155</v>
      </c>
      <c r="B156" s="364" t="s">
        <v>693</v>
      </c>
      <c r="C156" s="308">
        <v>5</v>
      </c>
      <c r="D156" s="407"/>
      <c r="E156" s="407"/>
      <c r="F156" s="308">
        <v>30</v>
      </c>
      <c r="G156" s="407"/>
      <c r="H156" s="407"/>
      <c r="I156" s="407"/>
      <c r="J156" s="308">
        <v>5</v>
      </c>
      <c r="K156" s="407"/>
      <c r="L156" s="407"/>
      <c r="M156" s="352" t="s">
        <v>14</v>
      </c>
    </row>
    <row r="157" spans="1:13" ht="11.5" x14ac:dyDescent="0.25">
      <c r="A157" s="352">
        <v>156</v>
      </c>
      <c r="B157" s="364" t="s">
        <v>686</v>
      </c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352" t="s">
        <v>14</v>
      </c>
    </row>
    <row r="158" spans="1:13" ht="11.5" x14ac:dyDescent="0.25">
      <c r="A158" s="352">
        <v>157</v>
      </c>
      <c r="B158" s="364" t="s">
        <v>687</v>
      </c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352" t="s">
        <v>14</v>
      </c>
    </row>
    <row r="159" spans="1:13" ht="11.5" x14ac:dyDescent="0.25">
      <c r="A159" s="352">
        <v>158</v>
      </c>
      <c r="B159" s="364" t="s">
        <v>689</v>
      </c>
      <c r="C159" s="407"/>
      <c r="D159" s="407"/>
      <c r="E159" s="407"/>
      <c r="F159" s="407"/>
      <c r="G159" s="407"/>
      <c r="H159" s="407"/>
      <c r="I159" s="407"/>
      <c r="J159" s="407"/>
      <c r="K159" s="407"/>
      <c r="L159" s="407"/>
      <c r="M159" s="352" t="s">
        <v>14</v>
      </c>
    </row>
    <row r="160" spans="1:13" ht="11.5" x14ac:dyDescent="0.25">
      <c r="A160" s="352">
        <v>159</v>
      </c>
      <c r="B160" s="364" t="s">
        <v>690</v>
      </c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  <c r="M160" s="352" t="s">
        <v>14</v>
      </c>
    </row>
    <row r="161" spans="1:13" ht="11.5" x14ac:dyDescent="0.25">
      <c r="A161" s="352">
        <v>160</v>
      </c>
      <c r="B161" s="364" t="s">
        <v>691</v>
      </c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352" t="s">
        <v>14</v>
      </c>
    </row>
    <row r="162" spans="1:13" ht="11.5" x14ac:dyDescent="0.25">
      <c r="A162" s="352">
        <v>161</v>
      </c>
      <c r="B162" s="364" t="s">
        <v>669</v>
      </c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352" t="s">
        <v>14</v>
      </c>
    </row>
    <row r="163" spans="1:13" ht="11.5" x14ac:dyDescent="0.25">
      <c r="A163" s="352">
        <v>162</v>
      </c>
      <c r="B163" s="364" t="s">
        <v>670</v>
      </c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352" t="s">
        <v>14</v>
      </c>
    </row>
    <row r="164" spans="1:13" ht="11.5" x14ac:dyDescent="0.25">
      <c r="A164" s="352">
        <v>163</v>
      </c>
      <c r="B164" s="364" t="s">
        <v>671</v>
      </c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352" t="s">
        <v>14</v>
      </c>
    </row>
    <row r="165" spans="1:13" ht="11.5" x14ac:dyDescent="0.25">
      <c r="A165" s="352">
        <v>164</v>
      </c>
      <c r="B165" s="364" t="s">
        <v>672</v>
      </c>
      <c r="C165" s="407"/>
      <c r="D165" s="407"/>
      <c r="E165" s="407"/>
      <c r="F165" s="407"/>
      <c r="G165" s="407"/>
      <c r="H165" s="407"/>
      <c r="I165" s="407"/>
      <c r="J165" s="407"/>
      <c r="K165" s="407"/>
      <c r="L165" s="407"/>
      <c r="M165" s="352" t="s">
        <v>14</v>
      </c>
    </row>
    <row r="166" spans="1:13" ht="11.5" x14ac:dyDescent="0.25">
      <c r="A166" s="352">
        <v>165</v>
      </c>
      <c r="B166" s="345" t="s">
        <v>331</v>
      </c>
      <c r="C166" s="307">
        <v>2474</v>
      </c>
      <c r="D166" s="307">
        <v>591</v>
      </c>
      <c r="E166" s="307">
        <v>651</v>
      </c>
      <c r="F166" s="307">
        <v>2452</v>
      </c>
      <c r="G166" s="307"/>
      <c r="H166" s="307"/>
      <c r="I166" s="307"/>
      <c r="J166" s="307">
        <v>947</v>
      </c>
      <c r="K166" s="307">
        <v>1101</v>
      </c>
      <c r="L166" s="307">
        <v>426</v>
      </c>
      <c r="M166" s="352" t="s">
        <v>15</v>
      </c>
    </row>
    <row r="167" spans="1:13" ht="11.5" x14ac:dyDescent="0.25">
      <c r="A167" s="352">
        <v>166</v>
      </c>
      <c r="B167" s="345" t="s">
        <v>332</v>
      </c>
      <c r="C167" s="307">
        <v>3166</v>
      </c>
      <c r="D167" s="307">
        <v>1044</v>
      </c>
      <c r="E167" s="307">
        <v>1277</v>
      </c>
      <c r="F167" s="307">
        <v>4316</v>
      </c>
      <c r="G167" s="307"/>
      <c r="H167" s="307"/>
      <c r="I167" s="307"/>
      <c r="J167" s="307">
        <v>1168</v>
      </c>
      <c r="K167" s="307">
        <v>1224</v>
      </c>
      <c r="L167" s="307">
        <v>775</v>
      </c>
      <c r="M167" s="352" t="s">
        <v>15</v>
      </c>
    </row>
    <row r="168" spans="1:13" ht="11.5" x14ac:dyDescent="0.25">
      <c r="A168" s="352">
        <v>167</v>
      </c>
      <c r="B168" s="345" t="s">
        <v>333</v>
      </c>
      <c r="C168" s="307">
        <v>1877</v>
      </c>
      <c r="D168" s="307">
        <v>341</v>
      </c>
      <c r="E168" s="307">
        <v>408</v>
      </c>
      <c r="F168" s="307">
        <v>875</v>
      </c>
      <c r="G168" s="307"/>
      <c r="H168" s="307"/>
      <c r="I168" s="307"/>
      <c r="J168" s="307">
        <v>592</v>
      </c>
      <c r="K168" s="307">
        <v>1198</v>
      </c>
      <c r="L168" s="307">
        <v>87</v>
      </c>
      <c r="M168" s="352" t="s">
        <v>15</v>
      </c>
    </row>
    <row r="169" spans="1:13" ht="11.5" x14ac:dyDescent="0.25">
      <c r="A169" s="352">
        <v>168</v>
      </c>
      <c r="B169" s="345" t="s">
        <v>335</v>
      </c>
      <c r="C169" s="307">
        <v>117</v>
      </c>
      <c r="D169" s="307">
        <v>354</v>
      </c>
      <c r="E169" s="307">
        <v>17</v>
      </c>
      <c r="F169" s="307">
        <v>300</v>
      </c>
      <c r="G169" s="307"/>
      <c r="H169" s="307"/>
      <c r="I169" s="307"/>
      <c r="J169" s="307">
        <v>49</v>
      </c>
      <c r="K169" s="307">
        <v>48</v>
      </c>
      <c r="L169" s="307">
        <v>20</v>
      </c>
      <c r="M169" s="352" t="s">
        <v>15</v>
      </c>
    </row>
    <row r="170" spans="1:13" ht="11.5" x14ac:dyDescent="0.25">
      <c r="A170" s="352">
        <v>169</v>
      </c>
      <c r="B170" s="345" t="s">
        <v>336</v>
      </c>
      <c r="C170" s="405"/>
      <c r="D170" s="405"/>
      <c r="E170" s="405"/>
      <c r="F170" s="405"/>
      <c r="G170" s="405"/>
      <c r="H170" s="405"/>
      <c r="I170" s="307"/>
      <c r="J170" s="405"/>
      <c r="K170" s="405"/>
      <c r="L170" s="405"/>
      <c r="M170" s="352" t="s">
        <v>15</v>
      </c>
    </row>
    <row r="171" spans="1:13" ht="11.5" x14ac:dyDescent="0.25">
      <c r="A171" s="352">
        <v>170</v>
      </c>
      <c r="B171" s="345" t="s">
        <v>334</v>
      </c>
      <c r="C171" s="405"/>
      <c r="D171" s="405"/>
      <c r="E171" s="405"/>
      <c r="F171" s="405"/>
      <c r="G171" s="405"/>
      <c r="H171" s="405"/>
      <c r="I171" s="307"/>
      <c r="J171" s="405"/>
      <c r="K171" s="405"/>
      <c r="L171" s="405"/>
      <c r="M171" s="352" t="s">
        <v>15</v>
      </c>
    </row>
    <row r="172" spans="1:13" ht="11.5" x14ac:dyDescent="0.25">
      <c r="A172" s="352">
        <v>171</v>
      </c>
      <c r="B172" s="365" t="s">
        <v>696</v>
      </c>
      <c r="C172" s="292">
        <v>252</v>
      </c>
      <c r="D172" s="292">
        <v>704</v>
      </c>
      <c r="E172" s="292">
        <v>51</v>
      </c>
      <c r="F172" s="292">
        <v>402</v>
      </c>
      <c r="G172" s="292"/>
      <c r="H172" s="292"/>
      <c r="I172" s="434"/>
      <c r="J172" s="292">
        <v>172</v>
      </c>
      <c r="K172" s="292">
        <v>72</v>
      </c>
      <c r="L172" s="292">
        <v>8</v>
      </c>
      <c r="M172" s="352" t="s">
        <v>16</v>
      </c>
    </row>
    <row r="173" spans="1:13" ht="11.5" x14ac:dyDescent="0.25">
      <c r="A173" s="352">
        <v>172</v>
      </c>
      <c r="B173" s="365" t="s">
        <v>706</v>
      </c>
      <c r="C173" s="292">
        <v>1199</v>
      </c>
      <c r="D173" s="292">
        <v>461</v>
      </c>
      <c r="E173" s="292">
        <v>390</v>
      </c>
      <c r="F173" s="292">
        <v>1417</v>
      </c>
      <c r="G173" s="292"/>
      <c r="H173" s="292"/>
      <c r="I173" s="434"/>
      <c r="J173" s="292">
        <v>260</v>
      </c>
      <c r="K173" s="292">
        <v>846</v>
      </c>
      <c r="L173" s="292">
        <v>93</v>
      </c>
      <c r="M173" s="352" t="s">
        <v>16</v>
      </c>
    </row>
    <row r="174" spans="1:13" ht="11.5" x14ac:dyDescent="0.25">
      <c r="A174" s="352">
        <v>173</v>
      </c>
      <c r="B174" s="365" t="s">
        <v>712</v>
      </c>
      <c r="C174" s="292">
        <v>906</v>
      </c>
      <c r="D174" s="292">
        <v>730</v>
      </c>
      <c r="E174" s="292">
        <v>350</v>
      </c>
      <c r="F174" s="292">
        <v>2783</v>
      </c>
      <c r="G174" s="292"/>
      <c r="H174" s="292"/>
      <c r="I174" s="434"/>
      <c r="J174" s="292">
        <v>329</v>
      </c>
      <c r="K174" s="292">
        <v>480</v>
      </c>
      <c r="L174" s="292">
        <v>97</v>
      </c>
      <c r="M174" s="352" t="s">
        <v>16</v>
      </c>
    </row>
    <row r="175" spans="1:13" ht="11.5" x14ac:dyDescent="0.25">
      <c r="A175" s="352">
        <v>174</v>
      </c>
      <c r="B175" s="365" t="s">
        <v>710</v>
      </c>
      <c r="C175" s="292">
        <v>516</v>
      </c>
      <c r="D175" s="292">
        <v>171</v>
      </c>
      <c r="E175" s="292">
        <v>48</v>
      </c>
      <c r="F175" s="292">
        <v>402</v>
      </c>
      <c r="G175" s="292"/>
      <c r="H175" s="292"/>
      <c r="I175" s="434"/>
      <c r="J175" s="292">
        <v>234</v>
      </c>
      <c r="K175" s="292">
        <v>279</v>
      </c>
      <c r="L175" s="292">
        <v>4</v>
      </c>
      <c r="M175" s="352" t="s">
        <v>16</v>
      </c>
    </row>
    <row r="176" spans="1:13" ht="11.5" x14ac:dyDescent="0.25">
      <c r="A176" s="352">
        <v>175</v>
      </c>
      <c r="B176" s="365" t="s">
        <v>702</v>
      </c>
      <c r="C176" s="292">
        <v>480</v>
      </c>
      <c r="D176" s="292">
        <v>834</v>
      </c>
      <c r="E176" s="292">
        <v>155</v>
      </c>
      <c r="F176" s="292">
        <v>2571</v>
      </c>
      <c r="G176" s="292"/>
      <c r="H176" s="292"/>
      <c r="I176" s="434"/>
      <c r="J176" s="292">
        <v>294</v>
      </c>
      <c r="K176" s="292">
        <v>186</v>
      </c>
      <c r="L176" s="434"/>
      <c r="M176" s="352" t="s">
        <v>16</v>
      </c>
    </row>
    <row r="177" spans="1:13" ht="11.5" x14ac:dyDescent="0.25">
      <c r="A177" s="352">
        <v>176</v>
      </c>
      <c r="B177" s="365" t="s">
        <v>700</v>
      </c>
      <c r="C177" s="292">
        <v>479</v>
      </c>
      <c r="D177" s="292">
        <v>209</v>
      </c>
      <c r="E177" s="292">
        <v>83</v>
      </c>
      <c r="F177" s="292">
        <v>1741</v>
      </c>
      <c r="G177" s="292"/>
      <c r="H177" s="292"/>
      <c r="I177" s="434"/>
      <c r="J177" s="292">
        <v>82</v>
      </c>
      <c r="K177" s="292">
        <v>396</v>
      </c>
      <c r="L177" s="292">
        <v>1</v>
      </c>
      <c r="M177" s="352" t="s">
        <v>16</v>
      </c>
    </row>
    <row r="178" spans="1:13" ht="11.5" x14ac:dyDescent="0.25">
      <c r="A178" s="352">
        <v>177</v>
      </c>
      <c r="B178" s="365" t="s">
        <v>677</v>
      </c>
      <c r="C178" s="292">
        <v>345</v>
      </c>
      <c r="D178" s="292">
        <v>939</v>
      </c>
      <c r="E178" s="292">
        <v>156</v>
      </c>
      <c r="F178" s="292">
        <v>712</v>
      </c>
      <c r="G178" s="292"/>
      <c r="H178" s="292"/>
      <c r="I178" s="434"/>
      <c r="J178" s="292">
        <v>155</v>
      </c>
      <c r="K178" s="292">
        <v>166</v>
      </c>
      <c r="L178" s="292">
        <v>24</v>
      </c>
      <c r="M178" s="352" t="s">
        <v>16</v>
      </c>
    </row>
    <row r="179" spans="1:13" ht="11.5" x14ac:dyDescent="0.25">
      <c r="A179" s="352">
        <v>178</v>
      </c>
      <c r="B179" s="365" t="s">
        <v>711</v>
      </c>
      <c r="C179" s="292">
        <v>291</v>
      </c>
      <c r="D179" s="292">
        <v>873</v>
      </c>
      <c r="E179" s="292">
        <v>154</v>
      </c>
      <c r="F179" s="292">
        <v>971</v>
      </c>
      <c r="G179" s="292"/>
      <c r="H179" s="292"/>
      <c r="I179" s="434"/>
      <c r="J179" s="292">
        <v>82</v>
      </c>
      <c r="K179" s="292">
        <v>176</v>
      </c>
      <c r="L179" s="292">
        <v>33</v>
      </c>
      <c r="M179" s="352" t="s">
        <v>16</v>
      </c>
    </row>
    <row r="180" spans="1:13" ht="11.5" x14ac:dyDescent="0.25">
      <c r="A180" s="352">
        <v>179</v>
      </c>
      <c r="B180" s="365" t="s">
        <v>699</v>
      </c>
      <c r="C180" s="292">
        <v>221</v>
      </c>
      <c r="D180" s="292">
        <v>202</v>
      </c>
      <c r="E180" s="292">
        <v>32</v>
      </c>
      <c r="F180" s="292">
        <v>472</v>
      </c>
      <c r="G180" s="292"/>
      <c r="H180" s="292"/>
      <c r="I180" s="434"/>
      <c r="J180" s="292">
        <v>51</v>
      </c>
      <c r="K180" s="292">
        <v>160</v>
      </c>
      <c r="L180" s="292">
        <v>10</v>
      </c>
      <c r="M180" s="352" t="s">
        <v>16</v>
      </c>
    </row>
    <row r="181" spans="1:13" ht="11.5" x14ac:dyDescent="0.25">
      <c r="A181" s="352">
        <v>180</v>
      </c>
      <c r="B181" s="365" t="s">
        <v>703</v>
      </c>
      <c r="C181" s="292">
        <v>217</v>
      </c>
      <c r="D181" s="292">
        <v>599</v>
      </c>
      <c r="E181" s="292">
        <v>47</v>
      </c>
      <c r="F181" s="292">
        <v>716</v>
      </c>
      <c r="G181" s="292"/>
      <c r="H181" s="292"/>
      <c r="I181" s="434"/>
      <c r="J181" s="292">
        <v>138</v>
      </c>
      <c r="K181" s="292">
        <v>79</v>
      </c>
      <c r="L181" s="434"/>
      <c r="M181" s="352" t="s">
        <v>16</v>
      </c>
    </row>
    <row r="182" spans="1:13" ht="11.5" x14ac:dyDescent="0.25">
      <c r="A182" s="352">
        <v>181</v>
      </c>
      <c r="B182" s="365" t="s">
        <v>701</v>
      </c>
      <c r="C182" s="292">
        <v>175</v>
      </c>
      <c r="D182" s="292">
        <v>1223</v>
      </c>
      <c r="E182" s="292">
        <v>146</v>
      </c>
      <c r="F182" s="292">
        <v>1906</v>
      </c>
      <c r="G182" s="292"/>
      <c r="H182" s="292"/>
      <c r="I182" s="434"/>
      <c r="J182" s="292">
        <v>41</v>
      </c>
      <c r="K182" s="292">
        <v>120</v>
      </c>
      <c r="L182" s="292">
        <v>14</v>
      </c>
      <c r="M182" s="352" t="s">
        <v>16</v>
      </c>
    </row>
    <row r="183" spans="1:13" ht="11.5" x14ac:dyDescent="0.25">
      <c r="A183" s="352">
        <v>182</v>
      </c>
      <c r="B183" s="365" t="s">
        <v>708</v>
      </c>
      <c r="C183" s="292">
        <v>169</v>
      </c>
      <c r="D183" s="292">
        <v>849</v>
      </c>
      <c r="E183" s="292">
        <v>22</v>
      </c>
      <c r="F183" s="292">
        <v>226</v>
      </c>
      <c r="G183" s="292"/>
      <c r="H183" s="292"/>
      <c r="I183" s="434"/>
      <c r="J183" s="292">
        <v>142</v>
      </c>
      <c r="K183" s="292">
        <v>26</v>
      </c>
      <c r="L183" s="434"/>
      <c r="M183" s="352" t="s">
        <v>16</v>
      </c>
    </row>
    <row r="184" spans="1:13" ht="11.5" x14ac:dyDescent="0.25">
      <c r="A184" s="352">
        <v>183</v>
      </c>
      <c r="B184" s="365" t="s">
        <v>697</v>
      </c>
      <c r="C184" s="292">
        <v>167</v>
      </c>
      <c r="D184" s="292">
        <v>709</v>
      </c>
      <c r="E184" s="292">
        <v>57</v>
      </c>
      <c r="F184" s="292">
        <v>842</v>
      </c>
      <c r="G184" s="292"/>
      <c r="H184" s="292"/>
      <c r="I184" s="434"/>
      <c r="J184" s="292">
        <v>76</v>
      </c>
      <c r="K184" s="292">
        <v>80</v>
      </c>
      <c r="L184" s="292">
        <v>10</v>
      </c>
      <c r="M184" s="352" t="s">
        <v>16</v>
      </c>
    </row>
    <row r="185" spans="1:13" ht="11.5" x14ac:dyDescent="0.25">
      <c r="A185" s="352">
        <v>184</v>
      </c>
      <c r="B185" s="365" t="s">
        <v>714</v>
      </c>
      <c r="C185" s="292">
        <v>161</v>
      </c>
      <c r="D185" s="292">
        <v>576</v>
      </c>
      <c r="E185" s="292">
        <v>42</v>
      </c>
      <c r="F185" s="292">
        <v>490</v>
      </c>
      <c r="G185" s="292"/>
      <c r="H185" s="292"/>
      <c r="I185" s="434"/>
      <c r="J185" s="292">
        <v>82</v>
      </c>
      <c r="K185" s="292">
        <v>73</v>
      </c>
      <c r="L185" s="292">
        <v>5</v>
      </c>
      <c r="M185" s="352" t="s">
        <v>16</v>
      </c>
    </row>
    <row r="186" spans="1:13" ht="11.5" x14ac:dyDescent="0.25">
      <c r="A186" s="352">
        <v>185</v>
      </c>
      <c r="B186" s="365" t="s">
        <v>698</v>
      </c>
      <c r="C186" s="292">
        <v>154</v>
      </c>
      <c r="D186" s="292">
        <v>63</v>
      </c>
      <c r="E186" s="292">
        <v>4</v>
      </c>
      <c r="F186" s="292">
        <v>650</v>
      </c>
      <c r="G186" s="292"/>
      <c r="H186" s="292"/>
      <c r="I186" s="434"/>
      <c r="J186" s="292">
        <v>95</v>
      </c>
      <c r="K186" s="292">
        <v>57</v>
      </c>
      <c r="L186" s="292">
        <v>2</v>
      </c>
      <c r="M186" s="352" t="s">
        <v>16</v>
      </c>
    </row>
    <row r="187" spans="1:13" ht="11.5" x14ac:dyDescent="0.25">
      <c r="A187" s="352">
        <v>186</v>
      </c>
      <c r="B187" s="365" t="s">
        <v>676</v>
      </c>
      <c r="C187" s="292">
        <v>135</v>
      </c>
      <c r="D187" s="292">
        <v>117</v>
      </c>
      <c r="E187" s="292">
        <v>7</v>
      </c>
      <c r="F187" s="292">
        <v>2666</v>
      </c>
      <c r="G187" s="292"/>
      <c r="H187" s="292"/>
      <c r="I187" s="434"/>
      <c r="J187" s="292">
        <v>69</v>
      </c>
      <c r="K187" s="292">
        <v>64</v>
      </c>
      <c r="L187" s="292">
        <v>3</v>
      </c>
      <c r="M187" s="352" t="s">
        <v>16</v>
      </c>
    </row>
    <row r="188" spans="1:13" ht="11.5" x14ac:dyDescent="0.25">
      <c r="A188" s="352">
        <v>187</v>
      </c>
      <c r="B188" s="365" t="s">
        <v>678</v>
      </c>
      <c r="C188" s="292">
        <v>122</v>
      </c>
      <c r="D188" s="292">
        <v>418</v>
      </c>
      <c r="E188" s="292">
        <v>8</v>
      </c>
      <c r="F188" s="292">
        <v>355</v>
      </c>
      <c r="G188" s="292"/>
      <c r="H188" s="292"/>
      <c r="I188" s="434"/>
      <c r="J188" s="292">
        <v>99</v>
      </c>
      <c r="K188" s="292">
        <v>18</v>
      </c>
      <c r="L188" s="292">
        <v>5</v>
      </c>
      <c r="M188" s="352" t="s">
        <v>16</v>
      </c>
    </row>
    <row r="189" spans="1:13" ht="11.5" x14ac:dyDescent="0.25">
      <c r="A189" s="352">
        <v>188</v>
      </c>
      <c r="B189" s="365" t="s">
        <v>707</v>
      </c>
      <c r="C189" s="292">
        <v>114</v>
      </c>
      <c r="D189" s="292">
        <v>489</v>
      </c>
      <c r="E189" s="292">
        <v>21</v>
      </c>
      <c r="F189" s="292">
        <v>434</v>
      </c>
      <c r="G189" s="292"/>
      <c r="H189" s="292"/>
      <c r="I189" s="434"/>
      <c r="J189" s="292">
        <v>57</v>
      </c>
      <c r="K189" s="292">
        <v>44</v>
      </c>
      <c r="L189" s="292">
        <v>13</v>
      </c>
      <c r="M189" s="352" t="s">
        <v>16</v>
      </c>
    </row>
    <row r="190" spans="1:13" ht="11.5" x14ac:dyDescent="0.25">
      <c r="A190" s="352">
        <v>189</v>
      </c>
      <c r="B190" s="365" t="s">
        <v>713</v>
      </c>
      <c r="C190" s="292">
        <v>82</v>
      </c>
      <c r="D190" s="292">
        <v>580</v>
      </c>
      <c r="E190" s="292">
        <v>19</v>
      </c>
      <c r="F190" s="292">
        <v>99</v>
      </c>
      <c r="G190" s="292"/>
      <c r="H190" s="292"/>
      <c r="I190" s="434"/>
      <c r="J190" s="292">
        <v>40</v>
      </c>
      <c r="K190" s="292">
        <v>33</v>
      </c>
      <c r="L190" s="292">
        <v>9</v>
      </c>
      <c r="M190" s="352" t="s">
        <v>16</v>
      </c>
    </row>
    <row r="191" spans="1:13" ht="11.5" x14ac:dyDescent="0.25">
      <c r="A191" s="352">
        <v>190</v>
      </c>
      <c r="B191" s="365" t="s">
        <v>715</v>
      </c>
      <c r="C191" s="292">
        <v>43</v>
      </c>
      <c r="D191" s="292">
        <v>536</v>
      </c>
      <c r="E191" s="292">
        <v>4</v>
      </c>
      <c r="F191" s="292">
        <v>119</v>
      </c>
      <c r="G191" s="292"/>
      <c r="H191" s="292"/>
      <c r="I191" s="434"/>
      <c r="J191" s="292">
        <v>35</v>
      </c>
      <c r="K191" s="292">
        <v>7</v>
      </c>
      <c r="L191" s="292">
        <v>1</v>
      </c>
      <c r="M191" s="352" t="s">
        <v>16</v>
      </c>
    </row>
    <row r="192" spans="1:13" ht="11.5" x14ac:dyDescent="0.25">
      <c r="A192" s="352">
        <v>191</v>
      </c>
      <c r="B192" s="365" t="s">
        <v>709</v>
      </c>
      <c r="C192" s="292">
        <v>9</v>
      </c>
      <c r="D192" s="292">
        <v>369</v>
      </c>
      <c r="E192" s="292">
        <v>2</v>
      </c>
      <c r="F192" s="292">
        <v>156</v>
      </c>
      <c r="G192" s="292"/>
      <c r="H192" s="292"/>
      <c r="I192" s="434"/>
      <c r="J192" s="292">
        <v>3</v>
      </c>
      <c r="K192" s="292">
        <v>5</v>
      </c>
      <c r="L192" s="292">
        <v>1</v>
      </c>
      <c r="M192" s="352" t="s">
        <v>16</v>
      </c>
    </row>
    <row r="193" spans="1:13" ht="11.5" x14ac:dyDescent="0.25">
      <c r="A193" s="352">
        <v>192</v>
      </c>
      <c r="B193" s="365" t="s">
        <v>704</v>
      </c>
      <c r="C193" s="292">
        <v>6</v>
      </c>
      <c r="D193" s="292">
        <v>467</v>
      </c>
      <c r="E193" s="292">
        <v>3</v>
      </c>
      <c r="F193" s="292">
        <v>46</v>
      </c>
      <c r="G193" s="292"/>
      <c r="H193" s="292"/>
      <c r="I193" s="434"/>
      <c r="J193" s="292">
        <v>0</v>
      </c>
      <c r="K193" s="292">
        <v>6</v>
      </c>
      <c r="L193" s="434"/>
      <c r="M193" s="352" t="s">
        <v>16</v>
      </c>
    </row>
    <row r="194" spans="1:13" ht="11.5" x14ac:dyDescent="0.25">
      <c r="A194" s="352">
        <v>193</v>
      </c>
      <c r="B194" s="365" t="s">
        <v>705</v>
      </c>
      <c r="C194" s="292">
        <v>3</v>
      </c>
      <c r="D194" s="434"/>
      <c r="E194" s="434"/>
      <c r="F194" s="292">
        <v>32</v>
      </c>
      <c r="G194" s="434"/>
      <c r="H194" s="434"/>
      <c r="I194" s="434"/>
      <c r="J194" s="292">
        <v>3</v>
      </c>
      <c r="K194" s="434"/>
      <c r="L194" s="434"/>
      <c r="M194" s="352" t="s">
        <v>16</v>
      </c>
    </row>
    <row r="195" spans="1:13" ht="11.5" x14ac:dyDescent="0.25">
      <c r="A195" s="352">
        <v>194</v>
      </c>
      <c r="B195" s="366" t="s">
        <v>362</v>
      </c>
      <c r="C195" s="367">
        <v>3587</v>
      </c>
      <c r="D195" s="367">
        <v>490</v>
      </c>
      <c r="E195" s="367">
        <v>1192</v>
      </c>
      <c r="F195" s="367">
        <v>17937</v>
      </c>
      <c r="G195" s="367"/>
      <c r="H195" s="367"/>
      <c r="I195" s="367"/>
      <c r="J195" s="367">
        <v>1101</v>
      </c>
      <c r="K195" s="367">
        <v>2432</v>
      </c>
      <c r="L195" s="367">
        <v>54</v>
      </c>
      <c r="M195" s="352" t="s">
        <v>364</v>
      </c>
    </row>
    <row r="196" spans="1:13" ht="11.5" x14ac:dyDescent="0.25">
      <c r="A196" s="352">
        <v>195</v>
      </c>
      <c r="B196" s="366" t="s">
        <v>359</v>
      </c>
      <c r="C196" s="367">
        <v>1409</v>
      </c>
      <c r="D196" s="367">
        <v>791</v>
      </c>
      <c r="E196" s="367">
        <v>566</v>
      </c>
      <c r="F196" s="367">
        <v>9260</v>
      </c>
      <c r="G196" s="367"/>
      <c r="H196" s="367"/>
      <c r="I196" s="367"/>
      <c r="J196" s="367">
        <v>631</v>
      </c>
      <c r="K196" s="367">
        <v>716</v>
      </c>
      <c r="L196" s="367">
        <v>63</v>
      </c>
      <c r="M196" s="352" t="s">
        <v>364</v>
      </c>
    </row>
    <row r="197" spans="1:13" ht="11.5" x14ac:dyDescent="0.25">
      <c r="A197" s="352">
        <v>196</v>
      </c>
      <c r="B197" s="366" t="s">
        <v>361</v>
      </c>
      <c r="C197" s="367">
        <v>93</v>
      </c>
      <c r="D197" s="367">
        <v>300</v>
      </c>
      <c r="E197" s="367">
        <v>12</v>
      </c>
      <c r="F197" s="367">
        <v>372</v>
      </c>
      <c r="G197" s="367"/>
      <c r="H197" s="367"/>
      <c r="I197" s="367"/>
      <c r="J197" s="367">
        <v>52</v>
      </c>
      <c r="K197" s="367">
        <v>41</v>
      </c>
      <c r="L197" s="367">
        <v>1</v>
      </c>
      <c r="M197" s="352" t="s">
        <v>364</v>
      </c>
    </row>
    <row r="198" spans="1:13" ht="11.5" x14ac:dyDescent="0.25">
      <c r="A198" s="352">
        <v>197</v>
      </c>
      <c r="B198" s="366" t="s">
        <v>360</v>
      </c>
      <c r="C198" s="367">
        <v>75</v>
      </c>
      <c r="D198" s="367">
        <v>308</v>
      </c>
      <c r="E198" s="367">
        <v>3</v>
      </c>
      <c r="F198" s="367">
        <v>741</v>
      </c>
      <c r="G198" s="367"/>
      <c r="H198" s="367"/>
      <c r="I198" s="367"/>
      <c r="J198" s="367">
        <v>32</v>
      </c>
      <c r="K198" s="367">
        <v>9</v>
      </c>
      <c r="L198" s="367">
        <v>34</v>
      </c>
      <c r="M198" s="352" t="s">
        <v>364</v>
      </c>
    </row>
    <row r="199" spans="1:13" ht="11.5" x14ac:dyDescent="0.25">
      <c r="A199" s="352">
        <v>198</v>
      </c>
      <c r="B199" s="366" t="s">
        <v>363</v>
      </c>
      <c r="C199" s="435"/>
      <c r="D199" s="435"/>
      <c r="E199" s="435"/>
      <c r="F199" s="435"/>
      <c r="G199" s="435"/>
      <c r="H199" s="435"/>
      <c r="I199" s="367"/>
      <c r="J199" s="435"/>
      <c r="K199" s="435"/>
      <c r="L199" s="435"/>
      <c r="M199" s="352" t="s">
        <v>364</v>
      </c>
    </row>
    <row r="200" spans="1:13" ht="11.5" x14ac:dyDescent="0.25">
      <c r="A200" s="352">
        <v>199</v>
      </c>
      <c r="B200" s="855" t="s">
        <v>1358</v>
      </c>
      <c r="C200" s="313">
        <v>5948</v>
      </c>
      <c r="D200" s="313">
        <v>787</v>
      </c>
      <c r="E200" s="313">
        <v>2486</v>
      </c>
      <c r="F200" s="313">
        <v>20071</v>
      </c>
      <c r="G200" s="313"/>
      <c r="H200" s="313"/>
      <c r="I200" s="413"/>
      <c r="J200" s="313">
        <v>1978</v>
      </c>
      <c r="K200" s="313">
        <v>3158</v>
      </c>
      <c r="L200" s="313">
        <v>812</v>
      </c>
      <c r="M200" s="352" t="s">
        <v>18</v>
      </c>
    </row>
    <row r="201" spans="1:13" ht="11.5" x14ac:dyDescent="0.25">
      <c r="A201" s="352">
        <v>200</v>
      </c>
      <c r="B201" s="314" t="s">
        <v>729</v>
      </c>
      <c r="C201" s="313">
        <v>5761</v>
      </c>
      <c r="D201" s="313">
        <v>815</v>
      </c>
      <c r="E201" s="313">
        <v>2915</v>
      </c>
      <c r="F201" s="313">
        <v>16325</v>
      </c>
      <c r="G201" s="313"/>
      <c r="H201" s="313"/>
      <c r="I201" s="413"/>
      <c r="J201" s="313">
        <v>1406</v>
      </c>
      <c r="K201" s="313">
        <v>3578</v>
      </c>
      <c r="L201" s="313">
        <v>777</v>
      </c>
      <c r="M201" s="352" t="s">
        <v>18</v>
      </c>
    </row>
    <row r="202" spans="1:13" ht="11.5" x14ac:dyDescent="0.25">
      <c r="A202" s="352">
        <v>201</v>
      </c>
      <c r="B202" s="314" t="s">
        <v>719</v>
      </c>
      <c r="C202" s="313">
        <v>4638</v>
      </c>
      <c r="D202" s="313">
        <v>801</v>
      </c>
      <c r="E202" s="313">
        <v>2815</v>
      </c>
      <c r="F202" s="313">
        <v>9564</v>
      </c>
      <c r="G202" s="313"/>
      <c r="H202" s="313"/>
      <c r="I202" s="413"/>
      <c r="J202" s="313">
        <v>678</v>
      </c>
      <c r="K202" s="313">
        <v>3515</v>
      </c>
      <c r="L202" s="313">
        <v>445</v>
      </c>
      <c r="M202" s="352" t="s">
        <v>18</v>
      </c>
    </row>
    <row r="203" spans="1:13" ht="11.5" x14ac:dyDescent="0.25">
      <c r="A203" s="352">
        <v>202</v>
      </c>
      <c r="B203" s="314" t="s">
        <v>717</v>
      </c>
      <c r="C203" s="313">
        <v>4355</v>
      </c>
      <c r="D203" s="313">
        <v>823</v>
      </c>
      <c r="E203" s="313">
        <v>2716</v>
      </c>
      <c r="F203" s="313">
        <v>11695</v>
      </c>
      <c r="G203" s="313"/>
      <c r="H203" s="313"/>
      <c r="I203" s="413"/>
      <c r="J203" s="313">
        <v>388</v>
      </c>
      <c r="K203" s="313">
        <v>3301</v>
      </c>
      <c r="L203" s="313">
        <v>665</v>
      </c>
      <c r="M203" s="352" t="s">
        <v>18</v>
      </c>
    </row>
    <row r="204" spans="1:13" ht="11.5" x14ac:dyDescent="0.25">
      <c r="A204" s="352">
        <v>203</v>
      </c>
      <c r="B204" s="314" t="s">
        <v>721</v>
      </c>
      <c r="C204" s="313">
        <v>3883</v>
      </c>
      <c r="D204" s="313">
        <v>807</v>
      </c>
      <c r="E204" s="313">
        <v>1825</v>
      </c>
      <c r="F204" s="313">
        <v>3645</v>
      </c>
      <c r="G204" s="313"/>
      <c r="H204" s="313"/>
      <c r="I204" s="413"/>
      <c r="J204" s="313">
        <v>1424</v>
      </c>
      <c r="K204" s="313">
        <v>2261</v>
      </c>
      <c r="L204" s="313">
        <v>198</v>
      </c>
      <c r="M204" s="352" t="s">
        <v>18</v>
      </c>
    </row>
    <row r="205" spans="1:13" ht="11.5" x14ac:dyDescent="0.25">
      <c r="A205" s="352">
        <v>204</v>
      </c>
      <c r="B205" s="314" t="s">
        <v>728</v>
      </c>
      <c r="C205" s="313">
        <v>2571</v>
      </c>
      <c r="D205" s="313">
        <v>820</v>
      </c>
      <c r="E205" s="313">
        <v>1002</v>
      </c>
      <c r="F205" s="313">
        <v>2622</v>
      </c>
      <c r="G205" s="313"/>
      <c r="H205" s="313"/>
      <c r="I205" s="413"/>
      <c r="J205" s="313">
        <v>347</v>
      </c>
      <c r="K205" s="313">
        <v>1222</v>
      </c>
      <c r="L205" s="313">
        <v>1002</v>
      </c>
      <c r="M205" s="352" t="s">
        <v>18</v>
      </c>
    </row>
    <row r="206" spans="1:13" ht="11.5" x14ac:dyDescent="0.25">
      <c r="A206" s="352">
        <v>205</v>
      </c>
      <c r="B206" s="314" t="s">
        <v>716</v>
      </c>
      <c r="C206" s="313">
        <v>2064</v>
      </c>
      <c r="D206" s="313">
        <v>809</v>
      </c>
      <c r="E206" s="313">
        <v>906</v>
      </c>
      <c r="F206" s="313">
        <v>9394</v>
      </c>
      <c r="G206" s="313"/>
      <c r="H206" s="313"/>
      <c r="I206" s="413"/>
      <c r="J206" s="313">
        <v>840</v>
      </c>
      <c r="K206" s="313">
        <v>1120</v>
      </c>
      <c r="L206" s="313">
        <v>104</v>
      </c>
      <c r="M206" s="352" t="s">
        <v>18</v>
      </c>
    </row>
    <row r="207" spans="1:13" ht="11.5" x14ac:dyDescent="0.25">
      <c r="A207" s="352">
        <v>206</v>
      </c>
      <c r="B207" s="314" t="s">
        <v>731</v>
      </c>
      <c r="C207" s="313">
        <v>2058</v>
      </c>
      <c r="D207" s="313">
        <v>829</v>
      </c>
      <c r="E207" s="313">
        <v>856</v>
      </c>
      <c r="F207" s="313">
        <v>5673</v>
      </c>
      <c r="G207" s="313"/>
      <c r="H207" s="313"/>
      <c r="I207" s="413"/>
      <c r="J207" s="313">
        <v>529</v>
      </c>
      <c r="K207" s="313">
        <v>1033</v>
      </c>
      <c r="L207" s="313">
        <v>496</v>
      </c>
      <c r="M207" s="352" t="s">
        <v>18</v>
      </c>
    </row>
    <row r="208" spans="1:13" ht="11.5" x14ac:dyDescent="0.25">
      <c r="A208" s="352">
        <v>207</v>
      </c>
      <c r="B208" s="314" t="s">
        <v>718</v>
      </c>
      <c r="C208" s="313">
        <v>1829</v>
      </c>
      <c r="D208" s="313">
        <v>855</v>
      </c>
      <c r="E208" s="313">
        <v>1250</v>
      </c>
      <c r="F208" s="313">
        <v>2722</v>
      </c>
      <c r="G208" s="313"/>
      <c r="H208" s="313"/>
      <c r="I208" s="413"/>
      <c r="J208" s="313">
        <v>271</v>
      </c>
      <c r="K208" s="313">
        <v>1462</v>
      </c>
      <c r="L208" s="313">
        <v>96</v>
      </c>
      <c r="M208" s="352" t="s">
        <v>18</v>
      </c>
    </row>
    <row r="209" spans="1:13" ht="11.5" x14ac:dyDescent="0.25">
      <c r="A209" s="352">
        <v>208</v>
      </c>
      <c r="B209" s="314" t="s">
        <v>720</v>
      </c>
      <c r="C209" s="313">
        <v>1766</v>
      </c>
      <c r="D209" s="313">
        <v>764</v>
      </c>
      <c r="E209" s="313">
        <v>692</v>
      </c>
      <c r="F209" s="313">
        <v>1981</v>
      </c>
      <c r="G209" s="313"/>
      <c r="H209" s="313"/>
      <c r="I209" s="413"/>
      <c r="J209" s="313">
        <v>286</v>
      </c>
      <c r="K209" s="313">
        <v>906</v>
      </c>
      <c r="L209" s="313">
        <v>574</v>
      </c>
      <c r="M209" s="352" t="s">
        <v>18</v>
      </c>
    </row>
    <row r="210" spans="1:13" ht="11.5" x14ac:dyDescent="0.25">
      <c r="A210" s="352">
        <v>209</v>
      </c>
      <c r="B210" s="314" t="s">
        <v>727</v>
      </c>
      <c r="C210" s="313">
        <v>1561</v>
      </c>
      <c r="D210" s="313">
        <v>727</v>
      </c>
      <c r="E210" s="313">
        <v>505</v>
      </c>
      <c r="F210" s="313">
        <v>1604</v>
      </c>
      <c r="G210" s="313"/>
      <c r="H210" s="313"/>
      <c r="I210" s="413"/>
      <c r="J210" s="313">
        <v>440</v>
      </c>
      <c r="K210" s="313">
        <v>695</v>
      </c>
      <c r="L210" s="313">
        <v>426</v>
      </c>
      <c r="M210" s="352" t="s">
        <v>18</v>
      </c>
    </row>
    <row r="211" spans="1:13" ht="11.5" x14ac:dyDescent="0.25">
      <c r="A211" s="352">
        <v>210</v>
      </c>
      <c r="B211" s="314" t="s">
        <v>722</v>
      </c>
      <c r="C211" s="313">
        <v>1246</v>
      </c>
      <c r="D211" s="313">
        <v>767</v>
      </c>
      <c r="E211" s="313">
        <v>628</v>
      </c>
      <c r="F211" s="313">
        <v>2492</v>
      </c>
      <c r="G211" s="313"/>
      <c r="H211" s="313"/>
      <c r="I211" s="413"/>
      <c r="J211" s="313">
        <v>358</v>
      </c>
      <c r="K211" s="313">
        <v>819</v>
      </c>
      <c r="L211" s="313">
        <v>69</v>
      </c>
      <c r="M211" s="352" t="s">
        <v>18</v>
      </c>
    </row>
    <row r="212" spans="1:13" ht="11.5" x14ac:dyDescent="0.25">
      <c r="A212" s="352">
        <v>211</v>
      </c>
      <c r="B212" s="314" t="s">
        <v>723</v>
      </c>
      <c r="C212" s="313">
        <v>1148</v>
      </c>
      <c r="D212" s="313">
        <v>800</v>
      </c>
      <c r="E212" s="313">
        <v>476</v>
      </c>
      <c r="F212" s="313">
        <v>3444</v>
      </c>
      <c r="G212" s="313"/>
      <c r="H212" s="313"/>
      <c r="I212" s="413"/>
      <c r="J212" s="313">
        <v>394</v>
      </c>
      <c r="K212" s="313">
        <v>595</v>
      </c>
      <c r="L212" s="313">
        <v>159</v>
      </c>
      <c r="M212" s="352" t="s">
        <v>18</v>
      </c>
    </row>
    <row r="213" spans="1:13" ht="11.5" x14ac:dyDescent="0.25">
      <c r="A213" s="352">
        <v>212</v>
      </c>
      <c r="B213" s="314" t="s">
        <v>730</v>
      </c>
      <c r="C213" s="313">
        <v>938</v>
      </c>
      <c r="D213" s="313">
        <v>733</v>
      </c>
      <c r="E213" s="313">
        <v>297</v>
      </c>
      <c r="F213" s="313">
        <v>2823</v>
      </c>
      <c r="G213" s="313"/>
      <c r="H213" s="313"/>
      <c r="I213" s="413"/>
      <c r="J213" s="313">
        <v>373</v>
      </c>
      <c r="K213" s="313">
        <v>405</v>
      </c>
      <c r="L213" s="313">
        <v>160</v>
      </c>
      <c r="M213" s="352" t="s">
        <v>18</v>
      </c>
    </row>
    <row r="214" spans="1:13" ht="11.5" x14ac:dyDescent="0.25">
      <c r="A214" s="352">
        <v>213</v>
      </c>
      <c r="B214" s="314" t="s">
        <v>724</v>
      </c>
      <c r="C214" s="313">
        <v>777</v>
      </c>
      <c r="D214" s="313">
        <v>805</v>
      </c>
      <c r="E214" s="313">
        <v>396</v>
      </c>
      <c r="F214" s="313">
        <v>766</v>
      </c>
      <c r="G214" s="313"/>
      <c r="H214" s="313"/>
      <c r="I214" s="413"/>
      <c r="J214" s="313">
        <v>88</v>
      </c>
      <c r="K214" s="313">
        <v>492</v>
      </c>
      <c r="L214" s="313">
        <v>197</v>
      </c>
      <c r="M214" s="352" t="s">
        <v>18</v>
      </c>
    </row>
    <row r="215" spans="1:13" ht="11.5" x14ac:dyDescent="0.25">
      <c r="A215" s="352">
        <v>214</v>
      </c>
      <c r="B215" s="314" t="s">
        <v>725</v>
      </c>
      <c r="C215" s="313">
        <v>95</v>
      </c>
      <c r="D215" s="313">
        <v>750</v>
      </c>
      <c r="E215" s="313">
        <v>27</v>
      </c>
      <c r="F215" s="313">
        <v>486</v>
      </c>
      <c r="G215" s="313"/>
      <c r="H215" s="313"/>
      <c r="I215" s="413"/>
      <c r="J215" s="313">
        <v>30</v>
      </c>
      <c r="K215" s="313">
        <v>36</v>
      </c>
      <c r="L215" s="313">
        <v>29</v>
      </c>
      <c r="M215" s="352" t="s">
        <v>18</v>
      </c>
    </row>
    <row r="216" spans="1:13" ht="11.5" x14ac:dyDescent="0.25">
      <c r="A216" s="352">
        <v>215</v>
      </c>
      <c r="B216" s="314" t="s">
        <v>736</v>
      </c>
      <c r="C216" s="313">
        <v>52</v>
      </c>
      <c r="D216" s="313">
        <v>838</v>
      </c>
      <c r="E216" s="415">
        <v>31</v>
      </c>
      <c r="F216" s="415">
        <v>69</v>
      </c>
      <c r="G216" s="313"/>
      <c r="H216" s="313"/>
      <c r="I216" s="413"/>
      <c r="J216" s="415"/>
      <c r="K216" s="415">
        <v>37</v>
      </c>
      <c r="L216" s="415">
        <v>15</v>
      </c>
      <c r="M216" s="352" t="s">
        <v>18</v>
      </c>
    </row>
    <row r="217" spans="1:13" ht="11.5" x14ac:dyDescent="0.25">
      <c r="A217" s="352">
        <v>216</v>
      </c>
      <c r="B217" s="314" t="s">
        <v>726</v>
      </c>
      <c r="C217" s="313">
        <v>1</v>
      </c>
      <c r="D217" s="313">
        <v>750</v>
      </c>
      <c r="E217" s="313">
        <v>1</v>
      </c>
      <c r="F217" s="313">
        <v>2</v>
      </c>
      <c r="G217" s="313"/>
      <c r="H217" s="313"/>
      <c r="I217" s="413"/>
      <c r="J217" s="413"/>
      <c r="K217" s="313">
        <v>1</v>
      </c>
      <c r="L217" s="413"/>
      <c r="M217" s="352" t="s">
        <v>18</v>
      </c>
    </row>
    <row r="218" spans="1:13" ht="11.5" x14ac:dyDescent="0.25">
      <c r="A218" s="352">
        <v>217</v>
      </c>
      <c r="B218" s="314" t="s">
        <v>732</v>
      </c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352" t="s">
        <v>18</v>
      </c>
    </row>
    <row r="219" spans="1:13" ht="11.5" x14ac:dyDescent="0.25">
      <c r="A219" s="352">
        <v>218</v>
      </c>
      <c r="B219" s="314" t="s">
        <v>733</v>
      </c>
      <c r="C219" s="413"/>
      <c r="D219" s="413"/>
      <c r="E219" s="413"/>
      <c r="F219" s="413"/>
      <c r="G219" s="413"/>
      <c r="H219" s="413"/>
      <c r="I219" s="413"/>
      <c r="J219" s="413"/>
      <c r="K219" s="413"/>
      <c r="L219" s="413"/>
      <c r="M219" s="352" t="s">
        <v>18</v>
      </c>
    </row>
    <row r="220" spans="1:13" ht="11.5" x14ac:dyDescent="0.25">
      <c r="A220" s="352">
        <v>219</v>
      </c>
      <c r="B220" s="314" t="s">
        <v>734</v>
      </c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352" t="s">
        <v>18</v>
      </c>
    </row>
    <row r="221" spans="1:13" ht="11.5" x14ac:dyDescent="0.25">
      <c r="A221" s="352">
        <v>220</v>
      </c>
      <c r="B221" s="314" t="s">
        <v>735</v>
      </c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352" t="s">
        <v>18</v>
      </c>
    </row>
    <row r="222" spans="1:13" ht="11.5" x14ac:dyDescent="0.25">
      <c r="A222" s="352">
        <v>221</v>
      </c>
      <c r="B222" s="368" t="s">
        <v>387</v>
      </c>
      <c r="C222" s="282">
        <v>6259</v>
      </c>
      <c r="D222" s="282">
        <v>638</v>
      </c>
      <c r="E222" s="282">
        <v>2780</v>
      </c>
      <c r="F222" s="282">
        <v>13040</v>
      </c>
      <c r="G222" s="282"/>
      <c r="H222" s="282"/>
      <c r="I222" s="282"/>
      <c r="J222" s="282">
        <v>548</v>
      </c>
      <c r="K222" s="282">
        <v>4358</v>
      </c>
      <c r="L222" s="282">
        <v>1353</v>
      </c>
      <c r="M222" s="352" t="s">
        <v>19</v>
      </c>
    </row>
    <row r="223" spans="1:13" ht="11.5" x14ac:dyDescent="0.25">
      <c r="A223" s="352">
        <v>222</v>
      </c>
      <c r="B223" s="369" t="s">
        <v>388</v>
      </c>
      <c r="C223" s="282">
        <v>4532</v>
      </c>
      <c r="D223" s="282">
        <v>254</v>
      </c>
      <c r="E223" s="282">
        <v>833</v>
      </c>
      <c r="F223" s="282">
        <v>23275</v>
      </c>
      <c r="G223" s="282"/>
      <c r="H223" s="282"/>
      <c r="I223" s="282"/>
      <c r="J223" s="282">
        <v>795</v>
      </c>
      <c r="K223" s="282">
        <v>3277</v>
      </c>
      <c r="L223" s="282">
        <v>460</v>
      </c>
      <c r="M223" s="352" t="s">
        <v>19</v>
      </c>
    </row>
    <row r="224" spans="1:13" ht="11.5" x14ac:dyDescent="0.25">
      <c r="A224" s="352">
        <v>223</v>
      </c>
      <c r="B224" s="369" t="s">
        <v>394</v>
      </c>
      <c r="C224" s="282">
        <v>1267</v>
      </c>
      <c r="D224" s="282">
        <v>529</v>
      </c>
      <c r="E224" s="282">
        <v>618</v>
      </c>
      <c r="F224" s="282">
        <v>6014</v>
      </c>
      <c r="G224" s="282"/>
      <c r="H224" s="282"/>
      <c r="I224" s="282"/>
      <c r="J224" s="282">
        <v>14</v>
      </c>
      <c r="K224" s="282">
        <v>1169</v>
      </c>
      <c r="L224" s="282">
        <v>84</v>
      </c>
      <c r="M224" s="352" t="s">
        <v>19</v>
      </c>
    </row>
    <row r="225" spans="1:13" ht="11.5" x14ac:dyDescent="0.25">
      <c r="A225" s="352">
        <v>224</v>
      </c>
      <c r="B225" s="369" t="s">
        <v>393</v>
      </c>
      <c r="C225" s="282">
        <v>822</v>
      </c>
      <c r="D225" s="282">
        <v>336</v>
      </c>
      <c r="E225" s="282">
        <v>176</v>
      </c>
      <c r="F225" s="282">
        <v>2551</v>
      </c>
      <c r="G225" s="282"/>
      <c r="H225" s="282"/>
      <c r="I225" s="282"/>
      <c r="J225" s="282">
        <v>217</v>
      </c>
      <c r="K225" s="282">
        <v>525</v>
      </c>
      <c r="L225" s="282">
        <v>81</v>
      </c>
      <c r="M225" s="352" t="s">
        <v>19</v>
      </c>
    </row>
    <row r="226" spans="1:13" ht="11.5" x14ac:dyDescent="0.25">
      <c r="A226" s="352">
        <v>225</v>
      </c>
      <c r="B226" s="369" t="s">
        <v>389</v>
      </c>
      <c r="C226" s="282">
        <v>457</v>
      </c>
      <c r="D226" s="282">
        <v>254</v>
      </c>
      <c r="E226" s="282">
        <v>89</v>
      </c>
      <c r="F226" s="282">
        <v>4279</v>
      </c>
      <c r="G226" s="282"/>
      <c r="H226" s="282"/>
      <c r="I226" s="282"/>
      <c r="J226" s="282">
        <v>4</v>
      </c>
      <c r="K226" s="282">
        <v>350</v>
      </c>
      <c r="L226" s="282">
        <v>104</v>
      </c>
      <c r="M226" s="352" t="s">
        <v>19</v>
      </c>
    </row>
    <row r="227" spans="1:13" ht="11.5" x14ac:dyDescent="0.25">
      <c r="A227" s="352">
        <v>226</v>
      </c>
      <c r="B227" s="369" t="s">
        <v>390</v>
      </c>
      <c r="C227" s="282">
        <v>292</v>
      </c>
      <c r="D227" s="282">
        <v>536</v>
      </c>
      <c r="E227" s="282">
        <v>115</v>
      </c>
      <c r="F227" s="282">
        <v>1449</v>
      </c>
      <c r="G227" s="282"/>
      <c r="H227" s="282"/>
      <c r="I227" s="282"/>
      <c r="J227" s="282">
        <v>68</v>
      </c>
      <c r="K227" s="282">
        <v>214</v>
      </c>
      <c r="L227" s="282">
        <v>11</v>
      </c>
      <c r="M227" s="352" t="s">
        <v>19</v>
      </c>
    </row>
    <row r="228" spans="1:13" ht="11.5" x14ac:dyDescent="0.25">
      <c r="A228" s="352">
        <v>227</v>
      </c>
      <c r="B228" s="369" t="s">
        <v>391</v>
      </c>
      <c r="C228" s="282">
        <v>254</v>
      </c>
      <c r="D228" s="282">
        <v>357</v>
      </c>
      <c r="E228" s="282">
        <v>72</v>
      </c>
      <c r="F228" s="282">
        <v>5069</v>
      </c>
      <c r="G228" s="282"/>
      <c r="H228" s="282"/>
      <c r="I228" s="282"/>
      <c r="J228" s="282">
        <v>28</v>
      </c>
      <c r="K228" s="282">
        <v>201</v>
      </c>
      <c r="L228" s="282">
        <v>24</v>
      </c>
      <c r="M228" s="352" t="s">
        <v>19</v>
      </c>
    </row>
    <row r="229" spans="1:13" ht="11.5" x14ac:dyDescent="0.25">
      <c r="A229" s="352">
        <v>228</v>
      </c>
      <c r="B229" s="369" t="s">
        <v>392</v>
      </c>
      <c r="C229" s="282">
        <v>48</v>
      </c>
      <c r="D229" s="282">
        <v>519</v>
      </c>
      <c r="E229" s="282">
        <v>22</v>
      </c>
      <c r="F229" s="282">
        <v>226</v>
      </c>
      <c r="G229" s="282"/>
      <c r="H229" s="282"/>
      <c r="I229" s="282"/>
      <c r="J229" s="282">
        <v>1</v>
      </c>
      <c r="K229" s="282">
        <v>43</v>
      </c>
      <c r="L229" s="282">
        <v>4</v>
      </c>
      <c r="M229" s="352" t="s">
        <v>19</v>
      </c>
    </row>
    <row r="230" spans="1:13" ht="11.5" x14ac:dyDescent="0.25">
      <c r="A230" s="352">
        <v>229</v>
      </c>
      <c r="B230" s="369" t="s">
        <v>395</v>
      </c>
      <c r="C230" s="423"/>
      <c r="D230" s="423"/>
      <c r="E230" s="423"/>
      <c r="F230" s="423"/>
      <c r="G230" s="282"/>
      <c r="H230" s="282"/>
      <c r="I230" s="282"/>
      <c r="J230" s="282"/>
      <c r="K230" s="282"/>
      <c r="L230" s="282"/>
      <c r="M230" s="352" t="s">
        <v>19</v>
      </c>
    </row>
    <row r="231" spans="1:13" ht="11.5" x14ac:dyDescent="0.25">
      <c r="A231" s="352">
        <v>230</v>
      </c>
      <c r="B231" s="370" t="s">
        <v>396</v>
      </c>
      <c r="C231" s="300">
        <v>538</v>
      </c>
      <c r="D231" s="300">
        <v>443</v>
      </c>
      <c r="E231" s="300">
        <v>177</v>
      </c>
      <c r="F231" s="300">
        <v>1043</v>
      </c>
      <c r="G231" s="300"/>
      <c r="H231" s="300"/>
      <c r="I231" s="300"/>
      <c r="J231" s="300">
        <v>109</v>
      </c>
      <c r="K231" s="300">
        <v>400</v>
      </c>
      <c r="L231" s="300">
        <v>29</v>
      </c>
      <c r="M231" s="352" t="s">
        <v>1343</v>
      </c>
    </row>
    <row r="232" spans="1:13" ht="11.5" x14ac:dyDescent="0.25">
      <c r="A232" s="352">
        <v>231</v>
      </c>
      <c r="B232" s="370" t="s">
        <v>401</v>
      </c>
      <c r="C232" s="300">
        <v>4220</v>
      </c>
      <c r="D232" s="300">
        <v>595</v>
      </c>
      <c r="E232" s="300">
        <v>1564</v>
      </c>
      <c r="F232" s="300">
        <v>4309</v>
      </c>
      <c r="G232" s="300"/>
      <c r="H232" s="300"/>
      <c r="I232" s="300"/>
      <c r="J232" s="300">
        <v>1126</v>
      </c>
      <c r="K232" s="300">
        <v>2630</v>
      </c>
      <c r="L232" s="300">
        <v>465</v>
      </c>
      <c r="M232" s="352" t="s">
        <v>1343</v>
      </c>
    </row>
    <row r="233" spans="1:13" ht="11.5" x14ac:dyDescent="0.25">
      <c r="A233" s="352">
        <v>232</v>
      </c>
      <c r="B233" s="370" t="s">
        <v>398</v>
      </c>
      <c r="C233" s="300">
        <v>1886</v>
      </c>
      <c r="D233" s="300">
        <v>213</v>
      </c>
      <c r="E233" s="300">
        <v>184</v>
      </c>
      <c r="F233" s="300">
        <v>1541</v>
      </c>
      <c r="G233" s="300"/>
      <c r="H233" s="300"/>
      <c r="I233" s="300"/>
      <c r="J233" s="300">
        <v>644</v>
      </c>
      <c r="K233" s="300">
        <v>863</v>
      </c>
      <c r="L233" s="300">
        <v>379</v>
      </c>
      <c r="M233" s="352" t="s">
        <v>1343</v>
      </c>
    </row>
    <row r="234" spans="1:13" ht="11.5" x14ac:dyDescent="0.25">
      <c r="A234" s="352">
        <v>233</v>
      </c>
      <c r="B234" s="370" t="s">
        <v>397</v>
      </c>
      <c r="C234" s="300">
        <v>452</v>
      </c>
      <c r="D234" s="300">
        <v>259</v>
      </c>
      <c r="E234" s="300">
        <v>45</v>
      </c>
      <c r="F234" s="300">
        <v>266</v>
      </c>
      <c r="G234" s="300"/>
      <c r="H234" s="300"/>
      <c r="I234" s="300"/>
      <c r="J234" s="300">
        <v>263</v>
      </c>
      <c r="K234" s="300">
        <v>175</v>
      </c>
      <c r="L234" s="300">
        <v>13</v>
      </c>
      <c r="M234" s="352" t="s">
        <v>1343</v>
      </c>
    </row>
    <row r="235" spans="1:13" ht="11.5" x14ac:dyDescent="0.25">
      <c r="A235" s="352">
        <v>234</v>
      </c>
      <c r="B235" s="370" t="s">
        <v>400</v>
      </c>
      <c r="C235" s="300">
        <v>241</v>
      </c>
      <c r="D235" s="300">
        <v>212</v>
      </c>
      <c r="E235" s="300">
        <v>21</v>
      </c>
      <c r="F235" s="300">
        <v>424</v>
      </c>
      <c r="G235" s="300"/>
      <c r="H235" s="300"/>
      <c r="I235" s="300"/>
      <c r="J235" s="300">
        <v>121</v>
      </c>
      <c r="K235" s="300">
        <v>99</v>
      </c>
      <c r="L235" s="300">
        <v>21</v>
      </c>
      <c r="M235" s="352" t="s">
        <v>1343</v>
      </c>
    </row>
    <row r="236" spans="1:13" ht="11.5" x14ac:dyDescent="0.25">
      <c r="A236" s="352">
        <v>235</v>
      </c>
      <c r="B236" s="370" t="s">
        <v>402</v>
      </c>
      <c r="C236" s="300">
        <v>240</v>
      </c>
      <c r="D236" s="388"/>
      <c r="E236" s="388"/>
      <c r="F236" s="300">
        <v>246</v>
      </c>
      <c r="G236" s="388"/>
      <c r="H236" s="388"/>
      <c r="I236" s="300"/>
      <c r="J236" s="388"/>
      <c r="K236" s="300">
        <v>38</v>
      </c>
      <c r="L236" s="300">
        <v>202</v>
      </c>
      <c r="M236" s="352" t="s">
        <v>1343</v>
      </c>
    </row>
    <row r="237" spans="1:13" ht="11.5" x14ac:dyDescent="0.25">
      <c r="A237" s="352">
        <v>236</v>
      </c>
      <c r="B237" s="370" t="s">
        <v>403</v>
      </c>
      <c r="C237" s="300">
        <v>103</v>
      </c>
      <c r="D237" s="300">
        <v>159</v>
      </c>
      <c r="E237" s="300">
        <v>4</v>
      </c>
      <c r="F237" s="300">
        <v>253</v>
      </c>
      <c r="G237" s="300"/>
      <c r="H237" s="300"/>
      <c r="I237" s="300"/>
      <c r="J237" s="388"/>
      <c r="K237" s="300">
        <v>26</v>
      </c>
      <c r="L237" s="300">
        <v>77</v>
      </c>
      <c r="M237" s="352" t="s">
        <v>1343</v>
      </c>
    </row>
    <row r="238" spans="1:13" ht="11.5" x14ac:dyDescent="0.25">
      <c r="A238" s="352">
        <v>237</v>
      </c>
      <c r="B238" s="370" t="s">
        <v>399</v>
      </c>
      <c r="C238" s="300">
        <v>84</v>
      </c>
      <c r="D238" s="300">
        <v>180</v>
      </c>
      <c r="E238" s="300">
        <v>0</v>
      </c>
      <c r="F238" s="300">
        <v>49</v>
      </c>
      <c r="G238" s="300"/>
      <c r="H238" s="300"/>
      <c r="I238" s="300"/>
      <c r="J238" s="300">
        <v>69</v>
      </c>
      <c r="K238" s="300">
        <v>2</v>
      </c>
      <c r="L238" s="300">
        <v>13</v>
      </c>
      <c r="M238" s="352" t="s">
        <v>1343</v>
      </c>
    </row>
    <row r="239" spans="1:13" ht="11.5" x14ac:dyDescent="0.25">
      <c r="A239" s="352">
        <v>238</v>
      </c>
      <c r="B239" s="370" t="s">
        <v>399</v>
      </c>
      <c r="C239" s="436"/>
      <c r="D239" s="436"/>
      <c r="E239" s="436"/>
      <c r="F239" s="436"/>
      <c r="G239" s="388"/>
      <c r="H239" s="388"/>
      <c r="I239" s="388"/>
      <c r="J239" s="388"/>
      <c r="K239" s="388"/>
      <c r="L239" s="388"/>
      <c r="M239" s="352" t="s">
        <v>1343</v>
      </c>
    </row>
    <row r="240" spans="1:13" ht="11.5" x14ac:dyDescent="0.25">
      <c r="A240" s="352">
        <v>239</v>
      </c>
      <c r="B240" s="370" t="s">
        <v>405</v>
      </c>
      <c r="C240" s="437"/>
      <c r="D240" s="436"/>
      <c r="E240" s="436"/>
      <c r="F240" s="436"/>
      <c r="G240" s="388"/>
      <c r="H240" s="388"/>
      <c r="I240" s="388"/>
      <c r="J240" s="388"/>
      <c r="K240" s="388"/>
      <c r="L240" s="388"/>
      <c r="M240" s="352" t="s">
        <v>1343</v>
      </c>
    </row>
    <row r="241" spans="1:13" ht="11.5" x14ac:dyDescent="0.25">
      <c r="A241" s="352">
        <v>240</v>
      </c>
      <c r="B241" s="370" t="s">
        <v>404</v>
      </c>
      <c r="C241" s="436"/>
      <c r="D241" s="436"/>
      <c r="E241" s="436"/>
      <c r="F241" s="436"/>
      <c r="G241" s="388"/>
      <c r="H241" s="388"/>
      <c r="I241" s="388"/>
      <c r="J241" s="388"/>
      <c r="K241" s="388"/>
      <c r="L241" s="388"/>
      <c r="M241" s="352" t="s">
        <v>1343</v>
      </c>
    </row>
    <row r="242" spans="1:13" ht="11.5" x14ac:dyDescent="0.25">
      <c r="A242" s="352">
        <v>241</v>
      </c>
      <c r="B242" s="371" t="s">
        <v>421</v>
      </c>
      <c r="C242" s="299">
        <v>614</v>
      </c>
      <c r="D242" s="299">
        <v>501</v>
      </c>
      <c r="E242" s="299">
        <v>57</v>
      </c>
      <c r="F242" s="299">
        <v>701</v>
      </c>
      <c r="G242" s="299"/>
      <c r="H242" s="299"/>
      <c r="I242" s="299"/>
      <c r="J242" s="299">
        <v>388</v>
      </c>
      <c r="K242" s="299">
        <v>113</v>
      </c>
      <c r="L242" s="299">
        <v>113</v>
      </c>
      <c r="M242" s="352" t="s">
        <v>21</v>
      </c>
    </row>
    <row r="243" spans="1:13" ht="11.5" x14ac:dyDescent="0.25">
      <c r="A243" s="352">
        <v>242</v>
      </c>
      <c r="B243" s="371" t="s">
        <v>413</v>
      </c>
      <c r="C243" s="299">
        <v>22234</v>
      </c>
      <c r="D243" s="299">
        <v>662</v>
      </c>
      <c r="E243" s="299">
        <v>8025</v>
      </c>
      <c r="F243" s="299">
        <v>34203</v>
      </c>
      <c r="G243" s="299"/>
      <c r="H243" s="299"/>
      <c r="I243" s="438"/>
      <c r="J243" s="299">
        <v>7753</v>
      </c>
      <c r="K243" s="299">
        <v>12128</v>
      </c>
      <c r="L243" s="299">
        <v>2353</v>
      </c>
      <c r="M243" s="352" t="s">
        <v>21</v>
      </c>
    </row>
    <row r="244" spans="1:13" ht="11.5" x14ac:dyDescent="0.25">
      <c r="A244" s="352">
        <v>243</v>
      </c>
      <c r="B244" s="372" t="s">
        <v>414</v>
      </c>
      <c r="C244" s="299">
        <v>9385</v>
      </c>
      <c r="D244" s="299">
        <v>857</v>
      </c>
      <c r="E244" s="299">
        <v>4566</v>
      </c>
      <c r="F244" s="299">
        <v>13783</v>
      </c>
      <c r="G244" s="299"/>
      <c r="H244" s="299"/>
      <c r="I244" s="438"/>
      <c r="J244" s="299">
        <v>4056</v>
      </c>
      <c r="K244" s="299">
        <v>5329</v>
      </c>
      <c r="L244" s="387"/>
      <c r="M244" s="352" t="s">
        <v>21</v>
      </c>
    </row>
    <row r="245" spans="1:13" ht="11.5" x14ac:dyDescent="0.25">
      <c r="A245" s="352">
        <v>244</v>
      </c>
      <c r="B245" s="371" t="s">
        <v>418</v>
      </c>
      <c r="C245" s="299">
        <v>6105</v>
      </c>
      <c r="D245" s="299">
        <v>300</v>
      </c>
      <c r="E245" s="299">
        <v>1134</v>
      </c>
      <c r="F245" s="299">
        <v>14149</v>
      </c>
      <c r="G245" s="299"/>
      <c r="H245" s="299"/>
      <c r="I245" s="438"/>
      <c r="J245" s="299">
        <v>2195</v>
      </c>
      <c r="K245" s="299">
        <v>3786</v>
      </c>
      <c r="L245" s="299">
        <v>124</v>
      </c>
      <c r="M245" s="352" t="s">
        <v>21</v>
      </c>
    </row>
    <row r="246" spans="1:13" ht="11.5" x14ac:dyDescent="0.25">
      <c r="A246" s="352">
        <v>245</v>
      </c>
      <c r="B246" s="371" t="s">
        <v>412</v>
      </c>
      <c r="C246" s="299">
        <v>5704</v>
      </c>
      <c r="D246" s="299">
        <v>791</v>
      </c>
      <c r="E246" s="299">
        <v>2343</v>
      </c>
      <c r="F246" s="299">
        <v>8415</v>
      </c>
      <c r="G246" s="299"/>
      <c r="H246" s="299"/>
      <c r="I246" s="438"/>
      <c r="J246" s="299">
        <v>2697</v>
      </c>
      <c r="K246" s="299">
        <v>2964</v>
      </c>
      <c r="L246" s="299">
        <v>43</v>
      </c>
      <c r="M246" s="352" t="s">
        <v>21</v>
      </c>
    </row>
    <row r="247" spans="1:13" ht="11.5" x14ac:dyDescent="0.25">
      <c r="A247" s="352">
        <v>246</v>
      </c>
      <c r="B247" s="371" t="s">
        <v>417</v>
      </c>
      <c r="C247" s="299">
        <v>3270</v>
      </c>
      <c r="D247" s="299">
        <v>450</v>
      </c>
      <c r="E247" s="299">
        <v>599</v>
      </c>
      <c r="F247" s="299">
        <v>5306</v>
      </c>
      <c r="G247" s="299"/>
      <c r="H247" s="299"/>
      <c r="I247" s="438"/>
      <c r="J247" s="299">
        <v>160</v>
      </c>
      <c r="K247" s="299">
        <v>1332</v>
      </c>
      <c r="L247" s="299">
        <v>338</v>
      </c>
      <c r="M247" s="352" t="s">
        <v>21</v>
      </c>
    </row>
    <row r="248" spans="1:13" ht="11.5" x14ac:dyDescent="0.25">
      <c r="A248" s="352">
        <v>247</v>
      </c>
      <c r="B248" s="371" t="s">
        <v>419</v>
      </c>
      <c r="C248" s="299">
        <v>2497</v>
      </c>
      <c r="D248" s="299">
        <v>370</v>
      </c>
      <c r="E248" s="299">
        <v>571</v>
      </c>
      <c r="F248" s="299">
        <v>3866</v>
      </c>
      <c r="G248" s="299"/>
      <c r="H248" s="299"/>
      <c r="I248" s="438"/>
      <c r="J248" s="299">
        <v>421</v>
      </c>
      <c r="K248" s="299">
        <v>1543</v>
      </c>
      <c r="L248" s="299">
        <v>533</v>
      </c>
      <c r="M248" s="352" t="s">
        <v>21</v>
      </c>
    </row>
    <row r="249" spans="1:13" ht="11.5" x14ac:dyDescent="0.25">
      <c r="A249" s="352">
        <v>248</v>
      </c>
      <c r="B249" s="371" t="s">
        <v>416</v>
      </c>
      <c r="C249" s="299">
        <v>2053</v>
      </c>
      <c r="D249" s="299">
        <v>524</v>
      </c>
      <c r="E249" s="299">
        <v>564</v>
      </c>
      <c r="F249" s="299">
        <v>3152</v>
      </c>
      <c r="G249" s="299"/>
      <c r="H249" s="299"/>
      <c r="I249" s="438"/>
      <c r="J249" s="299">
        <v>852</v>
      </c>
      <c r="K249" s="299">
        <v>1076</v>
      </c>
      <c r="L249" s="299">
        <v>125</v>
      </c>
      <c r="M249" s="352" t="s">
        <v>21</v>
      </c>
    </row>
    <row r="250" spans="1:13" ht="11.5" x14ac:dyDescent="0.25">
      <c r="A250" s="352">
        <v>249</v>
      </c>
      <c r="B250" s="371" t="s">
        <v>410</v>
      </c>
      <c r="C250" s="299">
        <v>1276</v>
      </c>
      <c r="D250" s="299">
        <v>457</v>
      </c>
      <c r="E250" s="299">
        <v>64</v>
      </c>
      <c r="F250" s="299">
        <v>2623</v>
      </c>
      <c r="G250" s="299"/>
      <c r="H250" s="299"/>
      <c r="I250" s="299"/>
      <c r="J250" s="299">
        <v>1098</v>
      </c>
      <c r="K250" s="299">
        <v>141</v>
      </c>
      <c r="L250" s="299">
        <v>38</v>
      </c>
      <c r="M250" s="352" t="s">
        <v>21</v>
      </c>
    </row>
    <row r="251" spans="1:13" ht="11.5" x14ac:dyDescent="0.25">
      <c r="A251" s="352">
        <v>250</v>
      </c>
      <c r="B251" s="371" t="s">
        <v>423</v>
      </c>
      <c r="C251" s="299">
        <v>1050</v>
      </c>
      <c r="D251" s="299">
        <v>576</v>
      </c>
      <c r="E251" s="299">
        <v>98</v>
      </c>
      <c r="F251" s="299">
        <v>1434</v>
      </c>
      <c r="G251" s="299"/>
      <c r="H251" s="299"/>
      <c r="I251" s="438"/>
      <c r="J251" s="299">
        <v>778</v>
      </c>
      <c r="K251" s="299">
        <v>170</v>
      </c>
      <c r="L251" s="299">
        <v>102</v>
      </c>
      <c r="M251" s="352" t="s">
        <v>21</v>
      </c>
    </row>
    <row r="252" spans="1:13" ht="11.5" x14ac:dyDescent="0.25">
      <c r="A252" s="352">
        <v>251</v>
      </c>
      <c r="B252" s="371" t="s">
        <v>415</v>
      </c>
      <c r="C252" s="299">
        <v>960</v>
      </c>
      <c r="D252" s="299">
        <v>432</v>
      </c>
      <c r="E252" s="299">
        <v>209</v>
      </c>
      <c r="F252" s="299">
        <v>1477</v>
      </c>
      <c r="G252" s="299"/>
      <c r="H252" s="299"/>
      <c r="I252" s="438"/>
      <c r="J252" s="299">
        <v>435</v>
      </c>
      <c r="K252" s="299">
        <v>485</v>
      </c>
      <c r="L252" s="299">
        <v>40</v>
      </c>
      <c r="M252" s="352" t="s">
        <v>21</v>
      </c>
    </row>
    <row r="253" spans="1:13" ht="11.5" x14ac:dyDescent="0.25">
      <c r="A253" s="352">
        <v>252</v>
      </c>
      <c r="B253" s="371" t="s">
        <v>411</v>
      </c>
      <c r="C253" s="299">
        <v>914</v>
      </c>
      <c r="D253" s="299">
        <v>322</v>
      </c>
      <c r="E253" s="299">
        <v>175</v>
      </c>
      <c r="F253" s="299">
        <v>1406</v>
      </c>
      <c r="G253" s="299"/>
      <c r="H253" s="299"/>
      <c r="I253" s="299"/>
      <c r="J253" s="299">
        <v>336</v>
      </c>
      <c r="K253" s="299">
        <v>544</v>
      </c>
      <c r="L253" s="299">
        <v>34</v>
      </c>
      <c r="M253" s="352" t="s">
        <v>21</v>
      </c>
    </row>
    <row r="254" spans="1:13" ht="11.5" x14ac:dyDescent="0.25">
      <c r="A254" s="352">
        <v>253</v>
      </c>
      <c r="B254" s="371" t="s">
        <v>420</v>
      </c>
      <c r="C254" s="299">
        <v>728</v>
      </c>
      <c r="D254" s="299">
        <v>420</v>
      </c>
      <c r="E254" s="299">
        <v>41</v>
      </c>
      <c r="F254" s="299">
        <v>1123</v>
      </c>
      <c r="G254" s="299"/>
      <c r="H254" s="299"/>
      <c r="I254" s="299"/>
      <c r="J254" s="299">
        <v>610</v>
      </c>
      <c r="K254" s="299">
        <v>98</v>
      </c>
      <c r="L254" s="299">
        <v>20</v>
      </c>
      <c r="M254" s="352" t="s">
        <v>21</v>
      </c>
    </row>
    <row r="255" spans="1:13" ht="11.5" x14ac:dyDescent="0.25">
      <c r="A255" s="352">
        <v>254</v>
      </c>
      <c r="B255" s="371" t="s">
        <v>424</v>
      </c>
      <c r="C255" s="299">
        <v>543</v>
      </c>
      <c r="D255" s="299">
        <v>360</v>
      </c>
      <c r="E255" s="299">
        <v>70</v>
      </c>
      <c r="F255" s="299">
        <v>876</v>
      </c>
      <c r="G255" s="299"/>
      <c r="H255" s="299"/>
      <c r="I255" s="438"/>
      <c r="J255" s="299">
        <v>269</v>
      </c>
      <c r="K255" s="299">
        <v>195</v>
      </c>
      <c r="L255" s="299">
        <v>79</v>
      </c>
      <c r="M255" s="352" t="s">
        <v>21</v>
      </c>
    </row>
    <row r="256" spans="1:13" ht="11.5" x14ac:dyDescent="0.25">
      <c r="A256" s="352">
        <v>255</v>
      </c>
      <c r="B256" s="371" t="s">
        <v>407</v>
      </c>
      <c r="C256" s="299">
        <v>467</v>
      </c>
      <c r="D256" s="299">
        <v>431</v>
      </c>
      <c r="E256" s="299">
        <v>52</v>
      </c>
      <c r="F256" s="299">
        <v>742</v>
      </c>
      <c r="G256" s="299"/>
      <c r="H256" s="299"/>
      <c r="I256" s="299"/>
      <c r="J256" s="299">
        <v>334</v>
      </c>
      <c r="K256" s="299">
        <v>121</v>
      </c>
      <c r="L256" s="299">
        <v>12</v>
      </c>
      <c r="M256" s="352" t="s">
        <v>21</v>
      </c>
    </row>
    <row r="257" spans="1:13" ht="11.5" x14ac:dyDescent="0.25">
      <c r="A257" s="352">
        <v>256</v>
      </c>
      <c r="B257" s="371" t="s">
        <v>422</v>
      </c>
      <c r="C257" s="299">
        <v>320</v>
      </c>
      <c r="D257" s="299">
        <v>860</v>
      </c>
      <c r="E257" s="299">
        <v>1090</v>
      </c>
      <c r="F257" s="299">
        <v>4359</v>
      </c>
      <c r="G257" s="299"/>
      <c r="H257" s="299"/>
      <c r="I257" s="438"/>
      <c r="J257" s="299">
        <v>1666</v>
      </c>
      <c r="K257" s="299">
        <v>1268</v>
      </c>
      <c r="L257" s="299">
        <v>266</v>
      </c>
      <c r="M257" s="352" t="s">
        <v>21</v>
      </c>
    </row>
    <row r="258" spans="1:13" ht="11.5" x14ac:dyDescent="0.25">
      <c r="A258" s="352">
        <v>257</v>
      </c>
      <c r="B258" s="371" t="s">
        <v>408</v>
      </c>
      <c r="C258" s="299">
        <v>266</v>
      </c>
      <c r="D258" s="299">
        <v>380</v>
      </c>
      <c r="E258" s="299">
        <v>60</v>
      </c>
      <c r="F258" s="299">
        <v>245</v>
      </c>
      <c r="G258" s="299"/>
      <c r="H258" s="299"/>
      <c r="I258" s="299"/>
      <c r="J258" s="299">
        <v>69</v>
      </c>
      <c r="K258" s="299">
        <v>158</v>
      </c>
      <c r="L258" s="299">
        <v>39</v>
      </c>
      <c r="M258" s="352" t="s">
        <v>21</v>
      </c>
    </row>
    <row r="259" spans="1:13" ht="11.5" x14ac:dyDescent="0.25">
      <c r="A259" s="352">
        <v>258</v>
      </c>
      <c r="B259" s="371" t="s">
        <v>406</v>
      </c>
      <c r="C259" s="299">
        <v>248</v>
      </c>
      <c r="D259" s="299">
        <v>268</v>
      </c>
      <c r="E259" s="299">
        <v>47</v>
      </c>
      <c r="F259" s="299">
        <v>372</v>
      </c>
      <c r="G259" s="299"/>
      <c r="H259" s="299"/>
      <c r="I259" s="299"/>
      <c r="J259" s="299">
        <v>5</v>
      </c>
      <c r="K259" s="299">
        <v>174</v>
      </c>
      <c r="L259" s="299">
        <v>69</v>
      </c>
      <c r="M259" s="352" t="s">
        <v>21</v>
      </c>
    </row>
    <row r="260" spans="1:13" ht="11.5" x14ac:dyDescent="0.25">
      <c r="A260" s="352">
        <v>259</v>
      </c>
      <c r="B260" s="371" t="s">
        <v>409</v>
      </c>
      <c r="C260" s="387"/>
      <c r="D260" s="387"/>
      <c r="E260" s="387"/>
      <c r="F260" s="387"/>
      <c r="G260" s="387"/>
      <c r="H260" s="387"/>
      <c r="I260" s="299"/>
      <c r="J260" s="387"/>
      <c r="K260" s="387"/>
      <c r="L260" s="387"/>
      <c r="M260" s="352" t="s">
        <v>21</v>
      </c>
    </row>
    <row r="261" spans="1:13" ht="11.5" x14ac:dyDescent="0.25">
      <c r="A261" s="352">
        <v>260</v>
      </c>
      <c r="B261" s="371" t="s">
        <v>425</v>
      </c>
      <c r="C261" s="387"/>
      <c r="D261" s="387"/>
      <c r="E261" s="387"/>
      <c r="F261" s="387"/>
      <c r="G261" s="387"/>
      <c r="H261" s="387"/>
      <c r="I261" s="438"/>
      <c r="J261" s="387"/>
      <c r="K261" s="387"/>
      <c r="L261" s="387"/>
      <c r="M261" s="352" t="s">
        <v>21</v>
      </c>
    </row>
    <row r="262" spans="1:13" ht="11.5" x14ac:dyDescent="0.25">
      <c r="A262" s="352">
        <v>261</v>
      </c>
      <c r="B262" s="373" t="s">
        <v>428</v>
      </c>
      <c r="C262" s="313">
        <v>422</v>
      </c>
      <c r="D262" s="313">
        <v>603</v>
      </c>
      <c r="E262" s="313">
        <v>135</v>
      </c>
      <c r="F262" s="313">
        <v>1359</v>
      </c>
      <c r="G262" s="313"/>
      <c r="H262" s="313"/>
      <c r="I262" s="313"/>
      <c r="J262" s="313">
        <v>140</v>
      </c>
      <c r="K262" s="313">
        <v>224</v>
      </c>
      <c r="L262" s="313">
        <v>58</v>
      </c>
      <c r="M262" s="352" t="s">
        <v>22</v>
      </c>
    </row>
    <row r="263" spans="1:13" ht="11.5" x14ac:dyDescent="0.25">
      <c r="A263" s="352">
        <v>262</v>
      </c>
      <c r="B263" s="373" t="s">
        <v>431</v>
      </c>
      <c r="C263" s="313">
        <v>4767</v>
      </c>
      <c r="D263" s="313">
        <v>506</v>
      </c>
      <c r="E263" s="313">
        <v>110</v>
      </c>
      <c r="F263" s="313">
        <v>3667</v>
      </c>
      <c r="G263" s="313"/>
      <c r="H263" s="313"/>
      <c r="I263" s="313"/>
      <c r="J263" s="313">
        <v>1504</v>
      </c>
      <c r="K263" s="313">
        <v>2172</v>
      </c>
      <c r="L263" s="313">
        <v>1091</v>
      </c>
      <c r="M263" s="352" t="s">
        <v>22</v>
      </c>
    </row>
    <row r="264" spans="1:13" ht="11.5" x14ac:dyDescent="0.25">
      <c r="A264" s="352">
        <v>263</v>
      </c>
      <c r="B264" s="373" t="s">
        <v>429</v>
      </c>
      <c r="C264" s="313">
        <v>2041</v>
      </c>
      <c r="D264" s="313">
        <v>644</v>
      </c>
      <c r="E264" s="313">
        <v>540</v>
      </c>
      <c r="F264" s="313">
        <v>2836</v>
      </c>
      <c r="G264" s="313"/>
      <c r="H264" s="313"/>
      <c r="I264" s="313"/>
      <c r="J264" s="313">
        <v>754</v>
      </c>
      <c r="K264" s="313">
        <v>838</v>
      </c>
      <c r="L264" s="313">
        <v>449</v>
      </c>
      <c r="M264" s="352" t="s">
        <v>22</v>
      </c>
    </row>
    <row r="265" spans="1:13" ht="11.5" x14ac:dyDescent="0.25">
      <c r="A265" s="352">
        <v>264</v>
      </c>
      <c r="B265" s="373" t="s">
        <v>427</v>
      </c>
      <c r="C265" s="313">
        <v>1285</v>
      </c>
      <c r="D265" s="313">
        <v>693</v>
      </c>
      <c r="E265" s="313">
        <v>289</v>
      </c>
      <c r="F265" s="313">
        <v>666</v>
      </c>
      <c r="G265" s="313"/>
      <c r="H265" s="313"/>
      <c r="I265" s="313"/>
      <c r="J265" s="313">
        <v>421</v>
      </c>
      <c r="K265" s="313">
        <v>417</v>
      </c>
      <c r="L265" s="313">
        <v>447</v>
      </c>
      <c r="M265" s="352" t="s">
        <v>22</v>
      </c>
    </row>
    <row r="266" spans="1:13" ht="11.5" x14ac:dyDescent="0.25">
      <c r="A266" s="352">
        <v>265</v>
      </c>
      <c r="B266" s="373" t="s">
        <v>430</v>
      </c>
      <c r="C266" s="313">
        <v>802</v>
      </c>
      <c r="D266" s="313">
        <v>532</v>
      </c>
      <c r="E266" s="313">
        <v>148</v>
      </c>
      <c r="F266" s="313">
        <v>944</v>
      </c>
      <c r="G266" s="313"/>
      <c r="H266" s="313"/>
      <c r="I266" s="413"/>
      <c r="J266" s="313">
        <v>500</v>
      </c>
      <c r="K266" s="313">
        <v>278</v>
      </c>
      <c r="L266" s="313">
        <v>24</v>
      </c>
      <c r="M266" s="352" t="s">
        <v>22</v>
      </c>
    </row>
    <row r="267" spans="1:13" ht="11.5" x14ac:dyDescent="0.25">
      <c r="A267" s="352">
        <v>266</v>
      </c>
      <c r="B267" s="373" t="s">
        <v>439</v>
      </c>
      <c r="C267" s="313">
        <v>732</v>
      </c>
      <c r="D267" s="313">
        <v>553</v>
      </c>
      <c r="E267" s="313">
        <v>135</v>
      </c>
      <c r="F267" s="313">
        <v>1123</v>
      </c>
      <c r="G267" s="313"/>
      <c r="H267" s="313"/>
      <c r="I267" s="313"/>
      <c r="J267" s="313">
        <v>99</v>
      </c>
      <c r="K267" s="313">
        <v>244</v>
      </c>
      <c r="L267" s="313">
        <v>389</v>
      </c>
      <c r="M267" s="352" t="s">
        <v>22</v>
      </c>
    </row>
    <row r="268" spans="1:13" ht="11.5" x14ac:dyDescent="0.25">
      <c r="A268" s="352">
        <v>267</v>
      </c>
      <c r="B268" s="373" t="s">
        <v>438</v>
      </c>
      <c r="C268" s="313">
        <v>503</v>
      </c>
      <c r="D268" s="313">
        <v>411</v>
      </c>
      <c r="E268" s="313">
        <v>39</v>
      </c>
      <c r="F268" s="313">
        <v>302</v>
      </c>
      <c r="G268" s="313"/>
      <c r="H268" s="313"/>
      <c r="I268" s="313"/>
      <c r="J268" s="313">
        <v>326</v>
      </c>
      <c r="K268" s="313">
        <v>95</v>
      </c>
      <c r="L268" s="313">
        <v>82</v>
      </c>
      <c r="M268" s="352" t="s">
        <v>22</v>
      </c>
    </row>
    <row r="269" spans="1:13" ht="11.5" x14ac:dyDescent="0.25">
      <c r="A269" s="352">
        <v>268</v>
      </c>
      <c r="B269" s="373" t="s">
        <v>432</v>
      </c>
      <c r="C269" s="313">
        <v>348</v>
      </c>
      <c r="D269" s="313">
        <v>327</v>
      </c>
      <c r="E269" s="313">
        <v>64</v>
      </c>
      <c r="F269" s="313">
        <v>461</v>
      </c>
      <c r="G269" s="313"/>
      <c r="H269" s="313"/>
      <c r="I269" s="313"/>
      <c r="J269" s="313">
        <v>111</v>
      </c>
      <c r="K269" s="313">
        <v>196</v>
      </c>
      <c r="L269" s="313">
        <v>41</v>
      </c>
      <c r="M269" s="352" t="s">
        <v>22</v>
      </c>
    </row>
    <row r="270" spans="1:13" ht="11.5" x14ac:dyDescent="0.25">
      <c r="A270" s="352">
        <v>269</v>
      </c>
      <c r="B270" s="373" t="s">
        <v>435</v>
      </c>
      <c r="C270" s="313">
        <v>143</v>
      </c>
      <c r="D270" s="313">
        <v>463</v>
      </c>
      <c r="E270" s="313">
        <v>25</v>
      </c>
      <c r="F270" s="313">
        <v>91</v>
      </c>
      <c r="G270" s="313"/>
      <c r="H270" s="313"/>
      <c r="I270" s="313"/>
      <c r="J270" s="313">
        <v>21</v>
      </c>
      <c r="K270" s="313">
        <v>54</v>
      </c>
      <c r="L270" s="313">
        <v>68</v>
      </c>
      <c r="M270" s="352" t="s">
        <v>22</v>
      </c>
    </row>
    <row r="271" spans="1:13" ht="11.5" x14ac:dyDescent="0.25">
      <c r="A271" s="352">
        <v>270</v>
      </c>
      <c r="B271" s="373" t="s">
        <v>436</v>
      </c>
      <c r="C271" s="313">
        <v>139</v>
      </c>
      <c r="D271" s="313">
        <v>278</v>
      </c>
      <c r="E271" s="313">
        <v>32</v>
      </c>
      <c r="F271" s="313">
        <v>126</v>
      </c>
      <c r="G271" s="313"/>
      <c r="H271" s="313"/>
      <c r="I271" s="413"/>
      <c r="J271" s="313">
        <v>16</v>
      </c>
      <c r="K271" s="313">
        <v>115</v>
      </c>
      <c r="L271" s="313">
        <v>8</v>
      </c>
      <c r="M271" s="352" t="s">
        <v>22</v>
      </c>
    </row>
    <row r="272" spans="1:13" ht="11.5" x14ac:dyDescent="0.25">
      <c r="A272" s="352">
        <v>271</v>
      </c>
      <c r="B272" s="373" t="s">
        <v>433</v>
      </c>
      <c r="C272" s="313">
        <v>107</v>
      </c>
      <c r="D272" s="313">
        <v>278</v>
      </c>
      <c r="E272" s="313">
        <v>10</v>
      </c>
      <c r="F272" s="313">
        <v>299</v>
      </c>
      <c r="G272" s="313"/>
      <c r="H272" s="313"/>
      <c r="I272" s="313"/>
      <c r="J272" s="313">
        <v>35</v>
      </c>
      <c r="K272" s="313">
        <v>36</v>
      </c>
      <c r="L272" s="313">
        <v>36</v>
      </c>
      <c r="M272" s="352" t="s">
        <v>22</v>
      </c>
    </row>
    <row r="273" spans="1:13" ht="11.5" x14ac:dyDescent="0.25">
      <c r="A273" s="352">
        <v>272</v>
      </c>
      <c r="B273" s="373" t="s">
        <v>434</v>
      </c>
      <c r="C273" s="413"/>
      <c r="D273" s="413"/>
      <c r="E273" s="413"/>
      <c r="F273" s="413"/>
      <c r="G273" s="413"/>
      <c r="H273" s="413"/>
      <c r="I273" s="313"/>
      <c r="J273" s="413"/>
      <c r="K273" s="413"/>
      <c r="L273" s="413"/>
      <c r="M273" s="352" t="s">
        <v>22</v>
      </c>
    </row>
    <row r="274" spans="1:13" ht="11.5" x14ac:dyDescent="0.25">
      <c r="A274" s="352">
        <v>273</v>
      </c>
      <c r="B274" s="373" t="s">
        <v>437</v>
      </c>
      <c r="C274" s="413"/>
      <c r="D274" s="413"/>
      <c r="E274" s="413"/>
      <c r="F274" s="413"/>
      <c r="G274" s="413"/>
      <c r="H274" s="413"/>
      <c r="I274" s="313"/>
      <c r="J274" s="413"/>
      <c r="K274" s="413"/>
      <c r="L274" s="413"/>
      <c r="M274" s="352" t="s">
        <v>22</v>
      </c>
    </row>
    <row r="275" spans="1:13" ht="11.5" x14ac:dyDescent="0.25">
      <c r="A275" s="352">
        <v>274</v>
      </c>
      <c r="B275" s="373" t="s">
        <v>426</v>
      </c>
      <c r="C275" s="413"/>
      <c r="D275" s="413"/>
      <c r="E275" s="413"/>
      <c r="F275" s="413"/>
      <c r="G275" s="413"/>
      <c r="H275" s="413"/>
      <c r="I275" s="313"/>
      <c r="J275" s="413"/>
      <c r="K275" s="413"/>
      <c r="L275" s="413"/>
      <c r="M275" s="352" t="s">
        <v>22</v>
      </c>
    </row>
    <row r="276" spans="1:13" ht="11.5" x14ac:dyDescent="0.25">
      <c r="A276" s="352">
        <v>275</v>
      </c>
      <c r="B276" s="346" t="s">
        <v>445</v>
      </c>
      <c r="C276" s="393"/>
      <c r="D276" s="393"/>
      <c r="E276" s="393"/>
      <c r="F276" s="393"/>
      <c r="G276" s="393"/>
      <c r="H276" s="393"/>
      <c r="I276" s="301"/>
      <c r="J276" s="393"/>
      <c r="K276" s="393"/>
      <c r="L276" s="393"/>
      <c r="M276" s="352" t="s">
        <v>23</v>
      </c>
    </row>
    <row r="277" spans="1:13" ht="11.5" x14ac:dyDescent="0.25">
      <c r="A277" s="352">
        <v>276</v>
      </c>
      <c r="B277" s="346" t="s">
        <v>441</v>
      </c>
      <c r="C277" s="301">
        <v>1664</v>
      </c>
      <c r="D277" s="301">
        <v>939</v>
      </c>
      <c r="E277" s="301">
        <v>1231</v>
      </c>
      <c r="F277" s="301">
        <v>845</v>
      </c>
      <c r="G277" s="301"/>
      <c r="H277" s="301"/>
      <c r="I277" s="301"/>
      <c r="J277" s="301">
        <v>332</v>
      </c>
      <c r="K277" s="301">
        <v>1311</v>
      </c>
      <c r="L277" s="301">
        <v>21</v>
      </c>
      <c r="M277" s="352" t="s">
        <v>23</v>
      </c>
    </row>
    <row r="278" spans="1:13" ht="11.5" x14ac:dyDescent="0.25">
      <c r="A278" s="352">
        <v>277</v>
      </c>
      <c r="B278" s="346" t="s">
        <v>442</v>
      </c>
      <c r="C278" s="301">
        <v>290</v>
      </c>
      <c r="D278" s="301">
        <v>1</v>
      </c>
      <c r="E278" s="301">
        <v>119</v>
      </c>
      <c r="F278" s="301">
        <v>461</v>
      </c>
      <c r="G278" s="301"/>
      <c r="H278" s="301"/>
      <c r="I278" s="301"/>
      <c r="J278" s="301">
        <v>169</v>
      </c>
      <c r="K278" s="301">
        <v>119</v>
      </c>
      <c r="L278" s="301">
        <v>2</v>
      </c>
      <c r="M278" s="352" t="s">
        <v>23</v>
      </c>
    </row>
    <row r="279" spans="1:13" ht="11.5" x14ac:dyDescent="0.25">
      <c r="A279" s="352">
        <v>278</v>
      </c>
      <c r="B279" s="346" t="s">
        <v>739</v>
      </c>
      <c r="C279" s="301">
        <v>120</v>
      </c>
      <c r="D279" s="301">
        <v>346</v>
      </c>
      <c r="E279" s="301">
        <v>16</v>
      </c>
      <c r="F279" s="301">
        <v>133</v>
      </c>
      <c r="G279" s="301"/>
      <c r="H279" s="301"/>
      <c r="I279" s="393"/>
      <c r="J279" s="301">
        <v>47</v>
      </c>
      <c r="K279" s="301">
        <v>47</v>
      </c>
      <c r="L279" s="301">
        <v>26</v>
      </c>
      <c r="M279" s="352" t="s">
        <v>23</v>
      </c>
    </row>
    <row r="280" spans="1:13" ht="11.5" x14ac:dyDescent="0.25">
      <c r="A280" s="352">
        <v>279</v>
      </c>
      <c r="B280" s="346" t="s">
        <v>740</v>
      </c>
      <c r="C280" s="301">
        <v>109</v>
      </c>
      <c r="D280" s="301">
        <v>104</v>
      </c>
      <c r="E280" s="301">
        <v>3</v>
      </c>
      <c r="F280" s="301">
        <v>64</v>
      </c>
      <c r="G280" s="301"/>
      <c r="H280" s="301"/>
      <c r="I280" s="393"/>
      <c r="J280" s="301">
        <v>78</v>
      </c>
      <c r="K280" s="301">
        <v>29</v>
      </c>
      <c r="L280" s="301">
        <v>3</v>
      </c>
      <c r="M280" s="352" t="s">
        <v>23</v>
      </c>
    </row>
    <row r="281" spans="1:13" ht="11.5" x14ac:dyDescent="0.25">
      <c r="A281" s="352">
        <v>280</v>
      </c>
      <c r="B281" s="346" t="s">
        <v>737</v>
      </c>
      <c r="C281" s="301">
        <v>102</v>
      </c>
      <c r="D281" s="301">
        <v>510</v>
      </c>
      <c r="E281" s="301">
        <v>1</v>
      </c>
      <c r="F281" s="301">
        <v>144</v>
      </c>
      <c r="G281" s="301"/>
      <c r="H281" s="301"/>
      <c r="I281" s="301"/>
      <c r="J281" s="301">
        <v>101</v>
      </c>
      <c r="K281" s="301">
        <v>1</v>
      </c>
      <c r="L281" s="393"/>
      <c r="M281" s="352" t="s">
        <v>23</v>
      </c>
    </row>
    <row r="282" spans="1:13" ht="11.5" x14ac:dyDescent="0.25">
      <c r="A282" s="352">
        <v>281</v>
      </c>
      <c r="B282" s="346" t="s">
        <v>738</v>
      </c>
      <c r="C282" s="301">
        <v>15</v>
      </c>
      <c r="D282" s="393"/>
      <c r="E282" s="393"/>
      <c r="F282" s="301">
        <v>25</v>
      </c>
      <c r="G282" s="393"/>
      <c r="H282" s="393"/>
      <c r="I282" s="301"/>
      <c r="J282" s="301">
        <v>15</v>
      </c>
      <c r="K282" s="393"/>
      <c r="L282" s="393"/>
      <c r="M282" s="352" t="s">
        <v>23</v>
      </c>
    </row>
    <row r="283" spans="1:13" ht="11.5" x14ac:dyDescent="0.25">
      <c r="A283" s="352">
        <v>282</v>
      </c>
      <c r="B283" s="346" t="s">
        <v>447</v>
      </c>
      <c r="C283" s="301">
        <v>5</v>
      </c>
      <c r="D283" s="393"/>
      <c r="E283" s="393"/>
      <c r="F283" s="301">
        <v>17</v>
      </c>
      <c r="G283" s="393"/>
      <c r="H283" s="393"/>
      <c r="I283" s="301"/>
      <c r="J283" s="301">
        <v>4</v>
      </c>
      <c r="K283" s="393"/>
      <c r="L283" s="301">
        <v>2</v>
      </c>
      <c r="M283" s="352" t="s">
        <v>23</v>
      </c>
    </row>
    <row r="284" spans="1:13" ht="11.5" x14ac:dyDescent="0.25">
      <c r="A284" s="352">
        <v>283</v>
      </c>
      <c r="B284" s="346" t="s">
        <v>449</v>
      </c>
      <c r="C284" s="393"/>
      <c r="D284" s="393"/>
      <c r="E284" s="393"/>
      <c r="F284" s="393"/>
      <c r="G284" s="393"/>
      <c r="H284" s="393"/>
      <c r="I284" s="301"/>
      <c r="J284" s="393"/>
      <c r="K284" s="393"/>
      <c r="L284" s="393"/>
      <c r="M284" s="352" t="s">
        <v>23</v>
      </c>
    </row>
    <row r="285" spans="1:13" ht="11.5" x14ac:dyDescent="0.25">
      <c r="A285" s="352">
        <v>284</v>
      </c>
      <c r="B285" s="346" t="s">
        <v>446</v>
      </c>
      <c r="C285" s="393"/>
      <c r="D285" s="393"/>
      <c r="E285" s="393"/>
      <c r="F285" s="393"/>
      <c r="G285" s="393"/>
      <c r="H285" s="393"/>
      <c r="I285" s="301"/>
      <c r="J285" s="393"/>
      <c r="K285" s="393"/>
      <c r="L285" s="393"/>
      <c r="M285" s="352" t="s">
        <v>23</v>
      </c>
    </row>
    <row r="286" spans="1:13" ht="11.5" x14ac:dyDescent="0.25">
      <c r="A286" s="352">
        <v>285</v>
      </c>
      <c r="B286" s="346" t="s">
        <v>448</v>
      </c>
      <c r="C286" s="393"/>
      <c r="D286" s="393"/>
      <c r="E286" s="393"/>
      <c r="F286" s="393"/>
      <c r="G286" s="393"/>
      <c r="H286" s="393"/>
      <c r="I286" s="301"/>
      <c r="J286" s="393"/>
      <c r="K286" s="393"/>
      <c r="L286" s="393"/>
      <c r="M286" s="352" t="s">
        <v>23</v>
      </c>
    </row>
    <row r="287" spans="1:13" ht="11.5" x14ac:dyDescent="0.25">
      <c r="A287" s="352">
        <v>286</v>
      </c>
      <c r="B287" s="346" t="s">
        <v>444</v>
      </c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52" t="s">
        <v>23</v>
      </c>
    </row>
    <row r="288" spans="1:13" ht="11.5" x14ac:dyDescent="0.25">
      <c r="A288" s="352">
        <v>287</v>
      </c>
      <c r="B288" s="374" t="s">
        <v>454</v>
      </c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352" t="s">
        <v>24</v>
      </c>
    </row>
    <row r="289" spans="1:13" ht="11.5" x14ac:dyDescent="0.25">
      <c r="A289" s="352">
        <v>288</v>
      </c>
      <c r="B289" s="374" t="s">
        <v>455</v>
      </c>
      <c r="C289" s="308">
        <v>214</v>
      </c>
      <c r="D289" s="308">
        <v>450</v>
      </c>
      <c r="E289" s="308">
        <v>45</v>
      </c>
      <c r="F289" s="308">
        <v>431</v>
      </c>
      <c r="G289" s="308"/>
      <c r="H289" s="308"/>
      <c r="I289" s="407"/>
      <c r="J289" s="308">
        <v>114</v>
      </c>
      <c r="K289" s="308">
        <v>100</v>
      </c>
      <c r="L289" s="407"/>
      <c r="M289" s="352" t="s">
        <v>24</v>
      </c>
    </row>
    <row r="290" spans="1:13" ht="11.5" x14ac:dyDescent="0.25">
      <c r="A290" s="352">
        <v>289</v>
      </c>
      <c r="B290" s="374" t="s">
        <v>452</v>
      </c>
      <c r="C290" s="308">
        <v>211</v>
      </c>
      <c r="D290" s="308">
        <v>325</v>
      </c>
      <c r="E290" s="308">
        <v>26</v>
      </c>
      <c r="F290" s="308">
        <v>166</v>
      </c>
      <c r="G290" s="308"/>
      <c r="H290" s="308"/>
      <c r="I290" s="407"/>
      <c r="J290" s="308">
        <v>56</v>
      </c>
      <c r="K290" s="308">
        <v>80</v>
      </c>
      <c r="L290" s="308">
        <v>75</v>
      </c>
      <c r="M290" s="352" t="s">
        <v>24</v>
      </c>
    </row>
    <row r="291" spans="1:13" ht="11.5" x14ac:dyDescent="0.25">
      <c r="A291" s="352">
        <v>290</v>
      </c>
      <c r="B291" s="374" t="s">
        <v>450</v>
      </c>
      <c r="C291" s="308">
        <v>126</v>
      </c>
      <c r="D291" s="308">
        <v>378</v>
      </c>
      <c r="E291" s="308">
        <v>14</v>
      </c>
      <c r="F291" s="308">
        <v>239</v>
      </c>
      <c r="G291" s="308"/>
      <c r="H291" s="308"/>
      <c r="I291" s="407"/>
      <c r="J291" s="308">
        <v>70</v>
      </c>
      <c r="K291" s="308">
        <v>37</v>
      </c>
      <c r="L291" s="308">
        <v>19</v>
      </c>
      <c r="M291" s="352" t="s">
        <v>24</v>
      </c>
    </row>
    <row r="292" spans="1:13" ht="11.5" x14ac:dyDescent="0.25">
      <c r="A292" s="352">
        <v>291</v>
      </c>
      <c r="B292" s="374" t="s">
        <v>457</v>
      </c>
      <c r="C292" s="308">
        <v>100</v>
      </c>
      <c r="D292" s="407"/>
      <c r="E292" s="407"/>
      <c r="F292" s="308">
        <v>79</v>
      </c>
      <c r="G292" s="407"/>
      <c r="H292" s="407"/>
      <c r="I292" s="308"/>
      <c r="J292" s="308">
        <v>100</v>
      </c>
      <c r="K292" s="407"/>
      <c r="L292" s="407"/>
      <c r="M292" s="352" t="s">
        <v>24</v>
      </c>
    </row>
    <row r="293" spans="1:13" ht="11.5" x14ac:dyDescent="0.25">
      <c r="A293" s="352">
        <v>292</v>
      </c>
      <c r="B293" s="374" t="s">
        <v>456</v>
      </c>
      <c r="C293" s="308">
        <v>34</v>
      </c>
      <c r="D293" s="308">
        <v>273</v>
      </c>
      <c r="E293" s="308">
        <v>3</v>
      </c>
      <c r="F293" s="308">
        <v>54</v>
      </c>
      <c r="G293" s="308"/>
      <c r="H293" s="308"/>
      <c r="I293" s="308"/>
      <c r="J293" s="308">
        <v>18</v>
      </c>
      <c r="K293" s="308">
        <v>11</v>
      </c>
      <c r="L293" s="308">
        <v>5</v>
      </c>
      <c r="M293" s="352" t="s">
        <v>24</v>
      </c>
    </row>
    <row r="294" spans="1:13" ht="11.5" x14ac:dyDescent="0.25">
      <c r="A294" s="352">
        <v>293</v>
      </c>
      <c r="B294" s="374" t="s">
        <v>453</v>
      </c>
      <c r="C294" s="407"/>
      <c r="D294" s="407"/>
      <c r="E294" s="407"/>
      <c r="F294" s="407"/>
      <c r="G294" s="407"/>
      <c r="H294" s="407"/>
      <c r="I294" s="308"/>
      <c r="J294" s="407"/>
      <c r="K294" s="407"/>
      <c r="L294" s="407"/>
      <c r="M294" s="352" t="s">
        <v>24</v>
      </c>
    </row>
    <row r="295" spans="1:13" ht="11.5" x14ac:dyDescent="0.25">
      <c r="A295" s="352">
        <v>294</v>
      </c>
      <c r="B295" s="374" t="s">
        <v>451</v>
      </c>
      <c r="C295" s="407"/>
      <c r="D295" s="407"/>
      <c r="E295" s="407"/>
      <c r="F295" s="407"/>
      <c r="G295" s="407"/>
      <c r="H295" s="407"/>
      <c r="I295" s="308"/>
      <c r="J295" s="407"/>
      <c r="K295" s="407"/>
      <c r="L295" s="407"/>
      <c r="M295" s="352" t="s">
        <v>24</v>
      </c>
    </row>
    <row r="296" spans="1:13" ht="11.5" x14ac:dyDescent="0.25">
      <c r="A296" s="352">
        <v>295</v>
      </c>
      <c r="B296" s="374" t="s">
        <v>458</v>
      </c>
      <c r="C296" s="407"/>
      <c r="D296" s="407"/>
      <c r="E296" s="407"/>
      <c r="F296" s="407"/>
      <c r="G296" s="407"/>
      <c r="H296" s="407"/>
      <c r="I296" s="308"/>
      <c r="J296" s="407"/>
      <c r="K296" s="407"/>
      <c r="L296" s="407"/>
      <c r="M296" s="352" t="s">
        <v>24</v>
      </c>
    </row>
    <row r="297" spans="1:13" ht="11.5" x14ac:dyDescent="0.25">
      <c r="A297" s="352">
        <v>296</v>
      </c>
      <c r="B297" s="318" t="s">
        <v>465</v>
      </c>
      <c r="C297" s="310">
        <v>125</v>
      </c>
      <c r="D297" s="310">
        <v>235</v>
      </c>
      <c r="E297" s="310">
        <v>27</v>
      </c>
      <c r="F297" s="310">
        <v>241</v>
      </c>
      <c r="G297" s="310"/>
      <c r="H297" s="310"/>
      <c r="I297" s="409"/>
      <c r="J297" s="310">
        <v>6</v>
      </c>
      <c r="K297" s="310">
        <v>115</v>
      </c>
      <c r="L297" s="310">
        <v>4</v>
      </c>
      <c r="M297" s="352" t="s">
        <v>25</v>
      </c>
    </row>
    <row r="298" spans="1:13" ht="11.5" x14ac:dyDescent="0.25">
      <c r="A298" s="352">
        <v>297</v>
      </c>
      <c r="B298" s="318" t="s">
        <v>463</v>
      </c>
      <c r="C298" s="310">
        <v>3415</v>
      </c>
      <c r="D298" s="310">
        <v>571</v>
      </c>
      <c r="E298" s="310">
        <v>1372</v>
      </c>
      <c r="F298" s="310">
        <v>1880</v>
      </c>
      <c r="G298" s="310"/>
      <c r="H298" s="310"/>
      <c r="I298" s="310"/>
      <c r="J298" s="310">
        <v>977</v>
      </c>
      <c r="K298" s="310">
        <v>2403</v>
      </c>
      <c r="L298" s="310">
        <v>35</v>
      </c>
      <c r="M298" s="352" t="s">
        <v>25</v>
      </c>
    </row>
    <row r="299" spans="1:13" ht="11.5" x14ac:dyDescent="0.25">
      <c r="A299" s="352">
        <v>298</v>
      </c>
      <c r="B299" s="318" t="s">
        <v>467</v>
      </c>
      <c r="C299" s="310">
        <v>1677</v>
      </c>
      <c r="D299" s="310">
        <v>591</v>
      </c>
      <c r="E299" s="310">
        <v>661</v>
      </c>
      <c r="F299" s="310">
        <v>1329</v>
      </c>
      <c r="G299" s="310"/>
      <c r="H299" s="310"/>
      <c r="I299" s="409"/>
      <c r="J299" s="310">
        <v>254</v>
      </c>
      <c r="K299" s="310">
        <v>1118</v>
      </c>
      <c r="L299" s="310">
        <v>305</v>
      </c>
      <c r="M299" s="352" t="s">
        <v>25</v>
      </c>
    </row>
    <row r="300" spans="1:13" ht="11.5" x14ac:dyDescent="0.25">
      <c r="A300" s="352">
        <v>299</v>
      </c>
      <c r="B300" s="318" t="s">
        <v>468</v>
      </c>
      <c r="C300" s="310">
        <v>1405</v>
      </c>
      <c r="D300" s="310">
        <v>563</v>
      </c>
      <c r="E300" s="310">
        <v>281</v>
      </c>
      <c r="F300" s="310">
        <v>583</v>
      </c>
      <c r="G300" s="310"/>
      <c r="H300" s="310"/>
      <c r="I300" s="310"/>
      <c r="J300" s="310">
        <v>889</v>
      </c>
      <c r="K300" s="310">
        <v>499</v>
      </c>
      <c r="L300" s="310">
        <v>17</v>
      </c>
      <c r="M300" s="352" t="s">
        <v>25</v>
      </c>
    </row>
    <row r="301" spans="1:13" ht="11.5" x14ac:dyDescent="0.25">
      <c r="A301" s="352">
        <v>300</v>
      </c>
      <c r="B301" s="318" t="s">
        <v>462</v>
      </c>
      <c r="C301" s="310">
        <v>507</v>
      </c>
      <c r="D301" s="310">
        <v>111</v>
      </c>
      <c r="E301" s="310">
        <v>15</v>
      </c>
      <c r="F301" s="310">
        <v>350</v>
      </c>
      <c r="G301" s="310"/>
      <c r="H301" s="310"/>
      <c r="I301" s="310"/>
      <c r="J301" s="310">
        <v>270</v>
      </c>
      <c r="K301" s="310">
        <v>135</v>
      </c>
      <c r="L301" s="310">
        <v>102</v>
      </c>
      <c r="M301" s="352" t="s">
        <v>25</v>
      </c>
    </row>
    <row r="302" spans="1:13" ht="11.5" x14ac:dyDescent="0.25">
      <c r="A302" s="352">
        <v>301</v>
      </c>
      <c r="B302" s="318" t="s">
        <v>461</v>
      </c>
      <c r="C302" s="310">
        <v>143</v>
      </c>
      <c r="D302" s="310">
        <v>604</v>
      </c>
      <c r="E302" s="310">
        <v>32</v>
      </c>
      <c r="F302" s="310">
        <v>173</v>
      </c>
      <c r="G302" s="310"/>
      <c r="H302" s="310"/>
      <c r="I302" s="310"/>
      <c r="J302" s="310">
        <v>71</v>
      </c>
      <c r="K302" s="310">
        <v>53</v>
      </c>
      <c r="L302" s="310">
        <v>19</v>
      </c>
      <c r="M302" s="352" t="s">
        <v>25</v>
      </c>
    </row>
    <row r="303" spans="1:13" ht="11.5" x14ac:dyDescent="0.25">
      <c r="A303" s="352">
        <v>302</v>
      </c>
      <c r="B303" s="318" t="s">
        <v>466</v>
      </c>
      <c r="C303" s="310">
        <v>13</v>
      </c>
      <c r="D303" s="310">
        <v>273</v>
      </c>
      <c r="E303" s="310">
        <v>3</v>
      </c>
      <c r="F303" s="310">
        <v>11</v>
      </c>
      <c r="G303" s="310"/>
      <c r="H303" s="310"/>
      <c r="I303" s="310"/>
      <c r="J303" s="409"/>
      <c r="K303" s="310">
        <v>11</v>
      </c>
      <c r="L303" s="310">
        <v>2</v>
      </c>
      <c r="M303" s="352" t="s">
        <v>25</v>
      </c>
    </row>
    <row r="304" spans="1:13" ht="11.5" x14ac:dyDescent="0.25">
      <c r="A304" s="352">
        <v>303</v>
      </c>
      <c r="B304" s="318" t="s">
        <v>460</v>
      </c>
      <c r="C304" s="310">
        <v>7</v>
      </c>
      <c r="D304" s="310">
        <v>200</v>
      </c>
      <c r="E304" s="310">
        <v>1</v>
      </c>
      <c r="F304" s="310">
        <v>11</v>
      </c>
      <c r="G304" s="310"/>
      <c r="H304" s="310"/>
      <c r="I304" s="409"/>
      <c r="J304" s="409"/>
      <c r="K304" s="310">
        <v>5</v>
      </c>
      <c r="L304" s="310">
        <v>2</v>
      </c>
      <c r="M304" s="352" t="s">
        <v>25</v>
      </c>
    </row>
    <row r="305" spans="1:13" ht="11.5" x14ac:dyDescent="0.25">
      <c r="A305" s="352">
        <v>304</v>
      </c>
      <c r="B305" s="318" t="s">
        <v>459</v>
      </c>
      <c r="C305" s="310">
        <v>5</v>
      </c>
      <c r="D305" s="310">
        <v>250</v>
      </c>
      <c r="E305" s="310">
        <v>1</v>
      </c>
      <c r="F305" s="310">
        <v>6</v>
      </c>
      <c r="G305" s="310"/>
      <c r="H305" s="310"/>
      <c r="I305" s="409"/>
      <c r="J305" s="310">
        <v>1</v>
      </c>
      <c r="K305" s="310">
        <v>4</v>
      </c>
      <c r="L305" s="409"/>
      <c r="M305" s="352" t="s">
        <v>25</v>
      </c>
    </row>
    <row r="306" spans="1:13" ht="11.5" x14ac:dyDescent="0.25">
      <c r="A306" s="352">
        <v>305</v>
      </c>
      <c r="B306" s="318" t="s">
        <v>464</v>
      </c>
      <c r="C306" s="310">
        <v>1</v>
      </c>
      <c r="D306" s="409"/>
      <c r="E306" s="409"/>
      <c r="F306" s="310">
        <v>2</v>
      </c>
      <c r="G306" s="409"/>
      <c r="H306" s="409"/>
      <c r="I306" s="421"/>
      <c r="J306" s="409"/>
      <c r="K306" s="409"/>
      <c r="L306" s="310">
        <v>1</v>
      </c>
      <c r="M306" s="352" t="s">
        <v>25</v>
      </c>
    </row>
    <row r="307" spans="1:13" ht="11.5" x14ac:dyDescent="0.25">
      <c r="A307" s="352">
        <v>306</v>
      </c>
      <c r="B307" s="348" t="s">
        <v>470</v>
      </c>
      <c r="C307" s="307">
        <v>826</v>
      </c>
      <c r="D307" s="307">
        <v>393</v>
      </c>
      <c r="E307" s="307">
        <v>160</v>
      </c>
      <c r="F307" s="307">
        <v>1260</v>
      </c>
      <c r="G307" s="307"/>
      <c r="H307" s="307"/>
      <c r="I307" s="307"/>
      <c r="J307" s="307">
        <v>234</v>
      </c>
      <c r="K307" s="307">
        <v>407</v>
      </c>
      <c r="L307" s="307">
        <v>185</v>
      </c>
      <c r="M307" s="352" t="s">
        <v>26</v>
      </c>
    </row>
    <row r="308" spans="1:13" ht="11.5" x14ac:dyDescent="0.25">
      <c r="A308" s="352">
        <v>307</v>
      </c>
      <c r="B308" s="348" t="s">
        <v>471</v>
      </c>
      <c r="C308" s="307">
        <v>1350</v>
      </c>
      <c r="D308" s="307">
        <v>763</v>
      </c>
      <c r="E308" s="307">
        <v>1009</v>
      </c>
      <c r="F308" s="307">
        <v>562</v>
      </c>
      <c r="G308" s="307"/>
      <c r="H308" s="307"/>
      <c r="I308" s="307"/>
      <c r="J308" s="405"/>
      <c r="K308" s="307">
        <v>1321</v>
      </c>
      <c r="L308" s="307">
        <v>29</v>
      </c>
      <c r="M308" s="352" t="s">
        <v>26</v>
      </c>
    </row>
    <row r="309" spans="1:13" ht="11.5" x14ac:dyDescent="0.25">
      <c r="A309" s="352">
        <v>308</v>
      </c>
      <c r="B309" s="348" t="s">
        <v>469</v>
      </c>
      <c r="C309" s="307">
        <v>526</v>
      </c>
      <c r="D309" s="307">
        <v>222</v>
      </c>
      <c r="E309" s="307">
        <v>32</v>
      </c>
      <c r="F309" s="307">
        <v>483</v>
      </c>
      <c r="G309" s="307"/>
      <c r="H309" s="307"/>
      <c r="I309" s="307"/>
      <c r="J309" s="307">
        <v>213</v>
      </c>
      <c r="K309" s="307">
        <v>143</v>
      </c>
      <c r="L309" s="307">
        <v>170</v>
      </c>
      <c r="M309" s="352" t="s">
        <v>26</v>
      </c>
    </row>
    <row r="310" spans="1:13" ht="11.5" x14ac:dyDescent="0.25">
      <c r="A310" s="352">
        <v>309</v>
      </c>
      <c r="B310" s="348" t="s">
        <v>473</v>
      </c>
      <c r="C310" s="307">
        <v>0</v>
      </c>
      <c r="D310" s="405"/>
      <c r="E310" s="405"/>
      <c r="F310" s="307">
        <v>1</v>
      </c>
      <c r="G310" s="405"/>
      <c r="H310" s="405"/>
      <c r="I310" s="307"/>
      <c r="J310" s="405"/>
      <c r="K310" s="405"/>
      <c r="L310" s="307">
        <v>0</v>
      </c>
      <c r="M310" s="352" t="s">
        <v>26</v>
      </c>
    </row>
    <row r="311" spans="1:13" ht="11.5" x14ac:dyDescent="0.25">
      <c r="A311" s="352">
        <v>310</v>
      </c>
      <c r="B311" s="348" t="s">
        <v>472</v>
      </c>
      <c r="C311" s="405"/>
      <c r="D311" s="405"/>
      <c r="E311" s="405"/>
      <c r="F311" s="405"/>
      <c r="G311" s="405"/>
      <c r="H311" s="405"/>
      <c r="I311" s="307"/>
      <c r="J311" s="405"/>
      <c r="K311" s="405"/>
      <c r="L311" s="405"/>
      <c r="M311" s="352" t="s">
        <v>26</v>
      </c>
    </row>
    <row r="312" spans="1:13" ht="11.5" x14ac:dyDescent="0.25">
      <c r="A312" s="352">
        <v>311</v>
      </c>
      <c r="B312" s="373" t="s">
        <v>480</v>
      </c>
      <c r="C312" s="313">
        <v>5388</v>
      </c>
      <c r="D312" s="313">
        <v>857</v>
      </c>
      <c r="E312" s="313">
        <v>3760</v>
      </c>
      <c r="F312" s="313">
        <v>6042</v>
      </c>
      <c r="G312" s="313"/>
      <c r="H312" s="313"/>
      <c r="I312" s="313"/>
      <c r="J312" s="313">
        <v>982</v>
      </c>
      <c r="K312" s="313">
        <v>4385</v>
      </c>
      <c r="L312" s="313">
        <v>20</v>
      </c>
      <c r="M312" s="352" t="s">
        <v>27</v>
      </c>
    </row>
    <row r="313" spans="1:13" ht="11.5" x14ac:dyDescent="0.25">
      <c r="A313" s="352">
        <v>312</v>
      </c>
      <c r="B313" s="373" t="s">
        <v>481</v>
      </c>
      <c r="C313" s="313">
        <v>5222</v>
      </c>
      <c r="D313" s="313">
        <v>511</v>
      </c>
      <c r="E313" s="313">
        <v>803</v>
      </c>
      <c r="F313" s="313">
        <v>7588</v>
      </c>
      <c r="G313" s="313"/>
      <c r="H313" s="313"/>
      <c r="I313" s="439"/>
      <c r="J313" s="313">
        <v>2315</v>
      </c>
      <c r="K313" s="313">
        <v>1571</v>
      </c>
      <c r="L313" s="313">
        <v>1336</v>
      </c>
      <c r="M313" s="352" t="s">
        <v>27</v>
      </c>
    </row>
    <row r="314" spans="1:13" ht="11.5" x14ac:dyDescent="0.25">
      <c r="A314" s="352">
        <v>313</v>
      </c>
      <c r="B314" s="373" t="s">
        <v>479</v>
      </c>
      <c r="C314" s="313">
        <v>2075</v>
      </c>
      <c r="D314" s="313">
        <v>678</v>
      </c>
      <c r="E314" s="313">
        <v>415</v>
      </c>
      <c r="F314" s="313">
        <v>1998</v>
      </c>
      <c r="G314" s="313"/>
      <c r="H314" s="313"/>
      <c r="I314" s="439"/>
      <c r="J314" s="313">
        <v>881</v>
      </c>
      <c r="K314" s="313">
        <v>611</v>
      </c>
      <c r="L314" s="313">
        <v>583</v>
      </c>
      <c r="M314" s="352" t="s">
        <v>27</v>
      </c>
    </row>
    <row r="315" spans="1:13" ht="11.5" x14ac:dyDescent="0.25">
      <c r="A315" s="352">
        <v>314</v>
      </c>
      <c r="B315" s="373" t="s">
        <v>478</v>
      </c>
      <c r="C315" s="313">
        <v>1830</v>
      </c>
      <c r="D315" s="313">
        <v>489</v>
      </c>
      <c r="E315" s="313">
        <v>452</v>
      </c>
      <c r="F315" s="313">
        <v>1981</v>
      </c>
      <c r="G315" s="313"/>
      <c r="H315" s="313"/>
      <c r="I315" s="439"/>
      <c r="J315" s="313">
        <v>718</v>
      </c>
      <c r="K315" s="313">
        <v>925</v>
      </c>
      <c r="L315" s="313">
        <v>187</v>
      </c>
      <c r="M315" s="352" t="s">
        <v>27</v>
      </c>
    </row>
    <row r="316" spans="1:13" ht="11.5" x14ac:dyDescent="0.25">
      <c r="A316" s="352">
        <v>315</v>
      </c>
      <c r="B316" s="373" t="s">
        <v>475</v>
      </c>
      <c r="C316" s="313">
        <v>702</v>
      </c>
      <c r="D316" s="313">
        <v>775</v>
      </c>
      <c r="E316" s="313">
        <v>271</v>
      </c>
      <c r="F316" s="313">
        <v>645</v>
      </c>
      <c r="G316" s="313"/>
      <c r="H316" s="313"/>
      <c r="I316" s="413"/>
      <c r="J316" s="313">
        <v>273</v>
      </c>
      <c r="K316" s="313">
        <v>350</v>
      </c>
      <c r="L316" s="313">
        <v>80</v>
      </c>
      <c r="M316" s="352" t="s">
        <v>27</v>
      </c>
    </row>
    <row r="317" spans="1:13" ht="11.5" x14ac:dyDescent="0.25">
      <c r="A317" s="352">
        <v>316</v>
      </c>
      <c r="B317" s="373" t="s">
        <v>488</v>
      </c>
      <c r="C317" s="313">
        <v>683</v>
      </c>
      <c r="D317" s="313">
        <v>388</v>
      </c>
      <c r="E317" s="415">
        <v>146</v>
      </c>
      <c r="F317" s="313">
        <v>941</v>
      </c>
      <c r="G317" s="313"/>
      <c r="H317" s="313"/>
      <c r="I317" s="439"/>
      <c r="J317" s="313">
        <v>264</v>
      </c>
      <c r="K317" s="415">
        <v>375</v>
      </c>
      <c r="L317" s="415">
        <v>44</v>
      </c>
      <c r="M317" s="352" t="s">
        <v>27</v>
      </c>
    </row>
    <row r="318" spans="1:13" ht="11.5" x14ac:dyDescent="0.25">
      <c r="A318" s="352">
        <v>317</v>
      </c>
      <c r="B318" s="373" t="s">
        <v>477</v>
      </c>
      <c r="C318" s="313">
        <v>420</v>
      </c>
      <c r="D318" s="313">
        <v>207</v>
      </c>
      <c r="E318" s="313">
        <v>23</v>
      </c>
      <c r="F318" s="313">
        <v>453</v>
      </c>
      <c r="G318" s="313"/>
      <c r="H318" s="313"/>
      <c r="I318" s="439"/>
      <c r="J318" s="313">
        <v>69</v>
      </c>
      <c r="K318" s="313">
        <v>109</v>
      </c>
      <c r="L318" s="313">
        <v>242</v>
      </c>
      <c r="M318" s="352" t="s">
        <v>27</v>
      </c>
    </row>
    <row r="319" spans="1:13" ht="11.5" x14ac:dyDescent="0.25">
      <c r="A319" s="352">
        <v>318</v>
      </c>
      <c r="B319" s="373" t="s">
        <v>476</v>
      </c>
      <c r="C319" s="313">
        <v>48</v>
      </c>
      <c r="D319" s="413"/>
      <c r="E319" s="413"/>
      <c r="F319" s="313">
        <v>24</v>
      </c>
      <c r="G319" s="413"/>
      <c r="H319" s="413"/>
      <c r="I319" s="439"/>
      <c r="J319" s="413"/>
      <c r="K319" s="313">
        <v>48</v>
      </c>
      <c r="L319" s="413"/>
      <c r="M319" s="352" t="s">
        <v>27</v>
      </c>
    </row>
    <row r="320" spans="1:13" ht="11.5" x14ac:dyDescent="0.25">
      <c r="A320" s="352">
        <v>319</v>
      </c>
      <c r="B320" s="373" t="s">
        <v>474</v>
      </c>
      <c r="C320" s="313">
        <v>47</v>
      </c>
      <c r="D320" s="313">
        <v>800</v>
      </c>
      <c r="E320" s="313">
        <v>11</v>
      </c>
      <c r="F320" s="313">
        <v>103</v>
      </c>
      <c r="G320" s="313"/>
      <c r="H320" s="313"/>
      <c r="I320" s="313"/>
      <c r="J320" s="413"/>
      <c r="K320" s="313">
        <v>14</v>
      </c>
      <c r="L320" s="313">
        <v>33</v>
      </c>
      <c r="M320" s="352" t="s">
        <v>27</v>
      </c>
    </row>
    <row r="321" spans="1:13" ht="11.5" x14ac:dyDescent="0.25">
      <c r="A321" s="352">
        <v>320</v>
      </c>
      <c r="B321" s="373" t="s">
        <v>486</v>
      </c>
      <c r="C321" s="313">
        <v>34</v>
      </c>
      <c r="D321" s="413"/>
      <c r="E321" s="413"/>
      <c r="F321" s="313">
        <v>12</v>
      </c>
      <c r="G321" s="413"/>
      <c r="H321" s="413"/>
      <c r="I321" s="439"/>
      <c r="J321" s="313">
        <v>12</v>
      </c>
      <c r="K321" s="313">
        <v>6</v>
      </c>
      <c r="L321" s="313">
        <v>16</v>
      </c>
      <c r="M321" s="352" t="s">
        <v>27</v>
      </c>
    </row>
    <row r="322" spans="1:13" ht="11.5" x14ac:dyDescent="0.25">
      <c r="A322" s="352">
        <v>321</v>
      </c>
      <c r="B322" s="373" t="s">
        <v>482</v>
      </c>
      <c r="C322" s="413"/>
      <c r="D322" s="413"/>
      <c r="E322" s="413"/>
      <c r="F322" s="413"/>
      <c r="G322" s="413"/>
      <c r="H322" s="413"/>
      <c r="I322" s="313"/>
      <c r="J322" s="413"/>
      <c r="K322" s="413"/>
      <c r="L322" s="413"/>
      <c r="M322" s="352" t="s">
        <v>27</v>
      </c>
    </row>
    <row r="323" spans="1:13" ht="11.5" x14ac:dyDescent="0.25">
      <c r="A323" s="352">
        <v>322</v>
      </c>
      <c r="B323" s="373" t="s">
        <v>483</v>
      </c>
      <c r="C323" s="413"/>
      <c r="D323" s="413"/>
      <c r="E323" s="413"/>
      <c r="F323" s="413"/>
      <c r="G323" s="413"/>
      <c r="H323" s="413"/>
      <c r="I323" s="313"/>
      <c r="J323" s="413"/>
      <c r="K323" s="413"/>
      <c r="L323" s="413"/>
      <c r="M323" s="352" t="s">
        <v>27</v>
      </c>
    </row>
    <row r="324" spans="1:13" ht="11.5" x14ac:dyDescent="0.25">
      <c r="A324" s="352">
        <v>323</v>
      </c>
      <c r="B324" s="373" t="s">
        <v>484</v>
      </c>
      <c r="C324" s="413"/>
      <c r="D324" s="413"/>
      <c r="E324" s="413"/>
      <c r="F324" s="413"/>
      <c r="G324" s="413"/>
      <c r="H324" s="413"/>
      <c r="I324" s="439"/>
      <c r="J324" s="413"/>
      <c r="K324" s="413"/>
      <c r="L324" s="413"/>
      <c r="M324" s="352" t="s">
        <v>27</v>
      </c>
    </row>
    <row r="325" spans="1:13" ht="11.5" x14ac:dyDescent="0.25">
      <c r="A325" s="352">
        <v>324</v>
      </c>
      <c r="B325" s="373" t="s">
        <v>485</v>
      </c>
      <c r="C325" s="413"/>
      <c r="D325" s="413"/>
      <c r="E325" s="413"/>
      <c r="F325" s="413"/>
      <c r="G325" s="413"/>
      <c r="H325" s="413"/>
      <c r="I325" s="439"/>
      <c r="J325" s="413"/>
      <c r="K325" s="413"/>
      <c r="L325" s="413"/>
      <c r="M325" s="352" t="s">
        <v>27</v>
      </c>
    </row>
    <row r="326" spans="1:13" ht="14.5" customHeight="1" x14ac:dyDescent="0.25">
      <c r="A326" s="352">
        <v>325</v>
      </c>
      <c r="B326" s="373" t="s">
        <v>487</v>
      </c>
      <c r="C326" s="413"/>
      <c r="D326" s="413"/>
      <c r="E326" s="413"/>
      <c r="F326" s="413"/>
      <c r="G326" s="413"/>
      <c r="H326" s="413"/>
      <c r="I326" s="439"/>
      <c r="J326" s="413"/>
      <c r="K326" s="413"/>
      <c r="L326" s="413"/>
      <c r="M326" s="352" t="s">
        <v>27</v>
      </c>
    </row>
    <row r="327" spans="1:13" ht="11.5" x14ac:dyDescent="0.25">
      <c r="A327" s="352">
        <v>326</v>
      </c>
      <c r="B327" s="318" t="s">
        <v>492</v>
      </c>
      <c r="C327" s="310">
        <v>4047</v>
      </c>
      <c r="D327" s="310">
        <v>703</v>
      </c>
      <c r="E327" s="310">
        <v>548</v>
      </c>
      <c r="F327" s="310">
        <v>3343</v>
      </c>
      <c r="G327" s="310"/>
      <c r="H327" s="310"/>
      <c r="I327" s="310"/>
      <c r="J327" s="310">
        <v>3164</v>
      </c>
      <c r="K327" s="310">
        <v>779</v>
      </c>
      <c r="L327" s="310">
        <v>104</v>
      </c>
      <c r="M327" s="352" t="s">
        <v>28</v>
      </c>
    </row>
    <row r="328" spans="1:13" ht="11.5" x14ac:dyDescent="0.25">
      <c r="A328" s="352">
        <v>327</v>
      </c>
      <c r="B328" s="318" t="s">
        <v>493</v>
      </c>
      <c r="C328" s="310">
        <v>5075</v>
      </c>
      <c r="D328" s="310">
        <v>110</v>
      </c>
      <c r="E328" s="310">
        <v>3458</v>
      </c>
      <c r="F328" s="310">
        <v>5122</v>
      </c>
      <c r="G328" s="310"/>
      <c r="H328" s="310"/>
      <c r="I328" s="409"/>
      <c r="J328" s="310">
        <v>1748</v>
      </c>
      <c r="K328" s="310">
        <v>3144</v>
      </c>
      <c r="L328" s="310">
        <v>183</v>
      </c>
      <c r="M328" s="352" t="s">
        <v>28</v>
      </c>
    </row>
    <row r="329" spans="1:13" ht="11.5" x14ac:dyDescent="0.25">
      <c r="A329" s="352">
        <v>328</v>
      </c>
      <c r="B329" s="318" t="s">
        <v>489</v>
      </c>
      <c r="C329" s="310">
        <v>2469</v>
      </c>
      <c r="D329" s="310">
        <v>471</v>
      </c>
      <c r="E329" s="310">
        <v>357</v>
      </c>
      <c r="F329" s="310">
        <v>3581</v>
      </c>
      <c r="G329" s="310"/>
      <c r="H329" s="310"/>
      <c r="I329" s="409"/>
      <c r="J329" s="310">
        <v>1366</v>
      </c>
      <c r="K329" s="310">
        <v>758</v>
      </c>
      <c r="L329" s="310">
        <v>345</v>
      </c>
      <c r="M329" s="352" t="s">
        <v>28</v>
      </c>
    </row>
    <row r="330" spans="1:13" ht="11.5" x14ac:dyDescent="0.25">
      <c r="A330" s="352">
        <v>329</v>
      </c>
      <c r="B330" s="318" t="s">
        <v>491</v>
      </c>
      <c r="C330" s="310">
        <v>1737</v>
      </c>
      <c r="D330" s="310">
        <v>324</v>
      </c>
      <c r="E330" s="310">
        <v>125</v>
      </c>
      <c r="F330" s="310">
        <v>1436</v>
      </c>
      <c r="G330" s="310"/>
      <c r="H330" s="310"/>
      <c r="I330" s="310"/>
      <c r="J330" s="310">
        <v>1036</v>
      </c>
      <c r="K330" s="310">
        <v>384</v>
      </c>
      <c r="L330" s="310">
        <v>317</v>
      </c>
      <c r="M330" s="352" t="s">
        <v>28</v>
      </c>
    </row>
    <row r="331" spans="1:13" ht="11.5" x14ac:dyDescent="0.25">
      <c r="A331" s="352">
        <v>330</v>
      </c>
      <c r="B331" s="318" t="s">
        <v>490</v>
      </c>
      <c r="C331" s="310">
        <v>1710</v>
      </c>
      <c r="D331" s="310">
        <v>600</v>
      </c>
      <c r="E331" s="310">
        <v>364</v>
      </c>
      <c r="F331" s="310">
        <v>1882</v>
      </c>
      <c r="G331" s="310"/>
      <c r="H331" s="310"/>
      <c r="I331" s="310"/>
      <c r="J331" s="310">
        <v>732</v>
      </c>
      <c r="K331" s="310">
        <v>607</v>
      </c>
      <c r="L331" s="310">
        <v>371</v>
      </c>
      <c r="M331" s="352" t="s">
        <v>28</v>
      </c>
    </row>
    <row r="332" spans="1:13" ht="11.5" x14ac:dyDescent="0.25">
      <c r="A332" s="352">
        <v>331</v>
      </c>
      <c r="B332" s="375" t="s">
        <v>501</v>
      </c>
      <c r="C332" s="376">
        <v>6551</v>
      </c>
      <c r="D332" s="376">
        <v>92</v>
      </c>
      <c r="E332" s="376">
        <v>278</v>
      </c>
      <c r="F332" s="376">
        <v>4440</v>
      </c>
      <c r="G332" s="376"/>
      <c r="H332" s="376"/>
      <c r="I332" s="376"/>
      <c r="J332" s="376">
        <v>1235</v>
      </c>
      <c r="K332" s="376">
        <v>3030</v>
      </c>
      <c r="L332" s="376">
        <v>2286</v>
      </c>
      <c r="M332" s="352" t="s">
        <v>29</v>
      </c>
    </row>
    <row r="333" spans="1:13" ht="11.5" x14ac:dyDescent="0.25">
      <c r="A333" s="352">
        <v>332</v>
      </c>
      <c r="B333" s="375" t="s">
        <v>497</v>
      </c>
      <c r="C333" s="376">
        <v>68543</v>
      </c>
      <c r="D333" s="376">
        <v>607</v>
      </c>
      <c r="E333" s="376">
        <v>25653</v>
      </c>
      <c r="F333" s="376">
        <v>38144</v>
      </c>
      <c r="G333" s="376"/>
      <c r="H333" s="376"/>
      <c r="I333" s="376"/>
      <c r="J333" s="376">
        <v>8975</v>
      </c>
      <c r="K333" s="376">
        <v>42266</v>
      </c>
      <c r="L333" s="376">
        <v>17302</v>
      </c>
      <c r="M333" s="352" t="s">
        <v>29</v>
      </c>
    </row>
    <row r="334" spans="1:13" ht="11.5" x14ac:dyDescent="0.25">
      <c r="A334" s="352">
        <v>333</v>
      </c>
      <c r="B334" s="375" t="s">
        <v>500</v>
      </c>
      <c r="C334" s="376">
        <v>45708</v>
      </c>
      <c r="D334" s="376">
        <v>643</v>
      </c>
      <c r="E334" s="376">
        <v>14525</v>
      </c>
      <c r="F334" s="376">
        <v>19118</v>
      </c>
      <c r="G334" s="376"/>
      <c r="H334" s="376"/>
      <c r="I334" s="376"/>
      <c r="J334" s="376">
        <v>9618</v>
      </c>
      <c r="K334" s="376">
        <v>22604</v>
      </c>
      <c r="L334" s="376">
        <v>13486</v>
      </c>
      <c r="M334" s="352" t="s">
        <v>29</v>
      </c>
    </row>
    <row r="335" spans="1:13" ht="11.5" x14ac:dyDescent="0.25">
      <c r="A335" s="352">
        <v>334</v>
      </c>
      <c r="B335" s="375" t="s">
        <v>498</v>
      </c>
      <c r="C335" s="376">
        <v>38873</v>
      </c>
      <c r="D335" s="376">
        <v>825</v>
      </c>
      <c r="E335" s="376">
        <v>24409</v>
      </c>
      <c r="F335" s="376">
        <v>37234</v>
      </c>
      <c r="G335" s="376"/>
      <c r="H335" s="376"/>
      <c r="I335" s="376"/>
      <c r="J335" s="376">
        <v>6143</v>
      </c>
      <c r="K335" s="376">
        <v>29576</v>
      </c>
      <c r="L335" s="376">
        <v>3154</v>
      </c>
      <c r="M335" s="352" t="s">
        <v>29</v>
      </c>
    </row>
    <row r="336" spans="1:13" ht="11.5" x14ac:dyDescent="0.25">
      <c r="A336" s="352">
        <v>335</v>
      </c>
      <c r="B336" s="375" t="s">
        <v>495</v>
      </c>
      <c r="C336" s="376">
        <v>30595</v>
      </c>
      <c r="D336" s="376">
        <v>719</v>
      </c>
      <c r="E336" s="376">
        <v>17375</v>
      </c>
      <c r="F336" s="376">
        <v>23929</v>
      </c>
      <c r="G336" s="376"/>
      <c r="H336" s="376"/>
      <c r="I336" s="376"/>
      <c r="J336" s="376">
        <v>2885</v>
      </c>
      <c r="K336" s="376">
        <v>24164</v>
      </c>
      <c r="L336" s="376">
        <v>3546</v>
      </c>
      <c r="M336" s="352" t="s">
        <v>29</v>
      </c>
    </row>
    <row r="337" spans="1:13" ht="11.5" x14ac:dyDescent="0.25">
      <c r="A337" s="352">
        <v>336</v>
      </c>
      <c r="B337" s="375" t="s">
        <v>496</v>
      </c>
      <c r="C337" s="376">
        <v>27856</v>
      </c>
      <c r="D337" s="376">
        <v>998</v>
      </c>
      <c r="E337" s="376">
        <v>19354</v>
      </c>
      <c r="F337" s="376">
        <v>11454</v>
      </c>
      <c r="G337" s="376"/>
      <c r="H337" s="376"/>
      <c r="I337" s="376"/>
      <c r="J337" s="376">
        <v>6262</v>
      </c>
      <c r="K337" s="376">
        <v>1940</v>
      </c>
      <c r="L337" s="376">
        <v>2194</v>
      </c>
      <c r="M337" s="352" t="s">
        <v>29</v>
      </c>
    </row>
    <row r="338" spans="1:13" ht="11.5" x14ac:dyDescent="0.25">
      <c r="A338" s="352">
        <v>337</v>
      </c>
      <c r="B338" s="375" t="s">
        <v>1321</v>
      </c>
      <c r="C338" s="376">
        <v>21154</v>
      </c>
      <c r="D338" s="376">
        <v>303</v>
      </c>
      <c r="E338" s="376">
        <v>4594</v>
      </c>
      <c r="F338" s="376">
        <v>15021</v>
      </c>
      <c r="G338" s="376"/>
      <c r="H338" s="376"/>
      <c r="I338" s="376"/>
      <c r="J338" s="376">
        <v>144</v>
      </c>
      <c r="K338" s="376">
        <v>15150</v>
      </c>
      <c r="L338" s="376">
        <v>5860</v>
      </c>
      <c r="M338" s="352" t="s">
        <v>29</v>
      </c>
    </row>
    <row r="339" spans="1:13" ht="11.5" x14ac:dyDescent="0.25">
      <c r="A339" s="352">
        <v>338</v>
      </c>
      <c r="B339" s="375" t="s">
        <v>505</v>
      </c>
      <c r="C339" s="376">
        <v>14564</v>
      </c>
      <c r="D339" s="376">
        <v>550</v>
      </c>
      <c r="E339" s="376">
        <v>5870</v>
      </c>
      <c r="F339" s="376">
        <v>7224</v>
      </c>
      <c r="G339" s="376"/>
      <c r="H339" s="376"/>
      <c r="I339" s="441"/>
      <c r="J339" s="376">
        <v>1211</v>
      </c>
      <c r="K339" s="376">
        <v>10679</v>
      </c>
      <c r="L339" s="376">
        <v>2674</v>
      </c>
      <c r="M339" s="352" t="s">
        <v>29</v>
      </c>
    </row>
    <row r="340" spans="1:13" ht="11.5" x14ac:dyDescent="0.25">
      <c r="A340" s="352">
        <v>339</v>
      </c>
      <c r="B340" s="375" t="s">
        <v>1322</v>
      </c>
      <c r="C340" s="376">
        <v>11981</v>
      </c>
      <c r="D340" s="376">
        <v>662</v>
      </c>
      <c r="E340" s="376">
        <v>5197</v>
      </c>
      <c r="F340" s="376">
        <v>6366</v>
      </c>
      <c r="G340" s="376"/>
      <c r="H340" s="376"/>
      <c r="I340" s="440"/>
      <c r="J340" s="376">
        <v>2889</v>
      </c>
      <c r="K340" s="376">
        <v>7850</v>
      </c>
      <c r="L340" s="376">
        <v>1242</v>
      </c>
      <c r="M340" s="352" t="s">
        <v>29</v>
      </c>
    </row>
    <row r="341" spans="1:13" ht="14.5" customHeight="1" x14ac:dyDescent="0.25">
      <c r="A341" s="352">
        <v>340</v>
      </c>
      <c r="B341" s="375" t="s">
        <v>503</v>
      </c>
      <c r="C341" s="376">
        <v>10995</v>
      </c>
      <c r="D341" s="376">
        <v>836</v>
      </c>
      <c r="E341" s="376">
        <v>4992</v>
      </c>
      <c r="F341" s="376">
        <v>830</v>
      </c>
      <c r="G341" s="376"/>
      <c r="H341" s="376"/>
      <c r="I341" s="440"/>
      <c r="J341" s="376">
        <v>3983</v>
      </c>
      <c r="K341" s="376">
        <v>5971</v>
      </c>
      <c r="L341" s="376">
        <v>1041</v>
      </c>
      <c r="M341" s="352" t="s">
        <v>29</v>
      </c>
    </row>
    <row r="342" spans="1:13" ht="11.5" x14ac:dyDescent="0.25">
      <c r="A342" s="352">
        <v>341</v>
      </c>
      <c r="B342" s="375" t="s">
        <v>499</v>
      </c>
      <c r="C342" s="376">
        <v>5781</v>
      </c>
      <c r="D342" s="376">
        <v>664</v>
      </c>
      <c r="E342" s="376">
        <v>3079</v>
      </c>
      <c r="F342" s="376">
        <v>5004</v>
      </c>
      <c r="G342" s="376"/>
      <c r="H342" s="376"/>
      <c r="I342" s="376"/>
      <c r="J342" s="376">
        <v>867</v>
      </c>
      <c r="K342" s="376">
        <v>4635</v>
      </c>
      <c r="L342" s="376">
        <v>279</v>
      </c>
      <c r="M342" s="352" t="s">
        <v>29</v>
      </c>
    </row>
    <row r="343" spans="1:13" ht="11.5" x14ac:dyDescent="0.25">
      <c r="A343" s="352">
        <v>342</v>
      </c>
      <c r="B343" s="375" t="s">
        <v>506</v>
      </c>
      <c r="C343" s="376">
        <v>757</v>
      </c>
      <c r="D343" s="376">
        <v>179</v>
      </c>
      <c r="E343" s="376">
        <v>96</v>
      </c>
      <c r="F343" s="376">
        <v>688</v>
      </c>
      <c r="G343" s="376"/>
      <c r="H343" s="376"/>
      <c r="I343" s="441"/>
      <c r="J343" s="376">
        <v>139</v>
      </c>
      <c r="K343" s="376">
        <v>536</v>
      </c>
      <c r="L343" s="376">
        <v>82</v>
      </c>
      <c r="M343" s="352" t="s">
        <v>29</v>
      </c>
    </row>
    <row r="344" spans="1:13" ht="11.5" x14ac:dyDescent="0.25">
      <c r="A344" s="352">
        <v>343</v>
      </c>
      <c r="B344" s="375" t="s">
        <v>494</v>
      </c>
      <c r="C344" s="376">
        <v>267</v>
      </c>
      <c r="D344" s="376">
        <v>591</v>
      </c>
      <c r="E344" s="376">
        <v>52</v>
      </c>
      <c r="F344" s="376">
        <v>198</v>
      </c>
      <c r="G344" s="376"/>
      <c r="H344" s="376"/>
      <c r="I344" s="441"/>
      <c r="J344" s="376">
        <v>48</v>
      </c>
      <c r="K344" s="376">
        <v>88</v>
      </c>
      <c r="L344" s="376">
        <v>131</v>
      </c>
      <c r="M344" s="352" t="s">
        <v>29</v>
      </c>
    </row>
    <row r="345" spans="1:13" ht="11.5" x14ac:dyDescent="0.25">
      <c r="A345" s="352">
        <v>344</v>
      </c>
      <c r="B345" s="286" t="s">
        <v>806</v>
      </c>
      <c r="C345" s="285">
        <v>616</v>
      </c>
      <c r="D345" s="285">
        <v>306</v>
      </c>
      <c r="E345" s="285">
        <v>166</v>
      </c>
      <c r="F345" s="285">
        <v>1335</v>
      </c>
      <c r="G345" s="285"/>
      <c r="H345" s="285"/>
      <c r="I345" s="425"/>
      <c r="J345" s="285">
        <v>12</v>
      </c>
      <c r="K345" s="285">
        <v>543</v>
      </c>
      <c r="L345" s="285">
        <v>61</v>
      </c>
      <c r="M345" s="352" t="s">
        <v>30</v>
      </c>
    </row>
    <row r="346" spans="1:13" ht="11.5" x14ac:dyDescent="0.25">
      <c r="A346" s="352">
        <v>345</v>
      </c>
      <c r="B346" s="286" t="s">
        <v>824</v>
      </c>
      <c r="C346" s="285">
        <v>39767</v>
      </c>
      <c r="D346" s="285">
        <v>991</v>
      </c>
      <c r="E346" s="285">
        <v>26406</v>
      </c>
      <c r="F346" s="285">
        <v>28327</v>
      </c>
      <c r="G346" s="285"/>
      <c r="H346" s="285"/>
      <c r="I346" s="425"/>
      <c r="J346" s="285">
        <v>780</v>
      </c>
      <c r="K346" s="285">
        <v>26641</v>
      </c>
      <c r="L346" s="285">
        <v>5326</v>
      </c>
      <c r="M346" s="352" t="s">
        <v>30</v>
      </c>
    </row>
    <row r="347" spans="1:13" ht="11.5" x14ac:dyDescent="0.25">
      <c r="A347" s="352">
        <v>346</v>
      </c>
      <c r="B347" s="286" t="s">
        <v>822</v>
      </c>
      <c r="C347" s="285">
        <v>33901</v>
      </c>
      <c r="D347" s="285">
        <v>942</v>
      </c>
      <c r="E347" s="285">
        <v>24640</v>
      </c>
      <c r="F347" s="285">
        <v>27799</v>
      </c>
      <c r="G347" s="285"/>
      <c r="H347" s="285"/>
      <c r="I347" s="425"/>
      <c r="J347" s="285">
        <v>350</v>
      </c>
      <c r="K347" s="285">
        <v>26154</v>
      </c>
      <c r="L347" s="285">
        <v>4247</v>
      </c>
      <c r="M347" s="352" t="s">
        <v>30</v>
      </c>
    </row>
    <row r="348" spans="1:13" ht="11.5" x14ac:dyDescent="0.25">
      <c r="A348" s="352">
        <v>347</v>
      </c>
      <c r="B348" s="286" t="s">
        <v>820</v>
      </c>
      <c r="C348" s="285">
        <v>19585</v>
      </c>
      <c r="D348" s="285">
        <v>860</v>
      </c>
      <c r="E348" s="285">
        <v>10556</v>
      </c>
      <c r="F348" s="285">
        <v>2120</v>
      </c>
      <c r="G348" s="285"/>
      <c r="H348" s="285"/>
      <c r="I348" s="425"/>
      <c r="J348" s="285">
        <v>1862</v>
      </c>
      <c r="K348" s="285">
        <v>12275</v>
      </c>
      <c r="L348" s="285">
        <v>5448</v>
      </c>
      <c r="M348" s="352" t="s">
        <v>30</v>
      </c>
    </row>
    <row r="349" spans="1:13" ht="11.5" x14ac:dyDescent="0.25">
      <c r="A349" s="352">
        <v>348</v>
      </c>
      <c r="B349" s="286" t="s">
        <v>825</v>
      </c>
      <c r="C349" s="285">
        <v>16249</v>
      </c>
      <c r="D349" s="285">
        <v>1568</v>
      </c>
      <c r="E349" s="285">
        <v>9975</v>
      </c>
      <c r="F349" s="285">
        <v>19616</v>
      </c>
      <c r="G349" s="285"/>
      <c r="H349" s="285"/>
      <c r="I349" s="425"/>
      <c r="J349" s="285">
        <v>2848</v>
      </c>
      <c r="K349" s="285">
        <v>6363</v>
      </c>
      <c r="L349" s="285">
        <v>7038</v>
      </c>
      <c r="M349" s="352" t="s">
        <v>30</v>
      </c>
    </row>
    <row r="350" spans="1:13" ht="11.5" x14ac:dyDescent="0.25">
      <c r="A350" s="352">
        <v>349</v>
      </c>
      <c r="B350" s="286" t="s">
        <v>817</v>
      </c>
      <c r="C350" s="285">
        <v>15938</v>
      </c>
      <c r="D350" s="285">
        <v>620</v>
      </c>
      <c r="E350" s="285">
        <v>7310</v>
      </c>
      <c r="F350" s="285">
        <v>21256</v>
      </c>
      <c r="G350" s="285"/>
      <c r="H350" s="285"/>
      <c r="I350" s="425"/>
      <c r="J350" s="285">
        <v>1998</v>
      </c>
      <c r="K350" s="285">
        <v>11791</v>
      </c>
      <c r="L350" s="285">
        <v>2149</v>
      </c>
      <c r="M350" s="352" t="s">
        <v>30</v>
      </c>
    </row>
    <row r="351" spans="1:13" ht="11.5" x14ac:dyDescent="0.25">
      <c r="A351" s="352">
        <v>350</v>
      </c>
      <c r="B351" s="286" t="s">
        <v>818</v>
      </c>
      <c r="C351" s="285">
        <v>15534</v>
      </c>
      <c r="D351" s="285">
        <v>777</v>
      </c>
      <c r="E351" s="285">
        <v>1070</v>
      </c>
      <c r="F351" s="285">
        <v>24283</v>
      </c>
      <c r="G351" s="285"/>
      <c r="H351" s="285"/>
      <c r="I351" s="425"/>
      <c r="J351" s="285">
        <v>324</v>
      </c>
      <c r="K351" s="285">
        <v>13774</v>
      </c>
      <c r="L351" s="285">
        <v>1436</v>
      </c>
      <c r="M351" s="352" t="s">
        <v>30</v>
      </c>
    </row>
    <row r="352" spans="1:13" ht="11.5" x14ac:dyDescent="0.25">
      <c r="A352" s="352">
        <v>351</v>
      </c>
      <c r="B352" s="286" t="s">
        <v>812</v>
      </c>
      <c r="C352" s="285">
        <v>9862</v>
      </c>
      <c r="D352" s="285">
        <v>391</v>
      </c>
      <c r="E352" s="285">
        <v>2479</v>
      </c>
      <c r="F352" s="285">
        <v>11525</v>
      </c>
      <c r="G352" s="285"/>
      <c r="H352" s="285"/>
      <c r="I352" s="425"/>
      <c r="J352" s="285">
        <v>558</v>
      </c>
      <c r="K352" s="285">
        <v>6340</v>
      </c>
      <c r="L352" s="285">
        <v>2964</v>
      </c>
      <c r="M352" s="352" t="s">
        <v>30</v>
      </c>
    </row>
    <row r="353" spans="1:13" ht="11.5" x14ac:dyDescent="0.25">
      <c r="A353" s="352">
        <v>352</v>
      </c>
      <c r="B353" s="286" t="s">
        <v>807</v>
      </c>
      <c r="C353" s="285">
        <v>8123</v>
      </c>
      <c r="D353" s="285">
        <v>786</v>
      </c>
      <c r="E353" s="285">
        <v>4552</v>
      </c>
      <c r="F353" s="285">
        <v>11434</v>
      </c>
      <c r="G353" s="285"/>
      <c r="H353" s="285"/>
      <c r="I353" s="425"/>
      <c r="J353" s="285">
        <v>2250</v>
      </c>
      <c r="K353" s="285">
        <v>5789</v>
      </c>
      <c r="L353" s="285">
        <v>84</v>
      </c>
      <c r="M353" s="352" t="s">
        <v>30</v>
      </c>
    </row>
    <row r="354" spans="1:13" ht="11.5" x14ac:dyDescent="0.25">
      <c r="A354" s="352">
        <v>353</v>
      </c>
      <c r="B354" s="286" t="s">
        <v>819</v>
      </c>
      <c r="C354" s="285">
        <v>7870</v>
      </c>
      <c r="D354" s="285">
        <v>939</v>
      </c>
      <c r="E354" s="285">
        <v>5891</v>
      </c>
      <c r="F354" s="285">
        <v>6027</v>
      </c>
      <c r="G354" s="285"/>
      <c r="H354" s="285"/>
      <c r="I354" s="425"/>
      <c r="J354" s="285">
        <v>391</v>
      </c>
      <c r="K354" s="285">
        <v>6273</v>
      </c>
      <c r="L354" s="285">
        <v>1206</v>
      </c>
      <c r="M354" s="352" t="s">
        <v>30</v>
      </c>
    </row>
    <row r="355" spans="1:13" ht="11.5" x14ac:dyDescent="0.25">
      <c r="A355" s="352">
        <v>354</v>
      </c>
      <c r="B355" s="286" t="s">
        <v>821</v>
      </c>
      <c r="C355" s="285">
        <v>6969</v>
      </c>
      <c r="D355" s="285">
        <v>800</v>
      </c>
      <c r="E355" s="285">
        <v>3289</v>
      </c>
      <c r="F355" s="285">
        <v>6336</v>
      </c>
      <c r="G355" s="285"/>
      <c r="H355" s="285"/>
      <c r="I355" s="425"/>
      <c r="J355" s="285">
        <v>78</v>
      </c>
      <c r="K355" s="285">
        <v>4111</v>
      </c>
      <c r="L355" s="285">
        <v>2780</v>
      </c>
      <c r="M355" s="352" t="s">
        <v>30</v>
      </c>
    </row>
    <row r="356" spans="1:13" ht="11.5" x14ac:dyDescent="0.25">
      <c r="A356" s="352">
        <v>355</v>
      </c>
      <c r="B356" s="286" t="s">
        <v>808</v>
      </c>
      <c r="C356" s="285">
        <v>5408</v>
      </c>
      <c r="D356" s="285">
        <v>695</v>
      </c>
      <c r="E356" s="285">
        <v>2896</v>
      </c>
      <c r="F356" s="285">
        <v>6462</v>
      </c>
      <c r="G356" s="285"/>
      <c r="H356" s="285"/>
      <c r="I356" s="425"/>
      <c r="J356" s="285">
        <v>682</v>
      </c>
      <c r="K356" s="285">
        <v>4166</v>
      </c>
      <c r="L356" s="285">
        <v>560</v>
      </c>
      <c r="M356" s="352" t="s">
        <v>30</v>
      </c>
    </row>
    <row r="357" spans="1:13" ht="11.5" x14ac:dyDescent="0.25">
      <c r="A357" s="352">
        <v>356</v>
      </c>
      <c r="B357" s="286" t="s">
        <v>823</v>
      </c>
      <c r="C357" s="285">
        <v>4199</v>
      </c>
      <c r="D357" s="285">
        <v>514</v>
      </c>
      <c r="E357" s="285">
        <v>1348</v>
      </c>
      <c r="F357" s="285">
        <v>14451</v>
      </c>
      <c r="G357" s="285"/>
      <c r="H357" s="285"/>
      <c r="I357" s="425"/>
      <c r="J357" s="285">
        <v>839</v>
      </c>
      <c r="K357" s="285">
        <v>2622</v>
      </c>
      <c r="L357" s="285">
        <v>738</v>
      </c>
      <c r="M357" s="352" t="s">
        <v>30</v>
      </c>
    </row>
    <row r="358" spans="1:13" ht="11.5" x14ac:dyDescent="0.25">
      <c r="A358" s="352">
        <v>357</v>
      </c>
      <c r="B358" s="286" t="s">
        <v>811</v>
      </c>
      <c r="C358" s="285">
        <v>3585</v>
      </c>
      <c r="D358" s="285">
        <v>613</v>
      </c>
      <c r="E358" s="285">
        <v>1472</v>
      </c>
      <c r="F358" s="285">
        <v>7157</v>
      </c>
      <c r="G358" s="285"/>
      <c r="H358" s="285"/>
      <c r="I358" s="425"/>
      <c r="J358" s="285">
        <v>117</v>
      </c>
      <c r="K358" s="285">
        <v>2403</v>
      </c>
      <c r="L358" s="285">
        <v>1065</v>
      </c>
      <c r="M358" s="352" t="s">
        <v>30</v>
      </c>
    </row>
    <row r="359" spans="1:13" ht="11.5" x14ac:dyDescent="0.25">
      <c r="A359" s="352">
        <v>358</v>
      </c>
      <c r="B359" s="286" t="s">
        <v>827</v>
      </c>
      <c r="C359" s="285">
        <v>3173</v>
      </c>
      <c r="D359" s="285">
        <v>319</v>
      </c>
      <c r="E359" s="285">
        <v>821</v>
      </c>
      <c r="F359" s="285">
        <v>2888</v>
      </c>
      <c r="G359" s="285"/>
      <c r="H359" s="285"/>
      <c r="I359" s="425"/>
      <c r="J359" s="285">
        <v>320</v>
      </c>
      <c r="K359" s="285">
        <v>2570</v>
      </c>
      <c r="L359" s="285">
        <v>283</v>
      </c>
      <c r="M359" s="352" t="s">
        <v>30</v>
      </c>
    </row>
    <row r="360" spans="1:13" ht="11.5" x14ac:dyDescent="0.25">
      <c r="A360" s="352">
        <v>359</v>
      </c>
      <c r="B360" s="286" t="s">
        <v>816</v>
      </c>
      <c r="C360" s="285">
        <v>2290</v>
      </c>
      <c r="D360" s="285">
        <v>542</v>
      </c>
      <c r="E360" s="285">
        <v>10692</v>
      </c>
      <c r="F360" s="285">
        <v>32582</v>
      </c>
      <c r="G360" s="285"/>
      <c r="H360" s="285"/>
      <c r="I360" s="425"/>
      <c r="J360" s="285">
        <v>1731</v>
      </c>
      <c r="K360" s="285">
        <v>19728</v>
      </c>
      <c r="L360" s="285">
        <v>1441</v>
      </c>
      <c r="M360" s="352" t="s">
        <v>30</v>
      </c>
    </row>
    <row r="361" spans="1:13" ht="11.5" x14ac:dyDescent="0.25">
      <c r="A361" s="352">
        <v>360</v>
      </c>
      <c r="B361" s="286" t="s">
        <v>813</v>
      </c>
      <c r="C361" s="285">
        <v>1730</v>
      </c>
      <c r="D361" s="285">
        <v>469</v>
      </c>
      <c r="E361" s="285">
        <v>582</v>
      </c>
      <c r="F361" s="285">
        <v>2302</v>
      </c>
      <c r="G361" s="285"/>
      <c r="H361" s="285"/>
      <c r="I361" s="425"/>
      <c r="J361" s="285">
        <v>130</v>
      </c>
      <c r="K361" s="285">
        <v>1242</v>
      </c>
      <c r="L361" s="285">
        <v>358</v>
      </c>
      <c r="M361" s="352" t="s">
        <v>30</v>
      </c>
    </row>
    <row r="362" spans="1:13" ht="11.5" x14ac:dyDescent="0.25">
      <c r="A362" s="352">
        <v>361</v>
      </c>
      <c r="B362" s="286" t="s">
        <v>826</v>
      </c>
      <c r="C362" s="285">
        <v>1542</v>
      </c>
      <c r="D362" s="285">
        <v>667</v>
      </c>
      <c r="E362" s="285">
        <v>813</v>
      </c>
      <c r="F362" s="285">
        <v>4550</v>
      </c>
      <c r="G362" s="285"/>
      <c r="H362" s="285"/>
      <c r="I362" s="425"/>
      <c r="J362" s="285">
        <v>179</v>
      </c>
      <c r="K362" s="285">
        <v>1218</v>
      </c>
      <c r="L362" s="285">
        <v>145</v>
      </c>
      <c r="M362" s="352" t="s">
        <v>30</v>
      </c>
    </row>
    <row r="363" spans="1:13" ht="11.5" x14ac:dyDescent="0.25">
      <c r="A363" s="352">
        <v>362</v>
      </c>
      <c r="B363" s="286" t="s">
        <v>815</v>
      </c>
      <c r="C363" s="285">
        <v>777</v>
      </c>
      <c r="D363" s="285">
        <v>500</v>
      </c>
      <c r="E363" s="285">
        <v>265</v>
      </c>
      <c r="F363" s="285">
        <v>1554</v>
      </c>
      <c r="G363" s="285"/>
      <c r="H363" s="285"/>
      <c r="I363" s="425"/>
      <c r="J363" s="285">
        <v>90</v>
      </c>
      <c r="K363" s="285">
        <v>530</v>
      </c>
      <c r="L363" s="285">
        <v>157</v>
      </c>
      <c r="M363" s="352" t="s">
        <v>30</v>
      </c>
    </row>
    <row r="364" spans="1:13" ht="11.5" x14ac:dyDescent="0.25">
      <c r="A364" s="352">
        <v>363</v>
      </c>
      <c r="B364" s="286" t="s">
        <v>814</v>
      </c>
      <c r="C364" s="285">
        <v>308</v>
      </c>
      <c r="D364" s="285">
        <v>372</v>
      </c>
      <c r="E364" s="285">
        <v>58</v>
      </c>
      <c r="F364" s="285">
        <v>711</v>
      </c>
      <c r="G364" s="285"/>
      <c r="H364" s="285"/>
      <c r="I364" s="425"/>
      <c r="J364" s="285">
        <v>119</v>
      </c>
      <c r="K364" s="285">
        <v>156</v>
      </c>
      <c r="L364" s="285">
        <v>33</v>
      </c>
      <c r="M364" s="352" t="s">
        <v>30</v>
      </c>
    </row>
    <row r="365" spans="1:13" ht="11.5" x14ac:dyDescent="0.25">
      <c r="A365" s="352">
        <v>364</v>
      </c>
      <c r="B365" s="286" t="s">
        <v>809</v>
      </c>
      <c r="C365" s="285">
        <v>103</v>
      </c>
      <c r="D365" s="285">
        <v>398</v>
      </c>
      <c r="E365" s="285">
        <v>33</v>
      </c>
      <c r="F365" s="285">
        <v>281</v>
      </c>
      <c r="G365" s="285"/>
      <c r="H365" s="285"/>
      <c r="I365" s="425"/>
      <c r="J365" s="425"/>
      <c r="K365" s="285">
        <v>83</v>
      </c>
      <c r="L365" s="285">
        <v>20</v>
      </c>
      <c r="M365" s="352" t="s">
        <v>30</v>
      </c>
    </row>
    <row r="366" spans="1:13" ht="11.5" x14ac:dyDescent="0.25">
      <c r="A366" s="352">
        <v>365</v>
      </c>
      <c r="B366" s="286" t="s">
        <v>810</v>
      </c>
      <c r="C366" s="285">
        <v>30</v>
      </c>
      <c r="D366" s="285">
        <v>300</v>
      </c>
      <c r="E366" s="285">
        <v>8</v>
      </c>
      <c r="F366" s="285">
        <v>136</v>
      </c>
      <c r="G366" s="285"/>
      <c r="H366" s="285"/>
      <c r="I366" s="425"/>
      <c r="J366" s="425"/>
      <c r="K366" s="285">
        <v>26</v>
      </c>
      <c r="L366" s="285">
        <v>4</v>
      </c>
      <c r="M366" s="352" t="s">
        <v>30</v>
      </c>
    </row>
    <row r="367" spans="1:13" ht="11.5" x14ac:dyDescent="0.25">
      <c r="A367" s="352">
        <v>366</v>
      </c>
      <c r="B367" s="377" t="s">
        <v>828</v>
      </c>
      <c r="C367" s="378">
        <v>13171</v>
      </c>
      <c r="D367" s="378">
        <v>905</v>
      </c>
      <c r="E367" s="378">
        <v>8128</v>
      </c>
      <c r="F367" s="378">
        <v>11638</v>
      </c>
      <c r="G367" s="378"/>
      <c r="H367" s="378"/>
      <c r="I367" s="442"/>
      <c r="J367" s="378">
        <v>1944</v>
      </c>
      <c r="K367" s="378">
        <v>8984</v>
      </c>
      <c r="L367" s="378">
        <v>2243</v>
      </c>
      <c r="M367" s="352" t="s">
        <v>31</v>
      </c>
    </row>
    <row r="368" spans="1:13" ht="11.5" x14ac:dyDescent="0.25">
      <c r="A368" s="352">
        <v>367</v>
      </c>
      <c r="B368" s="377" t="s">
        <v>829</v>
      </c>
      <c r="C368" s="378">
        <v>48930</v>
      </c>
      <c r="D368" s="378">
        <v>900</v>
      </c>
      <c r="E368" s="378">
        <v>33259</v>
      </c>
      <c r="F368" s="378">
        <v>46554</v>
      </c>
      <c r="G368" s="378"/>
      <c r="H368" s="378"/>
      <c r="I368" s="442"/>
      <c r="J368" s="378">
        <v>7154</v>
      </c>
      <c r="K368" s="378">
        <v>36974</v>
      </c>
      <c r="L368" s="378">
        <v>4802</v>
      </c>
      <c r="M368" s="352" t="s">
        <v>31</v>
      </c>
    </row>
    <row r="369" spans="1:13" ht="11.5" x14ac:dyDescent="0.25">
      <c r="A369" s="352">
        <v>368</v>
      </c>
      <c r="B369" s="377" t="s">
        <v>831</v>
      </c>
      <c r="C369" s="378">
        <v>39832</v>
      </c>
      <c r="D369" s="378">
        <v>657</v>
      </c>
      <c r="E369" s="378">
        <v>10452</v>
      </c>
      <c r="F369" s="378">
        <v>32665</v>
      </c>
      <c r="G369" s="378"/>
      <c r="H369" s="378"/>
      <c r="I369" s="442"/>
      <c r="J369" s="378">
        <v>4024</v>
      </c>
      <c r="K369" s="378">
        <v>15905</v>
      </c>
      <c r="L369" s="378">
        <v>19902</v>
      </c>
      <c r="M369" s="352" t="s">
        <v>31</v>
      </c>
    </row>
    <row r="370" spans="1:13" ht="11.5" x14ac:dyDescent="0.25">
      <c r="A370" s="352">
        <v>369</v>
      </c>
      <c r="B370" s="377" t="s">
        <v>830</v>
      </c>
      <c r="C370" s="378">
        <v>15386</v>
      </c>
      <c r="D370" s="378">
        <v>702</v>
      </c>
      <c r="E370" s="378">
        <v>7743</v>
      </c>
      <c r="F370" s="378">
        <v>15347</v>
      </c>
      <c r="G370" s="378"/>
      <c r="H370" s="378"/>
      <c r="I370" s="442"/>
      <c r="J370" s="378">
        <v>1771</v>
      </c>
      <c r="K370" s="378">
        <v>11033</v>
      </c>
      <c r="L370" s="378">
        <v>2582</v>
      </c>
      <c r="M370" s="352" t="s">
        <v>31</v>
      </c>
    </row>
    <row r="371" spans="1:13" ht="14.5" customHeight="1" x14ac:dyDescent="0.25">
      <c r="A371" s="352">
        <v>370</v>
      </c>
      <c r="B371" s="377" t="s">
        <v>833</v>
      </c>
      <c r="C371" s="378">
        <v>14851</v>
      </c>
      <c r="D371" s="378">
        <v>699</v>
      </c>
      <c r="E371" s="378">
        <v>6568</v>
      </c>
      <c r="F371" s="378">
        <v>17020</v>
      </c>
      <c r="G371" s="378"/>
      <c r="H371" s="378"/>
      <c r="I371" s="442"/>
      <c r="J371" s="378">
        <v>2822</v>
      </c>
      <c r="K371" s="378">
        <v>9399</v>
      </c>
      <c r="L371" s="378">
        <v>2630</v>
      </c>
      <c r="M371" s="352" t="s">
        <v>31</v>
      </c>
    </row>
    <row r="372" spans="1:13" ht="11.5" x14ac:dyDescent="0.25">
      <c r="A372" s="352">
        <v>371</v>
      </c>
      <c r="B372" s="377" t="s">
        <v>832</v>
      </c>
      <c r="C372" s="378">
        <v>12802</v>
      </c>
      <c r="D372" s="378">
        <v>729</v>
      </c>
      <c r="E372" s="378">
        <v>5637</v>
      </c>
      <c r="F372" s="378">
        <v>12151</v>
      </c>
      <c r="G372" s="378"/>
      <c r="H372" s="378"/>
      <c r="I372" s="442"/>
      <c r="J372" s="378">
        <v>1413</v>
      </c>
      <c r="K372" s="378">
        <v>7732</v>
      </c>
      <c r="L372" s="378">
        <v>3657</v>
      </c>
      <c r="M372" s="352" t="s">
        <v>31</v>
      </c>
    </row>
    <row r="373" spans="1:13" ht="11.5" x14ac:dyDescent="0.25">
      <c r="A373" s="352">
        <v>372</v>
      </c>
      <c r="B373" s="312" t="s">
        <v>834</v>
      </c>
      <c r="C373" s="311">
        <v>3013</v>
      </c>
      <c r="D373" s="311">
        <v>273</v>
      </c>
      <c r="E373" s="311">
        <v>517</v>
      </c>
      <c r="F373" s="311">
        <v>4574</v>
      </c>
      <c r="G373" s="311"/>
      <c r="H373" s="311"/>
      <c r="I373" s="411"/>
      <c r="J373" s="311">
        <v>236</v>
      </c>
      <c r="K373" s="311">
        <v>1893</v>
      </c>
      <c r="L373" s="311">
        <v>884</v>
      </c>
      <c r="M373" s="352" t="s">
        <v>32</v>
      </c>
    </row>
    <row r="374" spans="1:13" ht="11.5" x14ac:dyDescent="0.25">
      <c r="A374" s="352">
        <v>373</v>
      </c>
      <c r="B374" s="312" t="s">
        <v>841</v>
      </c>
      <c r="C374" s="311">
        <v>79296</v>
      </c>
      <c r="D374" s="311">
        <v>692</v>
      </c>
      <c r="E374" s="311">
        <v>50065</v>
      </c>
      <c r="F374" s="311">
        <v>29072</v>
      </c>
      <c r="G374" s="311"/>
      <c r="H374" s="311"/>
      <c r="I374" s="411"/>
      <c r="J374" s="311">
        <v>4630</v>
      </c>
      <c r="K374" s="311">
        <v>72382</v>
      </c>
      <c r="L374" s="311">
        <v>2284</v>
      </c>
      <c r="M374" s="352" t="s">
        <v>32</v>
      </c>
    </row>
    <row r="375" spans="1:13" ht="11.5" x14ac:dyDescent="0.25">
      <c r="A375" s="352">
        <v>374</v>
      </c>
      <c r="B375" s="312" t="s">
        <v>844</v>
      </c>
      <c r="C375" s="311">
        <v>69042</v>
      </c>
      <c r="D375" s="311">
        <v>643</v>
      </c>
      <c r="E375" s="311">
        <v>30989</v>
      </c>
      <c r="F375" s="311">
        <v>28418</v>
      </c>
      <c r="G375" s="311"/>
      <c r="H375" s="311"/>
      <c r="I375" s="411"/>
      <c r="J375" s="311">
        <v>12793</v>
      </c>
      <c r="K375" s="311">
        <v>48160</v>
      </c>
      <c r="L375" s="311">
        <v>8089</v>
      </c>
      <c r="M375" s="352" t="s">
        <v>32</v>
      </c>
    </row>
    <row r="376" spans="1:13" ht="11.5" x14ac:dyDescent="0.25">
      <c r="A376" s="352">
        <v>375</v>
      </c>
      <c r="B376" s="312" t="s">
        <v>837</v>
      </c>
      <c r="C376" s="311">
        <v>29515</v>
      </c>
      <c r="D376" s="311">
        <v>562</v>
      </c>
      <c r="E376" s="311">
        <v>9512</v>
      </c>
      <c r="F376" s="311">
        <v>21044</v>
      </c>
      <c r="G376" s="311"/>
      <c r="H376" s="311"/>
      <c r="I376" s="411"/>
      <c r="J376" s="311">
        <v>5980</v>
      </c>
      <c r="K376" s="311">
        <v>16912</v>
      </c>
      <c r="L376" s="311">
        <v>6623</v>
      </c>
      <c r="M376" s="352" t="s">
        <v>32</v>
      </c>
    </row>
    <row r="377" spans="1:13" ht="11.5" x14ac:dyDescent="0.25">
      <c r="A377" s="352">
        <v>376</v>
      </c>
      <c r="B377" s="312" t="s">
        <v>838</v>
      </c>
      <c r="C377" s="311">
        <v>20296</v>
      </c>
      <c r="D377" s="311">
        <v>580</v>
      </c>
      <c r="E377" s="311">
        <v>8530</v>
      </c>
      <c r="F377" s="311">
        <v>24071</v>
      </c>
      <c r="G377" s="311"/>
      <c r="H377" s="311"/>
      <c r="I377" s="411"/>
      <c r="J377" s="311">
        <v>5127</v>
      </c>
      <c r="K377" s="311">
        <v>14702</v>
      </c>
      <c r="L377" s="311">
        <v>467</v>
      </c>
      <c r="M377" s="352" t="s">
        <v>32</v>
      </c>
    </row>
    <row r="378" spans="1:13" ht="11.5" x14ac:dyDescent="0.25">
      <c r="A378" s="352">
        <v>377</v>
      </c>
      <c r="B378" s="312" t="s">
        <v>836</v>
      </c>
      <c r="C378" s="311">
        <v>15891</v>
      </c>
      <c r="D378" s="311">
        <v>817</v>
      </c>
      <c r="E378" s="311">
        <v>9261</v>
      </c>
      <c r="F378" s="311">
        <v>17902</v>
      </c>
      <c r="G378" s="311"/>
      <c r="H378" s="311"/>
      <c r="I378" s="411"/>
      <c r="J378" s="311">
        <v>3516</v>
      </c>
      <c r="K378" s="311">
        <v>11339</v>
      </c>
      <c r="L378" s="311">
        <v>1036</v>
      </c>
      <c r="M378" s="352" t="s">
        <v>32</v>
      </c>
    </row>
    <row r="379" spans="1:13" ht="11.5" x14ac:dyDescent="0.25">
      <c r="A379" s="352">
        <v>378</v>
      </c>
      <c r="B379" s="312" t="s">
        <v>835</v>
      </c>
      <c r="C379" s="311">
        <v>10587</v>
      </c>
      <c r="D379" s="311">
        <v>683</v>
      </c>
      <c r="E379" s="311">
        <v>4007</v>
      </c>
      <c r="F379" s="311">
        <v>14096</v>
      </c>
      <c r="G379" s="311"/>
      <c r="H379" s="311"/>
      <c r="I379" s="411"/>
      <c r="J379" s="311">
        <v>4024</v>
      </c>
      <c r="K379" s="311">
        <v>5868</v>
      </c>
      <c r="L379" s="311">
        <v>695</v>
      </c>
      <c r="M379" s="352" t="s">
        <v>32</v>
      </c>
    </row>
    <row r="380" spans="1:13" ht="11.5" x14ac:dyDescent="0.25">
      <c r="A380" s="352">
        <v>379</v>
      </c>
      <c r="B380" s="312" t="s">
        <v>839</v>
      </c>
      <c r="C380" s="311">
        <v>10215</v>
      </c>
      <c r="D380" s="311">
        <v>686</v>
      </c>
      <c r="E380" s="311">
        <v>4282</v>
      </c>
      <c r="F380" s="311">
        <v>5421</v>
      </c>
      <c r="G380" s="311"/>
      <c r="H380" s="311"/>
      <c r="I380" s="411"/>
      <c r="J380" s="311">
        <v>3611</v>
      </c>
      <c r="K380" s="311">
        <v>6240</v>
      </c>
      <c r="L380" s="311">
        <v>364</v>
      </c>
      <c r="M380" s="352" t="s">
        <v>32</v>
      </c>
    </row>
    <row r="381" spans="1:13" ht="11.5" x14ac:dyDescent="0.25">
      <c r="A381" s="352">
        <v>380</v>
      </c>
      <c r="B381" s="312" t="s">
        <v>846</v>
      </c>
      <c r="C381" s="311">
        <v>6023</v>
      </c>
      <c r="D381" s="311">
        <v>996</v>
      </c>
      <c r="E381" s="311">
        <v>4819</v>
      </c>
      <c r="F381" s="311">
        <v>8399</v>
      </c>
      <c r="G381" s="311"/>
      <c r="H381" s="311"/>
      <c r="I381" s="411"/>
      <c r="J381" s="311">
        <v>715</v>
      </c>
      <c r="K381" s="311">
        <v>4838</v>
      </c>
      <c r="L381" s="311">
        <v>470</v>
      </c>
      <c r="M381" s="352" t="s">
        <v>32</v>
      </c>
    </row>
    <row r="382" spans="1:13" ht="11.5" x14ac:dyDescent="0.25">
      <c r="A382" s="352">
        <v>381</v>
      </c>
      <c r="B382" s="312" t="s">
        <v>843</v>
      </c>
      <c r="C382" s="311">
        <v>3974</v>
      </c>
      <c r="D382" s="311">
        <v>227</v>
      </c>
      <c r="E382" s="311">
        <v>587</v>
      </c>
      <c r="F382" s="311">
        <v>4505</v>
      </c>
      <c r="G382" s="311"/>
      <c r="H382" s="311"/>
      <c r="I382" s="411"/>
      <c r="J382" s="311">
        <v>1024</v>
      </c>
      <c r="K382" s="311">
        <v>2586</v>
      </c>
      <c r="L382" s="311">
        <v>364</v>
      </c>
      <c r="M382" s="352" t="s">
        <v>32</v>
      </c>
    </row>
    <row r="383" spans="1:13" ht="11.5" x14ac:dyDescent="0.25">
      <c r="A383" s="352">
        <v>382</v>
      </c>
      <c r="B383" s="312" t="s">
        <v>845</v>
      </c>
      <c r="C383" s="311">
        <v>3441</v>
      </c>
      <c r="D383" s="311">
        <v>69</v>
      </c>
      <c r="E383" s="311">
        <v>197</v>
      </c>
      <c r="F383" s="311">
        <v>2545</v>
      </c>
      <c r="G383" s="311"/>
      <c r="H383" s="311"/>
      <c r="I383" s="411"/>
      <c r="J383" s="311">
        <v>142</v>
      </c>
      <c r="K383" s="311">
        <v>2858</v>
      </c>
      <c r="L383" s="311">
        <v>441</v>
      </c>
      <c r="M383" s="352" t="s">
        <v>32</v>
      </c>
    </row>
    <row r="384" spans="1:13" ht="11.5" x14ac:dyDescent="0.25">
      <c r="A384" s="352">
        <v>383</v>
      </c>
      <c r="B384" s="312" t="s">
        <v>842</v>
      </c>
      <c r="C384" s="311">
        <v>3051</v>
      </c>
      <c r="D384" s="311">
        <v>145</v>
      </c>
      <c r="E384" s="311">
        <v>181</v>
      </c>
      <c r="F384" s="311">
        <v>3906</v>
      </c>
      <c r="G384" s="311"/>
      <c r="H384" s="311"/>
      <c r="I384" s="411"/>
      <c r="J384" s="311">
        <v>86</v>
      </c>
      <c r="K384" s="311">
        <v>1246</v>
      </c>
      <c r="L384" s="311">
        <v>1719</v>
      </c>
      <c r="M384" s="352" t="s">
        <v>32</v>
      </c>
    </row>
    <row r="385" spans="1:13" ht="11.5" x14ac:dyDescent="0.25">
      <c r="A385" s="352">
        <v>384</v>
      </c>
      <c r="B385" s="312" t="s">
        <v>849</v>
      </c>
      <c r="C385" s="311">
        <v>172</v>
      </c>
      <c r="D385" s="311">
        <v>526</v>
      </c>
      <c r="E385" s="311">
        <v>61</v>
      </c>
      <c r="F385" s="311">
        <v>521</v>
      </c>
      <c r="G385" s="311"/>
      <c r="H385" s="311"/>
      <c r="I385" s="411"/>
      <c r="J385" s="311">
        <v>37</v>
      </c>
      <c r="K385" s="311">
        <v>116</v>
      </c>
      <c r="L385" s="311">
        <v>19</v>
      </c>
      <c r="M385" s="352" t="s">
        <v>32</v>
      </c>
    </row>
    <row r="386" spans="1:13" ht="11.5" x14ac:dyDescent="0.25">
      <c r="A386" s="352">
        <v>385</v>
      </c>
      <c r="B386" s="312" t="s">
        <v>1327</v>
      </c>
      <c r="C386" s="311">
        <v>155</v>
      </c>
      <c r="D386" s="311">
        <v>360</v>
      </c>
      <c r="E386" s="311">
        <v>47</v>
      </c>
      <c r="F386" s="311">
        <v>275</v>
      </c>
      <c r="G386" s="311"/>
      <c r="H386" s="311"/>
      <c r="I386" s="411"/>
      <c r="J386" s="311">
        <v>10</v>
      </c>
      <c r="K386" s="311">
        <v>132</v>
      </c>
      <c r="L386" s="311">
        <v>14</v>
      </c>
      <c r="M386" s="352" t="s">
        <v>32</v>
      </c>
    </row>
    <row r="387" spans="1:13" ht="11.5" x14ac:dyDescent="0.25">
      <c r="A387" s="352">
        <v>386</v>
      </c>
      <c r="B387" s="312" t="s">
        <v>847</v>
      </c>
      <c r="C387" s="311">
        <v>69</v>
      </c>
      <c r="D387" s="311">
        <v>304</v>
      </c>
      <c r="E387" s="311">
        <v>9</v>
      </c>
      <c r="F387" s="311">
        <v>99</v>
      </c>
      <c r="G387" s="311"/>
      <c r="H387" s="311"/>
      <c r="I387" s="411"/>
      <c r="J387" s="311">
        <v>23</v>
      </c>
      <c r="K387" s="311">
        <v>28</v>
      </c>
      <c r="L387" s="311">
        <v>18</v>
      </c>
      <c r="M387" s="352" t="s">
        <v>32</v>
      </c>
    </row>
    <row r="388" spans="1:13" ht="11.5" x14ac:dyDescent="0.25">
      <c r="A388" s="352">
        <v>387</v>
      </c>
      <c r="B388" s="312" t="s">
        <v>848</v>
      </c>
      <c r="C388" s="311">
        <v>51</v>
      </c>
      <c r="D388" s="311">
        <v>660</v>
      </c>
      <c r="E388" s="311">
        <v>17</v>
      </c>
      <c r="F388" s="311">
        <v>46</v>
      </c>
      <c r="G388" s="311"/>
      <c r="H388" s="311"/>
      <c r="I388" s="411"/>
      <c r="J388" s="311">
        <v>3</v>
      </c>
      <c r="K388" s="311">
        <v>25</v>
      </c>
      <c r="L388" s="311">
        <v>24</v>
      </c>
      <c r="M388" s="352" t="s">
        <v>32</v>
      </c>
    </row>
    <row r="389" spans="1:13" ht="11.5" x14ac:dyDescent="0.25">
      <c r="A389" s="352">
        <v>388</v>
      </c>
      <c r="B389" s="312" t="s">
        <v>840</v>
      </c>
      <c r="C389" s="311">
        <v>20</v>
      </c>
      <c r="D389" s="311">
        <v>609</v>
      </c>
      <c r="E389" s="311">
        <v>8</v>
      </c>
      <c r="F389" s="311">
        <v>113</v>
      </c>
      <c r="G389" s="311"/>
      <c r="H389" s="311"/>
      <c r="I389" s="411"/>
      <c r="J389" s="411"/>
      <c r="K389" s="311">
        <v>14</v>
      </c>
      <c r="L389" s="311">
        <v>6</v>
      </c>
      <c r="M389" s="352" t="s">
        <v>32</v>
      </c>
    </row>
    <row r="390" spans="1:13" ht="14.5" customHeight="1" x14ac:dyDescent="0.25">
      <c r="A390" s="352">
        <v>389</v>
      </c>
      <c r="B390" s="305" t="s">
        <v>850</v>
      </c>
      <c r="C390" s="306">
        <v>38</v>
      </c>
      <c r="D390" s="306">
        <v>301</v>
      </c>
      <c r="E390" s="306">
        <v>7</v>
      </c>
      <c r="F390" s="306">
        <v>115</v>
      </c>
      <c r="G390" s="306"/>
      <c r="H390" s="306"/>
      <c r="I390" s="391"/>
      <c r="J390" s="306">
        <v>10</v>
      </c>
      <c r="K390" s="306">
        <v>22</v>
      </c>
      <c r="L390" s="306">
        <v>5</v>
      </c>
      <c r="M390" s="352" t="s">
        <v>33</v>
      </c>
    </row>
    <row r="391" spans="1:13" ht="11.5" x14ac:dyDescent="0.25">
      <c r="A391" s="352">
        <v>390</v>
      </c>
      <c r="B391" s="305" t="s">
        <v>852</v>
      </c>
      <c r="C391" s="306">
        <v>8153</v>
      </c>
      <c r="D391" s="306">
        <v>604</v>
      </c>
      <c r="E391" s="306">
        <v>3046</v>
      </c>
      <c r="F391" s="306">
        <v>12741</v>
      </c>
      <c r="G391" s="306"/>
      <c r="H391" s="306"/>
      <c r="I391" s="391"/>
      <c r="J391" s="306">
        <v>1215</v>
      </c>
      <c r="K391" s="306">
        <v>5045</v>
      </c>
      <c r="L391" s="306">
        <v>1893</v>
      </c>
      <c r="M391" s="352" t="s">
        <v>33</v>
      </c>
    </row>
    <row r="392" spans="1:13" ht="11.5" x14ac:dyDescent="0.25">
      <c r="A392" s="352">
        <v>391</v>
      </c>
      <c r="B392" s="305" t="s">
        <v>853</v>
      </c>
      <c r="C392" s="306">
        <v>5286</v>
      </c>
      <c r="D392" s="306">
        <v>786</v>
      </c>
      <c r="E392" s="306">
        <v>2897</v>
      </c>
      <c r="F392" s="306">
        <v>8067</v>
      </c>
      <c r="G392" s="306"/>
      <c r="H392" s="306"/>
      <c r="I392" s="391"/>
      <c r="J392" s="306">
        <v>1089</v>
      </c>
      <c r="K392" s="306">
        <v>3687</v>
      </c>
      <c r="L392" s="306">
        <v>509</v>
      </c>
      <c r="M392" s="352" t="s">
        <v>33</v>
      </c>
    </row>
    <row r="393" spans="1:13" ht="11.5" x14ac:dyDescent="0.25">
      <c r="A393" s="352">
        <v>392</v>
      </c>
      <c r="B393" s="305" t="s">
        <v>858</v>
      </c>
      <c r="C393" s="306">
        <v>5234</v>
      </c>
      <c r="D393" s="306">
        <v>211</v>
      </c>
      <c r="E393" s="306">
        <v>533</v>
      </c>
      <c r="F393" s="306">
        <v>3915</v>
      </c>
      <c r="G393" s="306"/>
      <c r="H393" s="306"/>
      <c r="I393" s="391"/>
      <c r="J393" s="306">
        <v>2612</v>
      </c>
      <c r="K393" s="306">
        <v>2523</v>
      </c>
      <c r="L393" s="306">
        <v>100</v>
      </c>
      <c r="M393" s="352" t="s">
        <v>33</v>
      </c>
    </row>
    <row r="394" spans="1:13" ht="11.5" x14ac:dyDescent="0.25">
      <c r="A394" s="352">
        <v>393</v>
      </c>
      <c r="B394" s="305" t="s">
        <v>855</v>
      </c>
      <c r="C394" s="306">
        <v>4066</v>
      </c>
      <c r="D394" s="306">
        <v>488</v>
      </c>
      <c r="E394" s="306">
        <v>1311</v>
      </c>
      <c r="F394" s="306">
        <v>2771</v>
      </c>
      <c r="G394" s="306"/>
      <c r="H394" s="306"/>
      <c r="I394" s="391"/>
      <c r="J394" s="306">
        <v>806</v>
      </c>
      <c r="K394" s="306">
        <v>2683</v>
      </c>
      <c r="L394" s="306">
        <v>578</v>
      </c>
      <c r="M394" s="352" t="s">
        <v>33</v>
      </c>
    </row>
    <row r="395" spans="1:13" ht="11.5" x14ac:dyDescent="0.25">
      <c r="A395" s="352">
        <v>394</v>
      </c>
      <c r="B395" s="305" t="s">
        <v>856</v>
      </c>
      <c r="C395" s="306">
        <v>1005</v>
      </c>
      <c r="D395" s="306">
        <v>508</v>
      </c>
      <c r="E395" s="306">
        <v>371</v>
      </c>
      <c r="F395" s="306">
        <v>4583</v>
      </c>
      <c r="G395" s="306"/>
      <c r="H395" s="306"/>
      <c r="I395" s="391"/>
      <c r="J395" s="306">
        <v>157</v>
      </c>
      <c r="K395" s="306">
        <v>730</v>
      </c>
      <c r="L395" s="306">
        <v>118</v>
      </c>
      <c r="M395" s="352" t="s">
        <v>33</v>
      </c>
    </row>
    <row r="396" spans="1:13" ht="11.5" x14ac:dyDescent="0.25">
      <c r="A396" s="352">
        <v>395</v>
      </c>
      <c r="B396" s="305" t="s">
        <v>859</v>
      </c>
      <c r="C396" s="306">
        <v>188</v>
      </c>
      <c r="D396" s="306">
        <v>725</v>
      </c>
      <c r="E396" s="306">
        <v>53</v>
      </c>
      <c r="F396" s="306">
        <v>258</v>
      </c>
      <c r="G396" s="306"/>
      <c r="H396" s="306"/>
      <c r="I396" s="391"/>
      <c r="J396" s="306">
        <v>39</v>
      </c>
      <c r="K396" s="306">
        <v>73</v>
      </c>
      <c r="L396" s="306">
        <v>76</v>
      </c>
      <c r="M396" s="352" t="s">
        <v>33</v>
      </c>
    </row>
    <row r="397" spans="1:13" ht="11.5" x14ac:dyDescent="0.25">
      <c r="A397" s="352">
        <v>396</v>
      </c>
      <c r="B397" s="305" t="s">
        <v>857</v>
      </c>
      <c r="C397" s="306">
        <v>71</v>
      </c>
      <c r="D397" s="306">
        <v>456</v>
      </c>
      <c r="E397" s="306">
        <v>14</v>
      </c>
      <c r="F397" s="306">
        <v>109</v>
      </c>
      <c r="G397" s="306"/>
      <c r="H397" s="306"/>
      <c r="I397" s="391"/>
      <c r="J397" s="306">
        <v>21</v>
      </c>
      <c r="K397" s="306">
        <v>31</v>
      </c>
      <c r="L397" s="306">
        <v>19</v>
      </c>
      <c r="M397" s="352" t="s">
        <v>33</v>
      </c>
    </row>
    <row r="398" spans="1:13" ht="11.5" x14ac:dyDescent="0.25">
      <c r="A398" s="352">
        <v>397</v>
      </c>
      <c r="B398" s="305" t="s">
        <v>851</v>
      </c>
      <c r="C398" s="306">
        <v>3</v>
      </c>
      <c r="D398" s="306">
        <v>668</v>
      </c>
      <c r="E398" s="306">
        <v>1</v>
      </c>
      <c r="F398" s="306">
        <v>27</v>
      </c>
      <c r="G398" s="306"/>
      <c r="H398" s="306"/>
      <c r="I398" s="391"/>
      <c r="J398" s="306">
        <v>0</v>
      </c>
      <c r="K398" s="306">
        <v>2</v>
      </c>
      <c r="L398" s="306">
        <v>1</v>
      </c>
      <c r="M398" s="352" t="s">
        <v>33</v>
      </c>
    </row>
    <row r="399" spans="1:13" ht="11.5" x14ac:dyDescent="0.25">
      <c r="A399" s="352">
        <v>398</v>
      </c>
      <c r="B399" s="305" t="s">
        <v>854</v>
      </c>
      <c r="C399" s="306">
        <v>1</v>
      </c>
      <c r="D399" s="306">
        <v>615</v>
      </c>
      <c r="E399" s="306">
        <v>0</v>
      </c>
      <c r="F399" s="306">
        <v>10</v>
      </c>
      <c r="G399" s="306"/>
      <c r="H399" s="306"/>
      <c r="I399" s="391"/>
      <c r="J399" s="306">
        <v>0</v>
      </c>
      <c r="K399" s="306">
        <v>1</v>
      </c>
      <c r="L399" s="391"/>
      <c r="M399" s="352" t="s">
        <v>33</v>
      </c>
    </row>
    <row r="400" spans="1:13" ht="11.5" x14ac:dyDescent="0.25">
      <c r="A400" s="352">
        <v>399</v>
      </c>
      <c r="B400" s="305" t="s">
        <v>860</v>
      </c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52" t="s">
        <v>33</v>
      </c>
    </row>
    <row r="401" spans="1:13" ht="11.5" x14ac:dyDescent="0.25">
      <c r="A401" s="352">
        <v>400</v>
      </c>
      <c r="B401" s="284" t="s">
        <v>861</v>
      </c>
      <c r="C401" s="283">
        <v>4360</v>
      </c>
      <c r="D401" s="283">
        <v>710</v>
      </c>
      <c r="E401" s="283">
        <v>1847</v>
      </c>
      <c r="F401" s="283">
        <v>2889</v>
      </c>
      <c r="G401" s="283"/>
      <c r="H401" s="283"/>
      <c r="I401" s="384"/>
      <c r="J401" s="283">
        <v>1524</v>
      </c>
      <c r="K401" s="283">
        <v>2602</v>
      </c>
      <c r="L401" s="283">
        <v>234</v>
      </c>
      <c r="M401" s="352" t="s">
        <v>34</v>
      </c>
    </row>
    <row r="402" spans="1:13" ht="11.5" x14ac:dyDescent="0.25">
      <c r="A402" s="352">
        <v>401</v>
      </c>
      <c r="B402" s="284" t="s">
        <v>865</v>
      </c>
      <c r="C402" s="283">
        <v>5298</v>
      </c>
      <c r="D402" s="283">
        <v>510</v>
      </c>
      <c r="E402" s="283">
        <v>1206</v>
      </c>
      <c r="F402" s="283">
        <v>5328</v>
      </c>
      <c r="G402" s="283"/>
      <c r="H402" s="283"/>
      <c r="I402" s="384"/>
      <c r="J402" s="283">
        <v>923</v>
      </c>
      <c r="K402" s="283">
        <v>2362</v>
      </c>
      <c r="L402" s="283">
        <v>2013</v>
      </c>
      <c r="M402" s="352" t="s">
        <v>34</v>
      </c>
    </row>
    <row r="403" spans="1:13" ht="11.5" x14ac:dyDescent="0.25">
      <c r="A403" s="352">
        <v>402</v>
      </c>
      <c r="B403" s="284" t="s">
        <v>864</v>
      </c>
      <c r="C403" s="283">
        <v>4120</v>
      </c>
      <c r="D403" s="283">
        <v>1194</v>
      </c>
      <c r="E403" s="283">
        <v>2195</v>
      </c>
      <c r="F403" s="283">
        <v>3458</v>
      </c>
      <c r="G403" s="283"/>
      <c r="H403" s="283"/>
      <c r="I403" s="384"/>
      <c r="J403" s="283">
        <v>1851</v>
      </c>
      <c r="K403" s="283">
        <v>1838</v>
      </c>
      <c r="L403" s="283">
        <v>431</v>
      </c>
      <c r="M403" s="352" t="s">
        <v>34</v>
      </c>
    </row>
    <row r="404" spans="1:13" ht="11.5" x14ac:dyDescent="0.25">
      <c r="A404" s="352">
        <v>403</v>
      </c>
      <c r="B404" s="284" t="s">
        <v>868</v>
      </c>
      <c r="C404" s="283">
        <v>3784</v>
      </c>
      <c r="D404" s="283">
        <v>1078</v>
      </c>
      <c r="E404" s="283">
        <v>2864</v>
      </c>
      <c r="F404" s="283">
        <v>1385</v>
      </c>
      <c r="G404" s="283"/>
      <c r="H404" s="283"/>
      <c r="I404" s="384"/>
      <c r="J404" s="283">
        <v>874</v>
      </c>
      <c r="K404" s="283">
        <v>2657</v>
      </c>
      <c r="L404" s="283">
        <v>253</v>
      </c>
      <c r="M404" s="352" t="s">
        <v>34</v>
      </c>
    </row>
    <row r="405" spans="1:13" ht="11.5" x14ac:dyDescent="0.25">
      <c r="A405" s="352">
        <v>404</v>
      </c>
      <c r="B405" s="284" t="s">
        <v>862</v>
      </c>
      <c r="C405" s="283">
        <v>3418</v>
      </c>
      <c r="D405" s="283">
        <v>190</v>
      </c>
      <c r="E405" s="283">
        <v>406</v>
      </c>
      <c r="F405" s="283">
        <v>2678</v>
      </c>
      <c r="G405" s="283"/>
      <c r="H405" s="283"/>
      <c r="I405" s="384"/>
      <c r="J405" s="283">
        <v>915</v>
      </c>
      <c r="K405" s="283">
        <v>2136</v>
      </c>
      <c r="L405" s="283">
        <v>367</v>
      </c>
      <c r="M405" s="352" t="s">
        <v>34</v>
      </c>
    </row>
    <row r="406" spans="1:13" ht="11.5" x14ac:dyDescent="0.25">
      <c r="A406" s="352">
        <v>405</v>
      </c>
      <c r="B406" s="284" t="s">
        <v>863</v>
      </c>
      <c r="C406" s="283">
        <v>2127</v>
      </c>
      <c r="D406" s="283">
        <v>850</v>
      </c>
      <c r="E406" s="283">
        <v>986</v>
      </c>
      <c r="F406" s="283">
        <v>2401</v>
      </c>
      <c r="G406" s="283"/>
      <c r="H406" s="283"/>
      <c r="I406" s="384"/>
      <c r="J406" s="283">
        <v>303</v>
      </c>
      <c r="K406" s="283">
        <v>1160</v>
      </c>
      <c r="L406" s="283">
        <v>664</v>
      </c>
      <c r="M406" s="352" t="s">
        <v>34</v>
      </c>
    </row>
    <row r="407" spans="1:13" ht="11.5" x14ac:dyDescent="0.25">
      <c r="A407" s="352">
        <v>406</v>
      </c>
      <c r="B407" s="284" t="s">
        <v>867</v>
      </c>
      <c r="C407" s="283">
        <v>1018</v>
      </c>
      <c r="D407" s="384"/>
      <c r="E407" s="384"/>
      <c r="F407" s="283">
        <v>2417</v>
      </c>
      <c r="G407" s="384"/>
      <c r="H407" s="384"/>
      <c r="I407" s="384"/>
      <c r="J407" s="384"/>
      <c r="K407" s="384"/>
      <c r="L407" s="283">
        <v>1018</v>
      </c>
      <c r="M407" s="352" t="s">
        <v>34</v>
      </c>
    </row>
    <row r="408" spans="1:13" ht="11.5" x14ac:dyDescent="0.25">
      <c r="A408" s="352">
        <v>407</v>
      </c>
      <c r="B408" s="284" t="s">
        <v>870</v>
      </c>
      <c r="C408" s="283">
        <v>413</v>
      </c>
      <c r="D408" s="283">
        <v>193</v>
      </c>
      <c r="E408" s="283">
        <v>68</v>
      </c>
      <c r="F408" s="283">
        <v>757</v>
      </c>
      <c r="G408" s="283"/>
      <c r="H408" s="283"/>
      <c r="I408" s="384"/>
      <c r="J408" s="283">
        <v>60</v>
      </c>
      <c r="K408" s="283">
        <v>353</v>
      </c>
      <c r="L408" s="384"/>
      <c r="M408" s="352" t="s">
        <v>34</v>
      </c>
    </row>
    <row r="409" spans="1:13" ht="11.5" x14ac:dyDescent="0.25">
      <c r="A409" s="352">
        <v>408</v>
      </c>
      <c r="B409" s="284" t="s">
        <v>866</v>
      </c>
      <c r="C409" s="283">
        <v>368</v>
      </c>
      <c r="D409" s="283">
        <v>49</v>
      </c>
      <c r="E409" s="283">
        <v>3</v>
      </c>
      <c r="F409" s="283">
        <v>85</v>
      </c>
      <c r="G409" s="283"/>
      <c r="H409" s="283"/>
      <c r="I409" s="384"/>
      <c r="J409" s="283">
        <v>266</v>
      </c>
      <c r="K409" s="283">
        <v>61</v>
      </c>
      <c r="L409" s="283">
        <v>41</v>
      </c>
      <c r="M409" s="352" t="s">
        <v>34</v>
      </c>
    </row>
    <row r="410" spans="1:13" ht="11.5" x14ac:dyDescent="0.25">
      <c r="A410" s="352">
        <v>409</v>
      </c>
      <c r="B410" s="284" t="s">
        <v>869</v>
      </c>
      <c r="C410" s="283">
        <v>27</v>
      </c>
      <c r="D410" s="283">
        <v>2250</v>
      </c>
      <c r="E410" s="283">
        <v>9</v>
      </c>
      <c r="F410" s="283">
        <v>25</v>
      </c>
      <c r="G410" s="283"/>
      <c r="H410" s="283"/>
      <c r="I410" s="384"/>
      <c r="J410" s="283">
        <v>5</v>
      </c>
      <c r="K410" s="283">
        <v>4</v>
      </c>
      <c r="L410" s="283">
        <v>18</v>
      </c>
      <c r="M410" s="352" t="s">
        <v>34</v>
      </c>
    </row>
    <row r="411" spans="1:13" ht="11.5" x14ac:dyDescent="0.25">
      <c r="A411" s="352">
        <v>410</v>
      </c>
      <c r="B411" s="309" t="s">
        <v>871</v>
      </c>
      <c r="C411" s="308">
        <v>14277</v>
      </c>
      <c r="D411" s="308">
        <v>761</v>
      </c>
      <c r="E411" s="308">
        <v>5463</v>
      </c>
      <c r="F411" s="308">
        <v>14452</v>
      </c>
      <c r="G411" s="308"/>
      <c r="H411" s="308"/>
      <c r="I411" s="407"/>
      <c r="J411" s="308">
        <v>5975</v>
      </c>
      <c r="K411" s="308">
        <v>7179</v>
      </c>
      <c r="L411" s="308">
        <v>1123</v>
      </c>
      <c r="M411" s="352" t="s">
        <v>35</v>
      </c>
    </row>
    <row r="412" spans="1:13" ht="11.5" x14ac:dyDescent="0.25">
      <c r="A412" s="352">
        <v>411</v>
      </c>
      <c r="B412" s="309" t="s">
        <v>882</v>
      </c>
      <c r="C412" s="308">
        <v>8498</v>
      </c>
      <c r="D412" s="308">
        <v>405</v>
      </c>
      <c r="E412" s="308">
        <v>2304</v>
      </c>
      <c r="F412" s="308">
        <v>9611</v>
      </c>
      <c r="G412" s="308"/>
      <c r="H412" s="308"/>
      <c r="I412" s="407"/>
      <c r="J412" s="308">
        <v>1492</v>
      </c>
      <c r="K412" s="308">
        <v>5682</v>
      </c>
      <c r="L412" s="308">
        <v>1324</v>
      </c>
      <c r="M412" s="352" t="s">
        <v>35</v>
      </c>
    </row>
    <row r="413" spans="1:13" ht="11.5" x14ac:dyDescent="0.25">
      <c r="A413" s="352">
        <v>412</v>
      </c>
      <c r="B413" s="309" t="s">
        <v>881</v>
      </c>
      <c r="C413" s="308">
        <v>3686</v>
      </c>
      <c r="D413" s="308">
        <v>713</v>
      </c>
      <c r="E413" s="308">
        <v>937</v>
      </c>
      <c r="F413" s="308">
        <v>3540</v>
      </c>
      <c r="G413" s="308"/>
      <c r="H413" s="308"/>
      <c r="I413" s="407"/>
      <c r="J413" s="308">
        <v>987</v>
      </c>
      <c r="K413" s="308">
        <v>1314</v>
      </c>
      <c r="L413" s="308">
        <v>1385</v>
      </c>
      <c r="M413" s="352" t="s">
        <v>35</v>
      </c>
    </row>
    <row r="414" spans="1:13" ht="11.5" x14ac:dyDescent="0.25">
      <c r="A414" s="352">
        <v>413</v>
      </c>
      <c r="B414" s="309" t="s">
        <v>872</v>
      </c>
      <c r="C414" s="308">
        <v>3031</v>
      </c>
      <c r="D414" s="308">
        <v>551</v>
      </c>
      <c r="E414" s="308">
        <v>793</v>
      </c>
      <c r="F414" s="308">
        <v>4435</v>
      </c>
      <c r="G414" s="308"/>
      <c r="H414" s="308"/>
      <c r="I414" s="407"/>
      <c r="J414" s="308">
        <v>375</v>
      </c>
      <c r="K414" s="308">
        <v>1440</v>
      </c>
      <c r="L414" s="308">
        <v>1216</v>
      </c>
      <c r="M414" s="352" t="s">
        <v>35</v>
      </c>
    </row>
    <row r="415" spans="1:13" ht="11.5" x14ac:dyDescent="0.25">
      <c r="A415" s="352">
        <v>414</v>
      </c>
      <c r="B415" s="309" t="s">
        <v>873</v>
      </c>
      <c r="C415" s="308">
        <v>2075</v>
      </c>
      <c r="D415" s="308">
        <v>638</v>
      </c>
      <c r="E415" s="308">
        <v>372</v>
      </c>
      <c r="F415" s="308">
        <v>2671</v>
      </c>
      <c r="G415" s="308"/>
      <c r="H415" s="308"/>
      <c r="I415" s="407"/>
      <c r="J415" s="308">
        <v>689</v>
      </c>
      <c r="K415" s="308">
        <v>583</v>
      </c>
      <c r="L415" s="308">
        <v>803</v>
      </c>
      <c r="M415" s="352" t="s">
        <v>35</v>
      </c>
    </row>
    <row r="416" spans="1:13" ht="11.5" x14ac:dyDescent="0.25">
      <c r="A416" s="352">
        <v>415</v>
      </c>
      <c r="B416" s="309" t="s">
        <v>885</v>
      </c>
      <c r="C416" s="308">
        <v>1213</v>
      </c>
      <c r="D416" s="308">
        <v>712</v>
      </c>
      <c r="E416" s="443">
        <v>472</v>
      </c>
      <c r="F416" s="308">
        <v>871</v>
      </c>
      <c r="G416" s="308"/>
      <c r="H416" s="308"/>
      <c r="I416" s="407"/>
      <c r="J416" s="308">
        <v>375</v>
      </c>
      <c r="K416" s="308">
        <v>663</v>
      </c>
      <c r="L416" s="308">
        <v>175</v>
      </c>
      <c r="M416" s="352" t="s">
        <v>35</v>
      </c>
    </row>
    <row r="417" spans="1:13" ht="11.5" x14ac:dyDescent="0.25">
      <c r="A417" s="352">
        <v>416</v>
      </c>
      <c r="B417" s="309" t="s">
        <v>883</v>
      </c>
      <c r="C417" s="308">
        <v>940</v>
      </c>
      <c r="D417" s="308">
        <v>457</v>
      </c>
      <c r="E417" s="308">
        <v>384</v>
      </c>
      <c r="F417" s="308">
        <v>1250</v>
      </c>
      <c r="G417" s="308"/>
      <c r="H417" s="308"/>
      <c r="I417" s="407"/>
      <c r="J417" s="308">
        <v>15</v>
      </c>
      <c r="K417" s="308">
        <v>840</v>
      </c>
      <c r="L417" s="308">
        <v>85</v>
      </c>
      <c r="M417" s="352" t="s">
        <v>35</v>
      </c>
    </row>
    <row r="418" spans="1:13" ht="11.5" x14ac:dyDescent="0.25">
      <c r="A418" s="352">
        <v>417</v>
      </c>
      <c r="B418" s="309" t="s">
        <v>874</v>
      </c>
      <c r="C418" s="308">
        <v>373</v>
      </c>
      <c r="D418" s="308">
        <v>276</v>
      </c>
      <c r="E418" s="308">
        <v>53</v>
      </c>
      <c r="F418" s="308">
        <v>260</v>
      </c>
      <c r="G418" s="308"/>
      <c r="H418" s="308"/>
      <c r="I418" s="407"/>
      <c r="J418" s="308">
        <v>141</v>
      </c>
      <c r="K418" s="308">
        <v>192</v>
      </c>
      <c r="L418" s="308">
        <v>40</v>
      </c>
      <c r="M418" s="352" t="s">
        <v>35</v>
      </c>
    </row>
    <row r="419" spans="1:13" ht="11.5" x14ac:dyDescent="0.25">
      <c r="A419" s="352">
        <v>418</v>
      </c>
      <c r="B419" s="309" t="s">
        <v>884</v>
      </c>
      <c r="C419" s="308">
        <v>211</v>
      </c>
      <c r="D419" s="308">
        <v>418</v>
      </c>
      <c r="E419" s="308">
        <v>28</v>
      </c>
      <c r="F419" s="308">
        <v>301</v>
      </c>
      <c r="G419" s="308"/>
      <c r="H419" s="308"/>
      <c r="I419" s="407"/>
      <c r="J419" s="308">
        <v>94</v>
      </c>
      <c r="K419" s="308">
        <v>67</v>
      </c>
      <c r="L419" s="308">
        <v>50</v>
      </c>
      <c r="M419" s="352" t="s">
        <v>35</v>
      </c>
    </row>
    <row r="420" spans="1:13" ht="14.5" customHeight="1" x14ac:dyDescent="0.25">
      <c r="A420" s="352">
        <v>419</v>
      </c>
      <c r="B420" s="309" t="s">
        <v>876</v>
      </c>
      <c r="C420" s="308">
        <v>84</v>
      </c>
      <c r="D420" s="308">
        <v>386</v>
      </c>
      <c r="E420" s="308">
        <v>17</v>
      </c>
      <c r="F420" s="308">
        <v>78</v>
      </c>
      <c r="G420" s="308"/>
      <c r="H420" s="308"/>
      <c r="I420" s="407"/>
      <c r="J420" s="308">
        <v>29</v>
      </c>
      <c r="K420" s="308">
        <v>44</v>
      </c>
      <c r="L420" s="308">
        <v>11</v>
      </c>
      <c r="M420" s="352" t="s">
        <v>35</v>
      </c>
    </row>
    <row r="421" spans="1:13" ht="11.5" x14ac:dyDescent="0.25">
      <c r="A421" s="352">
        <v>420</v>
      </c>
      <c r="B421" s="309" t="s">
        <v>878</v>
      </c>
      <c r="C421" s="308">
        <v>47</v>
      </c>
      <c r="D421" s="308">
        <v>216</v>
      </c>
      <c r="E421" s="308">
        <v>8</v>
      </c>
      <c r="F421" s="308">
        <v>64</v>
      </c>
      <c r="G421" s="308"/>
      <c r="H421" s="308"/>
      <c r="I421" s="407"/>
      <c r="J421" s="407"/>
      <c r="K421" s="308">
        <v>37</v>
      </c>
      <c r="L421" s="308">
        <v>10</v>
      </c>
      <c r="M421" s="352" t="s">
        <v>35</v>
      </c>
    </row>
    <row r="422" spans="1:13" ht="11.5" x14ac:dyDescent="0.25">
      <c r="A422" s="352">
        <v>421</v>
      </c>
      <c r="B422" s="309" t="s">
        <v>877</v>
      </c>
      <c r="C422" s="308">
        <v>40</v>
      </c>
      <c r="D422" s="308">
        <v>364</v>
      </c>
      <c r="E422" s="308">
        <v>4</v>
      </c>
      <c r="F422" s="308">
        <v>58</v>
      </c>
      <c r="G422" s="308"/>
      <c r="H422" s="308"/>
      <c r="I422" s="407"/>
      <c r="J422" s="308">
        <v>19</v>
      </c>
      <c r="K422" s="308">
        <v>11</v>
      </c>
      <c r="L422" s="308">
        <v>10</v>
      </c>
      <c r="M422" s="352" t="s">
        <v>35</v>
      </c>
    </row>
    <row r="423" spans="1:13" ht="11.5" x14ac:dyDescent="0.25">
      <c r="A423" s="352">
        <v>422</v>
      </c>
      <c r="B423" s="309" t="s">
        <v>880</v>
      </c>
      <c r="C423" s="308">
        <v>25</v>
      </c>
      <c r="D423" s="308">
        <v>400</v>
      </c>
      <c r="E423" s="308">
        <v>6</v>
      </c>
      <c r="F423" s="308">
        <v>64</v>
      </c>
      <c r="G423" s="308"/>
      <c r="H423" s="308"/>
      <c r="I423" s="407"/>
      <c r="J423" s="308">
        <v>10</v>
      </c>
      <c r="K423" s="308">
        <v>15</v>
      </c>
      <c r="L423" s="407"/>
      <c r="M423" s="352" t="s">
        <v>35</v>
      </c>
    </row>
    <row r="424" spans="1:13" ht="11.5" x14ac:dyDescent="0.25">
      <c r="A424" s="352">
        <v>423</v>
      </c>
      <c r="B424" s="309" t="s">
        <v>875</v>
      </c>
      <c r="C424" s="407"/>
      <c r="D424" s="407"/>
      <c r="E424" s="407"/>
      <c r="F424" s="407"/>
      <c r="G424" s="407"/>
      <c r="H424" s="407"/>
      <c r="I424" s="407"/>
      <c r="J424" s="407"/>
      <c r="K424" s="407"/>
      <c r="L424" s="407"/>
      <c r="M424" s="352" t="s">
        <v>35</v>
      </c>
    </row>
    <row r="425" spans="1:13" ht="11.5" x14ac:dyDescent="0.25">
      <c r="A425" s="352">
        <v>424</v>
      </c>
      <c r="B425" s="309" t="s">
        <v>879</v>
      </c>
      <c r="C425" s="407"/>
      <c r="D425" s="407"/>
      <c r="E425" s="407"/>
      <c r="F425" s="407"/>
      <c r="G425" s="407"/>
      <c r="H425" s="407"/>
      <c r="I425" s="407"/>
      <c r="J425" s="407"/>
      <c r="K425" s="407"/>
      <c r="L425" s="407"/>
      <c r="M425" s="352" t="s">
        <v>35</v>
      </c>
    </row>
    <row r="426" spans="1:13" ht="11.5" x14ac:dyDescent="0.25">
      <c r="A426" s="352">
        <v>425</v>
      </c>
      <c r="B426" s="312" t="s">
        <v>1328</v>
      </c>
      <c r="C426" s="311">
        <v>112</v>
      </c>
      <c r="D426" s="311">
        <v>290</v>
      </c>
      <c r="E426" s="311">
        <v>9</v>
      </c>
      <c r="F426" s="311">
        <v>153</v>
      </c>
      <c r="G426" s="311"/>
      <c r="H426" s="311"/>
      <c r="I426" s="411"/>
      <c r="J426" s="411"/>
      <c r="K426" s="311">
        <v>31</v>
      </c>
      <c r="L426" s="311">
        <v>81</v>
      </c>
      <c r="M426" s="352" t="s">
        <v>36</v>
      </c>
    </row>
    <row r="427" spans="1:13" ht="11.5" x14ac:dyDescent="0.25">
      <c r="A427" s="352">
        <v>426</v>
      </c>
      <c r="B427" s="312" t="s">
        <v>889</v>
      </c>
      <c r="C427" s="311">
        <v>4017</v>
      </c>
      <c r="D427" s="311">
        <v>595</v>
      </c>
      <c r="E427" s="311">
        <v>1751</v>
      </c>
      <c r="F427" s="311">
        <v>2393</v>
      </c>
      <c r="G427" s="311"/>
      <c r="H427" s="311"/>
      <c r="I427" s="411"/>
      <c r="J427" s="311">
        <v>60</v>
      </c>
      <c r="K427" s="311">
        <v>2945</v>
      </c>
      <c r="L427" s="311">
        <v>1012</v>
      </c>
      <c r="M427" s="352" t="s">
        <v>36</v>
      </c>
    </row>
    <row r="428" spans="1:13" ht="11.5" x14ac:dyDescent="0.25">
      <c r="A428" s="352">
        <v>427</v>
      </c>
      <c r="B428" s="312" t="s">
        <v>895</v>
      </c>
      <c r="C428" s="311">
        <v>3503</v>
      </c>
      <c r="D428" s="311">
        <v>835</v>
      </c>
      <c r="E428" s="311">
        <v>1010</v>
      </c>
      <c r="F428" s="311">
        <v>560</v>
      </c>
      <c r="G428" s="311"/>
      <c r="H428" s="311"/>
      <c r="I428" s="411"/>
      <c r="J428" s="311">
        <v>15</v>
      </c>
      <c r="K428" s="311">
        <v>1209</v>
      </c>
      <c r="L428" s="311">
        <v>2279</v>
      </c>
      <c r="M428" s="352" t="s">
        <v>36</v>
      </c>
    </row>
    <row r="429" spans="1:13" ht="11.5" x14ac:dyDescent="0.25">
      <c r="A429" s="352">
        <v>428</v>
      </c>
      <c r="B429" s="312" t="s">
        <v>891</v>
      </c>
      <c r="C429" s="311">
        <v>1880</v>
      </c>
      <c r="D429" s="311">
        <v>720</v>
      </c>
      <c r="E429" s="311">
        <v>510</v>
      </c>
      <c r="F429" s="311">
        <v>2609</v>
      </c>
      <c r="G429" s="311"/>
      <c r="H429" s="311"/>
      <c r="I429" s="411"/>
      <c r="J429" s="311">
        <v>50</v>
      </c>
      <c r="K429" s="311">
        <v>708</v>
      </c>
      <c r="L429" s="311">
        <v>1122</v>
      </c>
      <c r="M429" s="352" t="s">
        <v>36</v>
      </c>
    </row>
    <row r="430" spans="1:13" ht="11.5" x14ac:dyDescent="0.25">
      <c r="A430" s="352">
        <v>429</v>
      </c>
      <c r="B430" s="312" t="s">
        <v>892</v>
      </c>
      <c r="C430" s="311">
        <v>1458</v>
      </c>
      <c r="D430" s="311">
        <v>990</v>
      </c>
      <c r="E430" s="311">
        <v>1</v>
      </c>
      <c r="F430" s="311">
        <v>903</v>
      </c>
      <c r="G430" s="311"/>
      <c r="H430" s="311"/>
      <c r="I430" s="411"/>
      <c r="J430" s="411"/>
      <c r="K430" s="311">
        <v>1010</v>
      </c>
      <c r="L430" s="311">
        <v>448</v>
      </c>
      <c r="M430" s="352" t="s">
        <v>36</v>
      </c>
    </row>
    <row r="431" spans="1:13" ht="11.5" x14ac:dyDescent="0.25">
      <c r="A431" s="352">
        <v>430</v>
      </c>
      <c r="B431" s="312" t="s">
        <v>893</v>
      </c>
      <c r="C431" s="311">
        <v>1281</v>
      </c>
      <c r="D431" s="311">
        <v>533</v>
      </c>
      <c r="E431" s="311">
        <v>415</v>
      </c>
      <c r="F431" s="311">
        <v>871</v>
      </c>
      <c r="G431" s="311"/>
      <c r="H431" s="311"/>
      <c r="I431" s="411"/>
      <c r="J431" s="411"/>
      <c r="K431" s="311">
        <v>779</v>
      </c>
      <c r="L431" s="311">
        <v>502</v>
      </c>
      <c r="M431" s="352" t="s">
        <v>36</v>
      </c>
    </row>
    <row r="432" spans="1:13" ht="11.5" x14ac:dyDescent="0.25">
      <c r="A432" s="352">
        <v>431</v>
      </c>
      <c r="B432" s="312" t="s">
        <v>890</v>
      </c>
      <c r="C432" s="311">
        <v>977</v>
      </c>
      <c r="D432" s="311">
        <v>626</v>
      </c>
      <c r="E432" s="311">
        <v>280</v>
      </c>
      <c r="F432" s="311">
        <v>1235</v>
      </c>
      <c r="G432" s="311"/>
      <c r="H432" s="311"/>
      <c r="I432" s="411"/>
      <c r="J432" s="411"/>
      <c r="K432" s="311">
        <v>447</v>
      </c>
      <c r="L432" s="311">
        <v>530</v>
      </c>
      <c r="M432" s="352" t="s">
        <v>36</v>
      </c>
    </row>
    <row r="433" spans="1:13" ht="11.5" x14ac:dyDescent="0.25">
      <c r="A433" s="352">
        <v>432</v>
      </c>
      <c r="B433" s="312" t="s">
        <v>887</v>
      </c>
      <c r="C433" s="311">
        <v>739</v>
      </c>
      <c r="D433" s="311">
        <v>257</v>
      </c>
      <c r="E433" s="311">
        <v>119</v>
      </c>
      <c r="F433" s="311">
        <v>345</v>
      </c>
      <c r="G433" s="311"/>
      <c r="H433" s="311"/>
      <c r="I433" s="411"/>
      <c r="J433" s="411"/>
      <c r="K433" s="311">
        <v>463</v>
      </c>
      <c r="L433" s="311">
        <v>276</v>
      </c>
      <c r="M433" s="352" t="s">
        <v>36</v>
      </c>
    </row>
    <row r="434" spans="1:13" ht="11.5" x14ac:dyDescent="0.25">
      <c r="A434" s="352">
        <v>433</v>
      </c>
      <c r="B434" s="312" t="s">
        <v>888</v>
      </c>
      <c r="C434" s="311">
        <v>293</v>
      </c>
      <c r="D434" s="311">
        <v>548</v>
      </c>
      <c r="E434" s="311">
        <v>125</v>
      </c>
      <c r="F434" s="311">
        <v>350</v>
      </c>
      <c r="G434" s="311"/>
      <c r="H434" s="311"/>
      <c r="I434" s="411"/>
      <c r="J434" s="411"/>
      <c r="K434" s="311">
        <v>228</v>
      </c>
      <c r="L434" s="311">
        <v>65</v>
      </c>
      <c r="M434" s="352" t="s">
        <v>36</v>
      </c>
    </row>
    <row r="435" spans="1:13" ht="11.5" x14ac:dyDescent="0.25">
      <c r="A435" s="352">
        <v>434</v>
      </c>
      <c r="B435" s="312" t="s">
        <v>886</v>
      </c>
      <c r="C435" s="311">
        <v>79</v>
      </c>
      <c r="D435" s="311">
        <v>103</v>
      </c>
      <c r="E435" s="311">
        <v>6</v>
      </c>
      <c r="F435" s="311">
        <v>226</v>
      </c>
      <c r="G435" s="311"/>
      <c r="H435" s="311"/>
      <c r="I435" s="411"/>
      <c r="J435" s="411"/>
      <c r="K435" s="311">
        <v>58</v>
      </c>
      <c r="L435" s="311">
        <v>21</v>
      </c>
      <c r="M435" s="352" t="s">
        <v>36</v>
      </c>
    </row>
    <row r="436" spans="1:13" ht="11.5" x14ac:dyDescent="0.25">
      <c r="A436" s="352">
        <v>435</v>
      </c>
      <c r="B436" s="312" t="s">
        <v>896</v>
      </c>
      <c r="C436" s="311">
        <v>37</v>
      </c>
      <c r="D436" s="311">
        <v>265</v>
      </c>
      <c r="E436" s="311">
        <v>9</v>
      </c>
      <c r="F436" s="311">
        <v>47</v>
      </c>
      <c r="G436" s="311"/>
      <c r="H436" s="311"/>
      <c r="I436" s="411"/>
      <c r="J436" s="411"/>
      <c r="K436" s="311">
        <v>34</v>
      </c>
      <c r="L436" s="311">
        <v>3</v>
      </c>
      <c r="M436" s="352" t="s">
        <v>36</v>
      </c>
    </row>
    <row r="437" spans="1:13" ht="11.5" x14ac:dyDescent="0.25">
      <c r="A437" s="352">
        <v>436</v>
      </c>
      <c r="B437" s="312" t="s">
        <v>894</v>
      </c>
      <c r="C437" s="311">
        <v>18</v>
      </c>
      <c r="D437" s="311">
        <v>313</v>
      </c>
      <c r="E437" s="311">
        <v>5</v>
      </c>
      <c r="F437" s="311">
        <v>15</v>
      </c>
      <c r="G437" s="311"/>
      <c r="H437" s="311"/>
      <c r="I437" s="411"/>
      <c r="J437" s="411"/>
      <c r="K437" s="311">
        <v>16</v>
      </c>
      <c r="L437" s="311">
        <v>2</v>
      </c>
      <c r="M437" s="352" t="s">
        <v>36</v>
      </c>
    </row>
    <row r="440" spans="1:13" ht="14.5" customHeight="1" x14ac:dyDescent="0.35"/>
  </sheetData>
  <sortState xmlns:xlrd2="http://schemas.microsoft.com/office/spreadsheetml/2017/richdata2" ref="B427:L437">
    <sortCondition descending="1" ref="C427:C437"/>
    <sortCondition descending="1" ref="E427:E437"/>
    <sortCondition descending="1" ref="K427:K437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2B59-A83A-4651-A1CA-88AE5ADD5073}">
  <dimension ref="A1:L36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4.54296875" customWidth="1"/>
    <col min="3" max="3" width="23.1796875" customWidth="1"/>
    <col min="4" max="4" width="14.453125" customWidth="1"/>
    <col min="5" max="5" width="17" customWidth="1"/>
    <col min="6" max="6" width="17.453125" customWidth="1"/>
    <col min="7" max="7" width="24.1796875" customWidth="1"/>
    <col min="8" max="8" width="30.26953125" customWidth="1"/>
    <col min="9" max="9" width="24.453125" customWidth="1"/>
    <col min="10" max="10" width="17.54296875" customWidth="1"/>
    <col min="11" max="12" width="17.1796875" customWidth="1"/>
  </cols>
  <sheetData>
    <row r="1" spans="1:12" ht="32.15" customHeight="1" x14ac:dyDescent="0.35">
      <c r="A1" s="1" t="s">
        <v>0</v>
      </c>
      <c r="B1" s="2" t="s">
        <v>1</v>
      </c>
      <c r="C1" s="23" t="s">
        <v>52</v>
      </c>
      <c r="D1" s="23" t="s">
        <v>53</v>
      </c>
      <c r="E1" s="23" t="s">
        <v>54</v>
      </c>
      <c r="F1" s="22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66">
        <v>99267</v>
      </c>
      <c r="D2" s="770">
        <v>713</v>
      </c>
      <c r="E2" s="770">
        <v>41093</v>
      </c>
      <c r="F2" s="766">
        <v>126880</v>
      </c>
      <c r="G2" s="766">
        <v>99267</v>
      </c>
      <c r="H2" s="766"/>
      <c r="I2" s="766"/>
      <c r="J2" s="766">
        <v>27987</v>
      </c>
      <c r="K2" s="766">
        <v>57618</v>
      </c>
      <c r="L2" s="766">
        <v>13662</v>
      </c>
    </row>
    <row r="3" spans="1:12" x14ac:dyDescent="0.35">
      <c r="A3" s="4">
        <v>2</v>
      </c>
      <c r="B3" s="9" t="s">
        <v>3</v>
      </c>
      <c r="C3" s="766">
        <v>54545</v>
      </c>
      <c r="D3" s="770">
        <v>946</v>
      </c>
      <c r="E3" s="770">
        <v>34925</v>
      </c>
      <c r="F3" s="766">
        <v>79256</v>
      </c>
      <c r="G3" s="766">
        <v>54314</v>
      </c>
      <c r="H3" s="766"/>
      <c r="I3" s="766">
        <v>231</v>
      </c>
      <c r="J3" s="766">
        <v>12762</v>
      </c>
      <c r="K3" s="766">
        <v>36930</v>
      </c>
      <c r="L3" s="766">
        <v>4853</v>
      </c>
    </row>
    <row r="4" spans="1:12" x14ac:dyDescent="0.35">
      <c r="A4" s="4">
        <v>3</v>
      </c>
      <c r="B4" s="9" t="s">
        <v>4</v>
      </c>
      <c r="C4" s="766">
        <v>114746</v>
      </c>
      <c r="D4" s="770">
        <v>752</v>
      </c>
      <c r="E4" s="770">
        <v>53072</v>
      </c>
      <c r="F4" s="766">
        <v>96997</v>
      </c>
      <c r="G4" s="766">
        <v>114719</v>
      </c>
      <c r="H4" s="766"/>
      <c r="I4" s="766">
        <v>26</v>
      </c>
      <c r="J4" s="766">
        <v>22462</v>
      </c>
      <c r="K4" s="766">
        <v>70606</v>
      </c>
      <c r="L4" s="766">
        <v>21678</v>
      </c>
    </row>
    <row r="5" spans="1:12" x14ac:dyDescent="0.35">
      <c r="A5" s="4">
        <v>4</v>
      </c>
      <c r="B5" s="9" t="s">
        <v>5</v>
      </c>
      <c r="C5" s="766">
        <v>4321</v>
      </c>
      <c r="D5" s="770">
        <v>426</v>
      </c>
      <c r="E5" s="770">
        <v>1055</v>
      </c>
      <c r="F5" s="766">
        <v>13946</v>
      </c>
      <c r="G5" s="766">
        <v>4321</v>
      </c>
      <c r="H5" s="766"/>
      <c r="I5" s="766"/>
      <c r="J5" s="766">
        <v>1174</v>
      </c>
      <c r="K5" s="766">
        <v>2479</v>
      </c>
      <c r="L5" s="766">
        <v>668</v>
      </c>
    </row>
    <row r="6" spans="1:12" x14ac:dyDescent="0.35">
      <c r="A6" s="4">
        <v>5</v>
      </c>
      <c r="B6" s="9" t="s">
        <v>6</v>
      </c>
      <c r="C6" s="766">
        <v>39</v>
      </c>
      <c r="D6" s="770">
        <v>787</v>
      </c>
      <c r="E6" s="770">
        <v>6</v>
      </c>
      <c r="F6" s="766">
        <v>217</v>
      </c>
      <c r="G6" s="766">
        <v>39</v>
      </c>
      <c r="H6" s="766"/>
      <c r="I6" s="766"/>
      <c r="J6" s="766">
        <v>27</v>
      </c>
      <c r="K6" s="766">
        <v>8</v>
      </c>
      <c r="L6" s="766">
        <v>5</v>
      </c>
    </row>
    <row r="7" spans="1:12" x14ac:dyDescent="0.35">
      <c r="A7" s="4">
        <v>6</v>
      </c>
      <c r="B7" s="9" t="s">
        <v>7</v>
      </c>
      <c r="C7" s="766">
        <v>2681</v>
      </c>
      <c r="D7" s="770">
        <v>569</v>
      </c>
      <c r="E7" s="770">
        <v>826</v>
      </c>
      <c r="F7" s="766">
        <v>6117</v>
      </c>
      <c r="G7" s="766">
        <v>2681</v>
      </c>
      <c r="H7" s="766"/>
      <c r="I7" s="766"/>
      <c r="J7" s="766">
        <v>921</v>
      </c>
      <c r="K7" s="766">
        <v>1452</v>
      </c>
      <c r="L7" s="766">
        <v>308</v>
      </c>
    </row>
    <row r="8" spans="1:12" x14ac:dyDescent="0.35">
      <c r="A8" s="4">
        <v>7</v>
      </c>
      <c r="B8" s="9" t="s">
        <v>8</v>
      </c>
      <c r="C8" s="766">
        <v>10531</v>
      </c>
      <c r="D8" s="770">
        <v>757</v>
      </c>
      <c r="E8" s="770">
        <v>4181</v>
      </c>
      <c r="F8" s="766">
        <v>11661</v>
      </c>
      <c r="G8" s="766">
        <v>10531</v>
      </c>
      <c r="H8" s="766"/>
      <c r="I8" s="766"/>
      <c r="J8" s="766">
        <v>4404</v>
      </c>
      <c r="K8" s="766">
        <v>5527</v>
      </c>
      <c r="L8" s="766">
        <v>583</v>
      </c>
    </row>
    <row r="9" spans="1:12" x14ac:dyDescent="0.35">
      <c r="A9" s="4">
        <v>8</v>
      </c>
      <c r="B9" s="9" t="s">
        <v>9</v>
      </c>
      <c r="C9" s="766">
        <v>702</v>
      </c>
      <c r="D9" s="770">
        <v>335</v>
      </c>
      <c r="E9" s="770">
        <v>145</v>
      </c>
      <c r="F9" s="766">
        <v>830</v>
      </c>
      <c r="G9" s="766">
        <v>702</v>
      </c>
      <c r="H9" s="766"/>
      <c r="I9" s="766"/>
      <c r="J9" s="766">
        <v>217</v>
      </c>
      <c r="K9" s="766">
        <v>434</v>
      </c>
      <c r="L9" s="766">
        <v>51</v>
      </c>
    </row>
    <row r="10" spans="1:12" x14ac:dyDescent="0.35">
      <c r="A10" s="4">
        <v>9</v>
      </c>
      <c r="B10" s="9" t="s">
        <v>10</v>
      </c>
      <c r="C10" s="766">
        <v>7637</v>
      </c>
      <c r="D10" s="770">
        <v>764</v>
      </c>
      <c r="E10" s="770">
        <v>4732</v>
      </c>
      <c r="F10" s="766">
        <v>10879</v>
      </c>
      <c r="G10" s="766">
        <v>7637</v>
      </c>
      <c r="H10" s="766"/>
      <c r="I10" s="766"/>
      <c r="J10" s="766">
        <v>1157</v>
      </c>
      <c r="K10" s="766">
        <v>6194</v>
      </c>
      <c r="L10" s="766">
        <v>287</v>
      </c>
    </row>
    <row r="11" spans="1:12" x14ac:dyDescent="0.35">
      <c r="A11" s="4">
        <v>10</v>
      </c>
      <c r="B11" s="9" t="s">
        <v>11</v>
      </c>
      <c r="C11" s="766">
        <v>79653</v>
      </c>
      <c r="D11" s="770">
        <v>902</v>
      </c>
      <c r="E11" s="770">
        <v>58868</v>
      </c>
      <c r="F11" s="766">
        <v>142408</v>
      </c>
      <c r="G11" s="766">
        <v>79356</v>
      </c>
      <c r="H11" s="766"/>
      <c r="I11" s="766">
        <v>297</v>
      </c>
      <c r="J11" s="766">
        <v>6893</v>
      </c>
      <c r="K11" s="766">
        <v>65295</v>
      </c>
      <c r="L11" s="766">
        <v>7465</v>
      </c>
    </row>
    <row r="12" spans="1:12" s="108" customFormat="1" x14ac:dyDescent="0.35">
      <c r="A12" s="102">
        <v>11</v>
      </c>
      <c r="B12" s="103" t="s">
        <v>12</v>
      </c>
      <c r="C12" s="771"/>
      <c r="D12" s="784"/>
      <c r="E12" s="772"/>
      <c r="F12" s="768"/>
      <c r="G12" s="768"/>
      <c r="H12" s="768"/>
      <c r="I12" s="768"/>
      <c r="J12" s="768"/>
      <c r="K12" s="768"/>
      <c r="L12" s="768"/>
    </row>
    <row r="13" spans="1:12" x14ac:dyDescent="0.35">
      <c r="A13" s="4">
        <v>12</v>
      </c>
      <c r="B13" s="9" t="s">
        <v>14</v>
      </c>
      <c r="C13" s="765">
        <v>9811</v>
      </c>
      <c r="D13" s="770">
        <v>465</v>
      </c>
      <c r="E13" s="770">
        <v>2289</v>
      </c>
      <c r="F13" s="766">
        <v>15569</v>
      </c>
      <c r="G13" s="766">
        <v>4864</v>
      </c>
      <c r="H13" s="766"/>
      <c r="I13" s="766">
        <v>4947</v>
      </c>
      <c r="J13" s="766">
        <v>1515</v>
      </c>
      <c r="K13" s="766">
        <v>4919</v>
      </c>
      <c r="L13" s="766">
        <v>3377</v>
      </c>
    </row>
    <row r="14" spans="1:12" x14ac:dyDescent="0.35">
      <c r="A14" s="4">
        <v>13</v>
      </c>
      <c r="B14" s="9" t="s">
        <v>15</v>
      </c>
      <c r="C14" s="765">
        <v>8194</v>
      </c>
      <c r="D14" s="770">
        <v>629</v>
      </c>
      <c r="E14" s="770">
        <v>2512</v>
      </c>
      <c r="F14" s="766">
        <v>7943</v>
      </c>
      <c r="G14" s="766">
        <v>7792</v>
      </c>
      <c r="H14" s="766"/>
      <c r="I14" s="766">
        <v>403</v>
      </c>
      <c r="J14" s="766">
        <v>2888</v>
      </c>
      <c r="K14" s="766">
        <v>3997</v>
      </c>
      <c r="L14" s="766">
        <v>1310</v>
      </c>
    </row>
    <row r="15" spans="1:12" x14ac:dyDescent="0.35">
      <c r="A15" s="4">
        <v>14</v>
      </c>
      <c r="B15" s="9" t="s">
        <v>16</v>
      </c>
      <c r="C15" s="765">
        <v>6614</v>
      </c>
      <c r="D15" s="770">
        <v>453</v>
      </c>
      <c r="E15" s="770">
        <v>1820</v>
      </c>
      <c r="F15" s="766">
        <v>19998</v>
      </c>
      <c r="G15" s="766">
        <v>6128</v>
      </c>
      <c r="H15" s="766">
        <v>2</v>
      </c>
      <c r="I15" s="766">
        <v>485</v>
      </c>
      <c r="J15" s="766">
        <v>2211</v>
      </c>
      <c r="K15" s="766">
        <v>4018</v>
      </c>
      <c r="L15" s="766">
        <v>385</v>
      </c>
    </row>
    <row r="16" spans="1:12" x14ac:dyDescent="0.35">
      <c r="A16" s="4">
        <v>15</v>
      </c>
      <c r="B16" s="9" t="s">
        <v>17</v>
      </c>
      <c r="C16" s="766">
        <v>5281</v>
      </c>
      <c r="D16" s="770">
        <v>570</v>
      </c>
      <c r="E16" s="770">
        <v>1792</v>
      </c>
      <c r="F16" s="766">
        <v>28267</v>
      </c>
      <c r="G16" s="766">
        <v>5281</v>
      </c>
      <c r="H16" s="766"/>
      <c r="I16" s="766"/>
      <c r="J16" s="766">
        <v>1315</v>
      </c>
      <c r="K16" s="766">
        <v>3143</v>
      </c>
      <c r="L16" s="766">
        <v>822</v>
      </c>
    </row>
    <row r="17" spans="1:12" x14ac:dyDescent="0.35">
      <c r="A17" s="4">
        <v>16</v>
      </c>
      <c r="B17" s="9" t="s">
        <v>18</v>
      </c>
      <c r="C17" s="765">
        <v>48686</v>
      </c>
      <c r="D17" s="770">
        <v>707</v>
      </c>
      <c r="E17" s="770">
        <v>23718</v>
      </c>
      <c r="F17" s="766">
        <v>92730</v>
      </c>
      <c r="G17" s="766">
        <v>40059</v>
      </c>
      <c r="H17" s="766">
        <v>5429</v>
      </c>
      <c r="I17" s="766">
        <v>3197</v>
      </c>
      <c r="J17" s="766">
        <v>9023</v>
      </c>
      <c r="K17" s="766">
        <v>33554</v>
      </c>
      <c r="L17" s="766">
        <v>6108</v>
      </c>
    </row>
    <row r="18" spans="1:12" x14ac:dyDescent="0.35">
      <c r="A18" s="4">
        <v>17</v>
      </c>
      <c r="B18" s="9" t="s">
        <v>19</v>
      </c>
      <c r="C18" s="765">
        <v>13950</v>
      </c>
      <c r="D18" s="770">
        <v>484</v>
      </c>
      <c r="E18" s="770">
        <v>4968</v>
      </c>
      <c r="F18" s="766">
        <v>55499</v>
      </c>
      <c r="G18" s="766">
        <v>13881</v>
      </c>
      <c r="H18" s="766">
        <v>15</v>
      </c>
      <c r="I18" s="766">
        <v>13</v>
      </c>
      <c r="J18" s="766">
        <v>1459</v>
      </c>
      <c r="K18" s="766">
        <v>10256</v>
      </c>
      <c r="L18" s="766">
        <v>2194</v>
      </c>
    </row>
    <row r="19" spans="1:12" x14ac:dyDescent="0.35">
      <c r="A19" s="4">
        <v>18</v>
      </c>
      <c r="B19" s="9" t="s">
        <v>20</v>
      </c>
      <c r="C19" s="765">
        <v>8008</v>
      </c>
      <c r="D19" s="770">
        <v>522</v>
      </c>
      <c r="E19" s="770">
        <v>2497</v>
      </c>
      <c r="F19" s="766">
        <v>8505</v>
      </c>
      <c r="G19" s="766">
        <v>7996</v>
      </c>
      <c r="H19" s="766"/>
      <c r="I19" s="766"/>
      <c r="J19" s="766">
        <v>2090</v>
      </c>
      <c r="K19" s="766">
        <v>4787</v>
      </c>
      <c r="L19" s="766">
        <v>1119</v>
      </c>
    </row>
    <row r="20" spans="1:12" x14ac:dyDescent="0.35">
      <c r="A20" s="4">
        <v>19</v>
      </c>
      <c r="B20" s="9" t="s">
        <v>21</v>
      </c>
      <c r="C20" s="765">
        <v>62484</v>
      </c>
      <c r="D20" s="770">
        <v>615</v>
      </c>
      <c r="E20" s="770">
        <v>19886</v>
      </c>
      <c r="F20" s="766">
        <v>97031</v>
      </c>
      <c r="G20" s="766">
        <v>61427</v>
      </c>
      <c r="H20" s="766"/>
      <c r="I20" s="766">
        <v>373</v>
      </c>
      <c r="J20" s="766">
        <v>25178</v>
      </c>
      <c r="K20" s="766">
        <v>32314</v>
      </c>
      <c r="L20" s="766">
        <v>4308</v>
      </c>
    </row>
    <row r="21" spans="1:12" x14ac:dyDescent="0.35">
      <c r="A21" s="4">
        <v>20</v>
      </c>
      <c r="B21" s="9" t="s">
        <v>22</v>
      </c>
      <c r="C21" s="766">
        <v>11366</v>
      </c>
      <c r="D21" s="770">
        <v>511</v>
      </c>
      <c r="E21" s="770">
        <v>2439</v>
      </c>
      <c r="F21" s="766">
        <v>11966</v>
      </c>
      <c r="G21" s="766">
        <v>11366</v>
      </c>
      <c r="H21" s="766"/>
      <c r="I21" s="766"/>
      <c r="J21" s="766">
        <v>3420</v>
      </c>
      <c r="K21" s="766">
        <v>4772</v>
      </c>
      <c r="L21" s="766">
        <v>3174</v>
      </c>
    </row>
    <row r="22" spans="1:12" x14ac:dyDescent="0.35">
      <c r="A22" s="4">
        <v>21</v>
      </c>
      <c r="B22" s="9" t="s">
        <v>23</v>
      </c>
      <c r="C22" s="766">
        <v>2838</v>
      </c>
      <c r="D22" s="770">
        <v>908</v>
      </c>
      <c r="E22" s="770">
        <v>1496</v>
      </c>
      <c r="F22" s="766">
        <v>2132</v>
      </c>
      <c r="G22" s="766">
        <v>2838</v>
      </c>
      <c r="H22" s="766"/>
      <c r="I22" s="766"/>
      <c r="J22" s="766">
        <v>1142</v>
      </c>
      <c r="K22" s="766">
        <v>1648</v>
      </c>
      <c r="L22" s="766">
        <v>49</v>
      </c>
    </row>
    <row r="23" spans="1:12" x14ac:dyDescent="0.35">
      <c r="A23" s="4">
        <v>22</v>
      </c>
      <c r="B23" s="9" t="s">
        <v>24</v>
      </c>
      <c r="C23" s="766">
        <v>697</v>
      </c>
      <c r="D23" s="770">
        <v>447</v>
      </c>
      <c r="E23" s="770">
        <v>123</v>
      </c>
      <c r="F23" s="766">
        <v>1002</v>
      </c>
      <c r="G23" s="766">
        <v>697</v>
      </c>
      <c r="H23" s="766"/>
      <c r="I23" s="766"/>
      <c r="J23" s="766">
        <v>329</v>
      </c>
      <c r="K23" s="766">
        <v>276</v>
      </c>
      <c r="L23" s="766">
        <v>92</v>
      </c>
    </row>
    <row r="24" spans="1:12" x14ac:dyDescent="0.35">
      <c r="A24" s="4">
        <v>23</v>
      </c>
      <c r="B24" s="9" t="s">
        <v>25</v>
      </c>
      <c r="C24" s="766">
        <v>7328</v>
      </c>
      <c r="D24" s="770">
        <v>567</v>
      </c>
      <c r="E24" s="770">
        <v>2513</v>
      </c>
      <c r="F24" s="766">
        <v>4058</v>
      </c>
      <c r="G24" s="766">
        <v>7328</v>
      </c>
      <c r="H24" s="766"/>
      <c r="I24" s="766"/>
      <c r="J24" s="766">
        <v>2337</v>
      </c>
      <c r="K24" s="766">
        <v>4429</v>
      </c>
      <c r="L24" s="766">
        <v>562</v>
      </c>
    </row>
    <row r="25" spans="1:12" x14ac:dyDescent="0.35">
      <c r="A25" s="4">
        <v>24</v>
      </c>
      <c r="B25" s="9" t="s">
        <v>26</v>
      </c>
      <c r="C25" s="766">
        <v>2622</v>
      </c>
      <c r="D25" s="770">
        <v>552</v>
      </c>
      <c r="E25" s="770">
        <v>1047</v>
      </c>
      <c r="F25" s="766">
        <v>2281</v>
      </c>
      <c r="G25" s="766">
        <v>2622</v>
      </c>
      <c r="H25" s="766"/>
      <c r="I25" s="766"/>
      <c r="J25" s="766">
        <v>363</v>
      </c>
      <c r="K25" s="766">
        <v>1896</v>
      </c>
      <c r="L25" s="766">
        <v>363</v>
      </c>
    </row>
    <row r="26" spans="1:12" x14ac:dyDescent="0.35">
      <c r="A26" s="4">
        <v>25</v>
      </c>
      <c r="B26" s="9" t="s">
        <v>27</v>
      </c>
      <c r="C26" s="765">
        <v>16464</v>
      </c>
      <c r="D26" s="770">
        <v>659</v>
      </c>
      <c r="E26" s="770">
        <v>5818</v>
      </c>
      <c r="F26" s="766">
        <v>19904</v>
      </c>
      <c r="G26" s="766">
        <v>16483</v>
      </c>
      <c r="H26" s="766"/>
      <c r="I26" s="766">
        <v>764</v>
      </c>
      <c r="J26" s="766">
        <v>5909</v>
      </c>
      <c r="K26" s="766">
        <v>8825</v>
      </c>
      <c r="L26" s="766">
        <v>2514</v>
      </c>
    </row>
    <row r="27" spans="1:12" x14ac:dyDescent="0.35">
      <c r="A27" s="4">
        <v>26</v>
      </c>
      <c r="B27" s="9" t="s">
        <v>28</v>
      </c>
      <c r="C27" s="766">
        <v>14395</v>
      </c>
      <c r="D27" s="770">
        <v>802</v>
      </c>
      <c r="E27" s="770">
        <v>4428</v>
      </c>
      <c r="F27" s="766">
        <v>14894</v>
      </c>
      <c r="G27" s="766">
        <v>14395</v>
      </c>
      <c r="H27" s="766"/>
      <c r="I27" s="766"/>
      <c r="J27" s="766">
        <v>6576</v>
      </c>
      <c r="K27" s="766">
        <v>5520</v>
      </c>
      <c r="L27" s="766">
        <v>2299</v>
      </c>
    </row>
    <row r="28" spans="1:12" x14ac:dyDescent="0.35">
      <c r="A28" s="4">
        <v>27</v>
      </c>
      <c r="B28" s="9" t="s">
        <v>29</v>
      </c>
      <c r="C28" s="766">
        <v>279298</v>
      </c>
      <c r="D28" s="770">
        <v>688</v>
      </c>
      <c r="E28" s="770">
        <v>128154</v>
      </c>
      <c r="F28" s="766">
        <v>175337</v>
      </c>
      <c r="G28" s="766">
        <v>279298</v>
      </c>
      <c r="H28" s="766"/>
      <c r="I28" s="766"/>
      <c r="J28" s="766">
        <v>38956</v>
      </c>
      <c r="K28" s="766">
        <v>186261</v>
      </c>
      <c r="L28" s="766">
        <v>54080</v>
      </c>
    </row>
    <row r="29" spans="1:12" x14ac:dyDescent="0.35">
      <c r="A29" s="4">
        <v>28</v>
      </c>
      <c r="B29" s="9" t="s">
        <v>30</v>
      </c>
      <c r="C29" s="766">
        <v>201216</v>
      </c>
      <c r="D29" s="770">
        <v>792</v>
      </c>
      <c r="E29" s="770">
        <v>113366</v>
      </c>
      <c r="F29" s="766">
        <v>231742</v>
      </c>
      <c r="G29" s="766">
        <v>201216</v>
      </c>
      <c r="H29" s="766"/>
      <c r="I29" s="766"/>
      <c r="J29" s="766">
        <v>23169</v>
      </c>
      <c r="K29" s="766">
        <v>143084</v>
      </c>
      <c r="L29" s="766">
        <v>34963</v>
      </c>
    </row>
    <row r="30" spans="1:12" x14ac:dyDescent="0.35">
      <c r="A30" s="4">
        <v>29</v>
      </c>
      <c r="B30" s="9" t="s">
        <v>31</v>
      </c>
      <c r="C30" s="766">
        <v>144381</v>
      </c>
      <c r="D30" s="770">
        <v>794</v>
      </c>
      <c r="E30" s="770">
        <v>71374</v>
      </c>
      <c r="F30" s="766">
        <v>134626</v>
      </c>
      <c r="G30" s="766">
        <v>144381</v>
      </c>
      <c r="H30" s="766"/>
      <c r="I30" s="766"/>
      <c r="J30" s="766">
        <v>17866</v>
      </c>
      <c r="K30" s="766">
        <v>89863</v>
      </c>
      <c r="L30" s="766">
        <v>36652</v>
      </c>
    </row>
    <row r="31" spans="1:12" x14ac:dyDescent="0.35">
      <c r="A31" s="4">
        <v>30</v>
      </c>
      <c r="B31" s="9" t="s">
        <v>32</v>
      </c>
      <c r="C31" s="766">
        <v>246296</v>
      </c>
      <c r="D31" s="770">
        <v>648</v>
      </c>
      <c r="E31" s="770">
        <v>115023</v>
      </c>
      <c r="F31" s="766">
        <v>158513</v>
      </c>
      <c r="G31" s="766">
        <v>246296</v>
      </c>
      <c r="H31" s="766"/>
      <c r="I31" s="766"/>
      <c r="J31" s="766">
        <v>36887</v>
      </c>
      <c r="K31" s="766">
        <v>177606</v>
      </c>
      <c r="L31" s="766">
        <v>31803</v>
      </c>
    </row>
    <row r="32" spans="1:12" x14ac:dyDescent="0.35">
      <c r="A32" s="4">
        <v>31</v>
      </c>
      <c r="B32" s="9" t="s">
        <v>33</v>
      </c>
      <c r="C32" s="765">
        <v>26033</v>
      </c>
      <c r="D32" s="770">
        <v>552</v>
      </c>
      <c r="E32" s="770">
        <v>8219</v>
      </c>
      <c r="F32" s="766">
        <v>32596</v>
      </c>
      <c r="G32" s="766">
        <v>24046</v>
      </c>
      <c r="H32" s="766">
        <v>2053</v>
      </c>
      <c r="I32" s="766">
        <v>6</v>
      </c>
      <c r="J32" s="766">
        <v>5887</v>
      </c>
      <c r="K32" s="766">
        <v>14878</v>
      </c>
      <c r="L32" s="766">
        <v>5340</v>
      </c>
    </row>
    <row r="33" spans="1:12" x14ac:dyDescent="0.35">
      <c r="A33" s="4">
        <v>32</v>
      </c>
      <c r="B33" s="9" t="s">
        <v>34</v>
      </c>
      <c r="C33" s="766">
        <v>23531</v>
      </c>
      <c r="D33" s="770">
        <v>715</v>
      </c>
      <c r="E33" s="770">
        <v>9345</v>
      </c>
      <c r="F33" s="766">
        <v>19073</v>
      </c>
      <c r="G33" s="766">
        <v>23531</v>
      </c>
      <c r="H33" s="766"/>
      <c r="I33" s="766"/>
      <c r="J33" s="766">
        <v>5588</v>
      </c>
      <c r="K33" s="766">
        <v>13067</v>
      </c>
      <c r="L33" s="766">
        <v>4858</v>
      </c>
    </row>
    <row r="34" spans="1:12" x14ac:dyDescent="0.35">
      <c r="A34" s="4">
        <v>33</v>
      </c>
      <c r="B34" s="9" t="s">
        <v>35</v>
      </c>
      <c r="C34" s="766">
        <v>34004</v>
      </c>
      <c r="D34" s="770">
        <v>605</v>
      </c>
      <c r="E34" s="770">
        <v>10407</v>
      </c>
      <c r="F34" s="766">
        <v>37655</v>
      </c>
      <c r="G34" s="766">
        <v>34004</v>
      </c>
      <c r="H34" s="766"/>
      <c r="I34" s="766"/>
      <c r="J34" s="766">
        <v>10579</v>
      </c>
      <c r="K34" s="766">
        <v>17198</v>
      </c>
      <c r="L34" s="766">
        <v>6227</v>
      </c>
    </row>
    <row r="35" spans="1:12" x14ac:dyDescent="0.35">
      <c r="A35" s="4">
        <v>34</v>
      </c>
      <c r="B35" s="9" t="s">
        <v>36</v>
      </c>
      <c r="C35" s="766">
        <v>13242</v>
      </c>
      <c r="D35" s="770">
        <v>393</v>
      </c>
      <c r="E35" s="785">
        <v>2655</v>
      </c>
      <c r="F35" s="766">
        <v>9245</v>
      </c>
      <c r="G35" s="766">
        <v>13242</v>
      </c>
      <c r="H35" s="766"/>
      <c r="I35" s="766"/>
      <c r="J35" s="766">
        <v>235</v>
      </c>
      <c r="K35" s="766">
        <v>6750</v>
      </c>
      <c r="L35" s="766">
        <v>6257</v>
      </c>
    </row>
    <row r="36" spans="1:12" x14ac:dyDescent="0.35">
      <c r="A36" s="121"/>
      <c r="B36" s="122" t="s">
        <v>105</v>
      </c>
      <c r="C36" s="130">
        <f>SUM(C2:C35)</f>
        <v>1560861</v>
      </c>
      <c r="D36" s="130">
        <f t="shared" ref="D36:L36" si="0">SUM(D2:D35)</f>
        <v>21029</v>
      </c>
      <c r="E36" s="130">
        <f t="shared" si="0"/>
        <v>734792</v>
      </c>
      <c r="F36" s="130">
        <f t="shared" si="0"/>
        <v>1669757</v>
      </c>
      <c r="G36" s="130">
        <f t="shared" si="0"/>
        <v>1542738</v>
      </c>
      <c r="H36" s="130">
        <f t="shared" si="0"/>
        <v>7499</v>
      </c>
      <c r="I36" s="130">
        <f t="shared" si="0"/>
        <v>10742</v>
      </c>
      <c r="J36" s="130">
        <f t="shared" si="0"/>
        <v>282926</v>
      </c>
      <c r="K36" s="130">
        <f t="shared" si="0"/>
        <v>1019604</v>
      </c>
      <c r="L36" s="130">
        <f t="shared" si="0"/>
        <v>258416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E2C-2A96-412A-9564-AB5DEBA90633}">
  <sheetPr>
    <tabColor rgb="FFFFFF00"/>
  </sheetPr>
  <dimension ref="A1:M494"/>
  <sheetViews>
    <sheetView workbookViewId="0">
      <selection activeCell="M1" sqref="M1:M494"/>
    </sheetView>
  </sheetViews>
  <sheetFormatPr defaultRowHeight="14.5" x14ac:dyDescent="0.35"/>
  <cols>
    <col min="2" max="2" width="25.81640625" customWidth="1"/>
    <col min="3" max="3" width="21.8164062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3" max="13" width="24.81640625" customWidth="1"/>
    <col min="14" max="14" width="17.36328125" customWidth="1"/>
  </cols>
  <sheetData>
    <row r="1" spans="1:13" x14ac:dyDescent="0.35">
      <c r="A1" s="352" t="s">
        <v>0</v>
      </c>
      <c r="B1" s="352" t="s">
        <v>162</v>
      </c>
      <c r="C1" s="352" t="s">
        <v>52</v>
      </c>
      <c r="D1" s="352" t="s">
        <v>53</v>
      </c>
      <c r="E1" s="352" t="s">
        <v>54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t="s">
        <v>1</v>
      </c>
    </row>
    <row r="2" spans="1:13" x14ac:dyDescent="0.35">
      <c r="A2" s="352">
        <v>1</v>
      </c>
      <c r="B2" s="444" t="s">
        <v>922</v>
      </c>
      <c r="C2" s="445">
        <v>21005</v>
      </c>
      <c r="D2" s="445">
        <v>899</v>
      </c>
      <c r="E2" s="445">
        <v>10491</v>
      </c>
      <c r="F2" s="445">
        <v>20576</v>
      </c>
      <c r="G2" s="446"/>
      <c r="H2" s="446"/>
      <c r="I2" s="446"/>
      <c r="J2" s="445">
        <v>7699</v>
      </c>
      <c r="K2" s="445">
        <v>11670</v>
      </c>
      <c r="L2" s="445">
        <v>1636</v>
      </c>
      <c r="M2" s="352" t="s">
        <v>2</v>
      </c>
    </row>
    <row r="3" spans="1:13" x14ac:dyDescent="0.35">
      <c r="A3" s="352">
        <v>2</v>
      </c>
      <c r="B3" s="444" t="s">
        <v>936</v>
      </c>
      <c r="C3" s="445">
        <v>15070</v>
      </c>
      <c r="D3" s="445">
        <v>800</v>
      </c>
      <c r="E3" s="445">
        <v>6990</v>
      </c>
      <c r="F3" s="445">
        <v>17838</v>
      </c>
      <c r="G3" s="446"/>
      <c r="H3" s="446"/>
      <c r="I3" s="446"/>
      <c r="J3" s="445">
        <v>4599</v>
      </c>
      <c r="K3" s="445">
        <v>8738</v>
      </c>
      <c r="L3" s="445">
        <v>1733</v>
      </c>
      <c r="M3" s="352" t="s">
        <v>2</v>
      </c>
    </row>
    <row r="4" spans="1:13" x14ac:dyDescent="0.35">
      <c r="A4" s="352">
        <v>3</v>
      </c>
      <c r="B4" s="444" t="s">
        <v>923</v>
      </c>
      <c r="C4" s="445">
        <v>13573</v>
      </c>
      <c r="D4" s="445">
        <v>635</v>
      </c>
      <c r="E4" s="445">
        <v>6038</v>
      </c>
      <c r="F4" s="445">
        <v>12145</v>
      </c>
      <c r="G4" s="446"/>
      <c r="H4" s="446"/>
      <c r="I4" s="446"/>
      <c r="J4" s="445">
        <v>2769</v>
      </c>
      <c r="K4" s="445">
        <v>9509</v>
      </c>
      <c r="L4" s="445">
        <v>1295</v>
      </c>
      <c r="M4" s="352" t="s">
        <v>2</v>
      </c>
    </row>
    <row r="5" spans="1:13" x14ac:dyDescent="0.35">
      <c r="A5" s="352">
        <v>4</v>
      </c>
      <c r="B5" s="444" t="s">
        <v>927</v>
      </c>
      <c r="C5" s="445">
        <v>10382</v>
      </c>
      <c r="D5" s="445">
        <v>581</v>
      </c>
      <c r="E5" s="445">
        <v>3591</v>
      </c>
      <c r="F5" s="445">
        <v>12646</v>
      </c>
      <c r="G5" s="446"/>
      <c r="H5" s="446"/>
      <c r="I5" s="446"/>
      <c r="J5" s="445">
        <v>2437</v>
      </c>
      <c r="K5" s="445">
        <v>6176</v>
      </c>
      <c r="L5" s="445">
        <v>1769</v>
      </c>
      <c r="M5" s="352" t="s">
        <v>2</v>
      </c>
    </row>
    <row r="6" spans="1:13" x14ac:dyDescent="0.35">
      <c r="A6" s="352">
        <v>5</v>
      </c>
      <c r="B6" s="444" t="s">
        <v>929</v>
      </c>
      <c r="C6" s="445">
        <v>9321</v>
      </c>
      <c r="D6" s="445">
        <v>664</v>
      </c>
      <c r="E6" s="445">
        <v>3704</v>
      </c>
      <c r="F6" s="445">
        <v>18722</v>
      </c>
      <c r="G6" s="446"/>
      <c r="H6" s="446"/>
      <c r="I6" s="446"/>
      <c r="J6" s="445">
        <v>3306</v>
      </c>
      <c r="K6" s="445">
        <v>5578</v>
      </c>
      <c r="L6" s="445">
        <v>437</v>
      </c>
      <c r="M6" s="352" t="s">
        <v>2</v>
      </c>
    </row>
    <row r="7" spans="1:13" x14ac:dyDescent="0.35">
      <c r="A7" s="352">
        <v>6</v>
      </c>
      <c r="B7" s="444" t="s">
        <v>928</v>
      </c>
      <c r="C7" s="445">
        <v>7009</v>
      </c>
      <c r="D7" s="445">
        <v>630</v>
      </c>
      <c r="E7" s="445">
        <v>2689</v>
      </c>
      <c r="F7" s="445">
        <v>10512</v>
      </c>
      <c r="G7" s="446"/>
      <c r="H7" s="446"/>
      <c r="I7" s="446"/>
      <c r="J7" s="445">
        <v>2406</v>
      </c>
      <c r="K7" s="445">
        <v>4269</v>
      </c>
      <c r="L7" s="445">
        <v>334</v>
      </c>
      <c r="M7" s="352" t="s">
        <v>2</v>
      </c>
    </row>
    <row r="8" spans="1:13" x14ac:dyDescent="0.35">
      <c r="A8" s="352">
        <v>7</v>
      </c>
      <c r="B8" s="444" t="s">
        <v>931</v>
      </c>
      <c r="C8" s="445">
        <v>3483</v>
      </c>
      <c r="D8" s="445">
        <v>800</v>
      </c>
      <c r="E8" s="445">
        <v>1897</v>
      </c>
      <c r="F8" s="445">
        <v>4177</v>
      </c>
      <c r="G8" s="446"/>
      <c r="H8" s="446"/>
      <c r="I8" s="446"/>
      <c r="J8" s="445">
        <v>791</v>
      </c>
      <c r="K8" s="445">
        <v>2371</v>
      </c>
      <c r="L8" s="445">
        <v>321</v>
      </c>
      <c r="M8" s="352" t="s">
        <v>2</v>
      </c>
    </row>
    <row r="9" spans="1:13" x14ac:dyDescent="0.35">
      <c r="A9" s="352">
        <v>8</v>
      </c>
      <c r="B9" s="444" t="s">
        <v>926</v>
      </c>
      <c r="C9" s="445">
        <v>3467</v>
      </c>
      <c r="D9" s="445">
        <v>566</v>
      </c>
      <c r="E9" s="445">
        <v>623</v>
      </c>
      <c r="F9" s="445">
        <v>3756</v>
      </c>
      <c r="G9" s="446"/>
      <c r="H9" s="446"/>
      <c r="I9" s="446"/>
      <c r="J9" s="445">
        <v>2115</v>
      </c>
      <c r="K9" s="445">
        <v>110</v>
      </c>
      <c r="L9" s="445">
        <v>252</v>
      </c>
      <c r="M9" s="352" t="s">
        <v>2</v>
      </c>
    </row>
    <row r="10" spans="1:13" x14ac:dyDescent="0.35">
      <c r="A10" s="352">
        <v>9</v>
      </c>
      <c r="B10" s="444" t="s">
        <v>933</v>
      </c>
      <c r="C10" s="445">
        <v>3198</v>
      </c>
      <c r="D10" s="445">
        <v>575</v>
      </c>
      <c r="E10" s="445">
        <v>548</v>
      </c>
      <c r="F10" s="445">
        <v>7050</v>
      </c>
      <c r="G10" s="446"/>
      <c r="H10" s="446"/>
      <c r="I10" s="446"/>
      <c r="J10" s="445">
        <v>6</v>
      </c>
      <c r="K10" s="445">
        <v>953</v>
      </c>
      <c r="L10" s="445">
        <v>2240</v>
      </c>
      <c r="M10" s="352" t="s">
        <v>2</v>
      </c>
    </row>
    <row r="11" spans="1:13" x14ac:dyDescent="0.35">
      <c r="A11" s="352">
        <v>10</v>
      </c>
      <c r="B11" s="444" t="s">
        <v>930</v>
      </c>
      <c r="C11" s="445">
        <v>1890</v>
      </c>
      <c r="D11" s="445">
        <v>683</v>
      </c>
      <c r="E11" s="445">
        <v>1077</v>
      </c>
      <c r="F11" s="445">
        <v>3943</v>
      </c>
      <c r="G11" s="446"/>
      <c r="H11" s="446"/>
      <c r="I11" s="446"/>
      <c r="J11" s="445">
        <v>42</v>
      </c>
      <c r="K11" s="445">
        <v>1578</v>
      </c>
      <c r="L11" s="445">
        <v>270</v>
      </c>
      <c r="M11" s="352" t="s">
        <v>2</v>
      </c>
    </row>
    <row r="12" spans="1:13" x14ac:dyDescent="0.35">
      <c r="A12" s="352">
        <v>11</v>
      </c>
      <c r="B12" s="444" t="s">
        <v>919</v>
      </c>
      <c r="C12" s="445">
        <v>1884</v>
      </c>
      <c r="D12" s="445">
        <v>249</v>
      </c>
      <c r="E12" s="445">
        <v>145</v>
      </c>
      <c r="F12" s="445">
        <v>1338</v>
      </c>
      <c r="G12" s="446"/>
      <c r="H12" s="446"/>
      <c r="I12" s="446"/>
      <c r="J12" s="445">
        <v>671</v>
      </c>
      <c r="K12" s="445">
        <v>582</v>
      </c>
      <c r="L12" s="445">
        <v>631</v>
      </c>
      <c r="M12" s="352" t="s">
        <v>2</v>
      </c>
    </row>
    <row r="13" spans="1:13" ht="14.5" customHeight="1" x14ac:dyDescent="0.35">
      <c r="A13" s="352">
        <v>12</v>
      </c>
      <c r="B13" s="444" t="s">
        <v>932</v>
      </c>
      <c r="C13" s="445">
        <v>1556</v>
      </c>
      <c r="D13" s="445">
        <v>583</v>
      </c>
      <c r="E13" s="445">
        <v>585</v>
      </c>
      <c r="F13" s="445">
        <v>3445</v>
      </c>
      <c r="G13" s="446"/>
      <c r="H13" s="446"/>
      <c r="I13" s="446"/>
      <c r="J13" s="445">
        <v>383</v>
      </c>
      <c r="K13" s="445">
        <v>1004</v>
      </c>
      <c r="L13" s="445">
        <v>169</v>
      </c>
      <c r="M13" s="352" t="s">
        <v>2</v>
      </c>
    </row>
    <row r="14" spans="1:13" x14ac:dyDescent="0.35">
      <c r="A14" s="352">
        <v>13</v>
      </c>
      <c r="B14" s="444" t="s">
        <v>935</v>
      </c>
      <c r="C14" s="445">
        <v>1378</v>
      </c>
      <c r="D14" s="445">
        <v>690</v>
      </c>
      <c r="E14" s="445">
        <v>879</v>
      </c>
      <c r="F14" s="445">
        <v>1825</v>
      </c>
      <c r="G14" s="446"/>
      <c r="H14" s="446"/>
      <c r="I14" s="446"/>
      <c r="J14" s="445">
        <v>57</v>
      </c>
      <c r="K14" s="445">
        <v>1274</v>
      </c>
      <c r="L14" s="445">
        <v>47</v>
      </c>
      <c r="M14" s="352" t="s">
        <v>2</v>
      </c>
    </row>
    <row r="15" spans="1:13" x14ac:dyDescent="0.35">
      <c r="A15" s="352">
        <v>14</v>
      </c>
      <c r="B15" s="444" t="s">
        <v>921</v>
      </c>
      <c r="C15" s="445">
        <v>1354</v>
      </c>
      <c r="D15" s="445">
        <v>502</v>
      </c>
      <c r="E15" s="445">
        <v>346</v>
      </c>
      <c r="F15" s="445">
        <v>2410</v>
      </c>
      <c r="G15" s="446"/>
      <c r="H15" s="446"/>
      <c r="I15" s="446"/>
      <c r="J15" s="445">
        <v>167</v>
      </c>
      <c r="K15" s="445">
        <v>689</v>
      </c>
      <c r="L15" s="445">
        <v>498</v>
      </c>
      <c r="M15" s="352" t="s">
        <v>2</v>
      </c>
    </row>
    <row r="16" spans="1:13" x14ac:dyDescent="0.35">
      <c r="A16" s="352">
        <v>15</v>
      </c>
      <c r="B16" s="444" t="s">
        <v>934</v>
      </c>
      <c r="C16" s="445">
        <v>1118</v>
      </c>
      <c r="D16" s="445">
        <v>791</v>
      </c>
      <c r="E16" s="445">
        <v>148</v>
      </c>
      <c r="F16" s="445">
        <v>654</v>
      </c>
      <c r="G16" s="446"/>
      <c r="H16" s="446"/>
      <c r="I16" s="446"/>
      <c r="J16" s="445">
        <v>99</v>
      </c>
      <c r="K16" s="445">
        <v>187</v>
      </c>
      <c r="L16" s="445">
        <v>832</v>
      </c>
      <c r="M16" s="352" t="s">
        <v>2</v>
      </c>
    </row>
    <row r="17" spans="1:13" x14ac:dyDescent="0.35">
      <c r="A17" s="352">
        <v>16</v>
      </c>
      <c r="B17" s="444" t="s">
        <v>925</v>
      </c>
      <c r="C17" s="445">
        <v>972</v>
      </c>
      <c r="D17" s="445">
        <v>670</v>
      </c>
      <c r="E17" s="445">
        <v>426</v>
      </c>
      <c r="F17" s="445">
        <v>1416</v>
      </c>
      <c r="G17" s="446"/>
      <c r="H17" s="446"/>
      <c r="I17" s="446"/>
      <c r="J17" s="446"/>
      <c r="K17" s="445">
        <v>636</v>
      </c>
      <c r="L17" s="445">
        <v>336</v>
      </c>
      <c r="M17" s="352" t="s">
        <v>2</v>
      </c>
    </row>
    <row r="18" spans="1:13" x14ac:dyDescent="0.35">
      <c r="A18" s="352">
        <v>17</v>
      </c>
      <c r="B18" s="444" t="s">
        <v>938</v>
      </c>
      <c r="C18" s="445">
        <v>737</v>
      </c>
      <c r="D18" s="445">
        <v>990</v>
      </c>
      <c r="E18" s="445">
        <v>208</v>
      </c>
      <c r="F18" s="445">
        <v>1120</v>
      </c>
      <c r="G18" s="446"/>
      <c r="H18" s="446"/>
      <c r="I18" s="446"/>
      <c r="J18" s="445">
        <v>99</v>
      </c>
      <c r="K18" s="445">
        <v>210</v>
      </c>
      <c r="L18" s="445">
        <v>428</v>
      </c>
      <c r="M18" s="352" t="s">
        <v>2</v>
      </c>
    </row>
    <row r="19" spans="1:13" x14ac:dyDescent="0.35">
      <c r="A19" s="352">
        <v>18</v>
      </c>
      <c r="B19" s="444" t="s">
        <v>941</v>
      </c>
      <c r="C19" s="445">
        <v>726</v>
      </c>
      <c r="D19" s="445">
        <v>544</v>
      </c>
      <c r="E19" s="445">
        <v>211</v>
      </c>
      <c r="F19" s="445">
        <v>1144</v>
      </c>
      <c r="G19" s="446"/>
      <c r="H19" s="446"/>
      <c r="I19" s="446"/>
      <c r="J19" s="445">
        <v>242</v>
      </c>
      <c r="K19" s="445">
        <v>388</v>
      </c>
      <c r="L19" s="445">
        <v>96</v>
      </c>
      <c r="M19" s="352" t="s">
        <v>2</v>
      </c>
    </row>
    <row r="20" spans="1:13" x14ac:dyDescent="0.35">
      <c r="A20" s="352">
        <v>19</v>
      </c>
      <c r="B20" s="444" t="s">
        <v>924</v>
      </c>
      <c r="C20" s="445">
        <v>528</v>
      </c>
      <c r="D20" s="445">
        <v>610</v>
      </c>
      <c r="E20" s="445">
        <v>258</v>
      </c>
      <c r="F20" s="445">
        <v>802</v>
      </c>
      <c r="G20" s="446"/>
      <c r="H20" s="446"/>
      <c r="I20" s="446"/>
      <c r="J20" s="445">
        <v>5</v>
      </c>
      <c r="K20" s="445">
        <v>423</v>
      </c>
      <c r="L20" s="445">
        <v>101</v>
      </c>
      <c r="M20" s="352" t="s">
        <v>2</v>
      </c>
    </row>
    <row r="21" spans="1:13" x14ac:dyDescent="0.35">
      <c r="A21" s="352">
        <v>20</v>
      </c>
      <c r="B21" s="444" t="s">
        <v>920</v>
      </c>
      <c r="C21" s="445">
        <v>371</v>
      </c>
      <c r="D21" s="445">
        <v>868</v>
      </c>
      <c r="E21" s="445">
        <v>84</v>
      </c>
      <c r="F21" s="445">
        <v>810</v>
      </c>
      <c r="G21" s="446"/>
      <c r="H21" s="446"/>
      <c r="I21" s="446"/>
      <c r="J21" s="445">
        <v>41</v>
      </c>
      <c r="K21" s="445">
        <v>97</v>
      </c>
      <c r="L21" s="445">
        <v>233</v>
      </c>
      <c r="M21" s="352" t="s">
        <v>2</v>
      </c>
    </row>
    <row r="22" spans="1:13" x14ac:dyDescent="0.35">
      <c r="A22" s="352">
        <v>21</v>
      </c>
      <c r="B22" s="447" t="s">
        <v>940</v>
      </c>
      <c r="C22" s="445">
        <v>134</v>
      </c>
      <c r="D22" s="445">
        <v>886</v>
      </c>
      <c r="E22" s="445">
        <v>74</v>
      </c>
      <c r="F22" s="445">
        <v>152</v>
      </c>
      <c r="G22" s="448"/>
      <c r="H22" s="448"/>
      <c r="I22" s="448"/>
      <c r="J22" s="445">
        <v>48</v>
      </c>
      <c r="K22" s="445">
        <v>84</v>
      </c>
      <c r="L22" s="445">
        <v>3</v>
      </c>
      <c r="M22" s="352" t="s">
        <v>2</v>
      </c>
    </row>
    <row r="23" spans="1:13" x14ac:dyDescent="0.35">
      <c r="A23" s="352">
        <v>22</v>
      </c>
      <c r="B23" s="444" t="s">
        <v>939</v>
      </c>
      <c r="C23" s="445">
        <v>111</v>
      </c>
      <c r="D23" s="445">
        <v>784</v>
      </c>
      <c r="E23" s="445">
        <v>81</v>
      </c>
      <c r="F23" s="445">
        <v>399</v>
      </c>
      <c r="G23" s="446"/>
      <c r="H23" s="446"/>
      <c r="I23" s="446"/>
      <c r="J23" s="445">
        <v>6</v>
      </c>
      <c r="K23" s="445">
        <v>103</v>
      </c>
      <c r="L23" s="445">
        <v>2</v>
      </c>
      <c r="M23" s="352" t="s">
        <v>2</v>
      </c>
    </row>
    <row r="24" spans="1:13" x14ac:dyDescent="0.35">
      <c r="A24" s="352">
        <v>23</v>
      </c>
      <c r="B24" s="444" t="s">
        <v>937</v>
      </c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352" t="s">
        <v>2</v>
      </c>
    </row>
    <row r="25" spans="1:13" x14ac:dyDescent="0.35">
      <c r="A25" s="352">
        <v>24</v>
      </c>
      <c r="B25" s="449" t="s">
        <v>942</v>
      </c>
      <c r="C25" s="450">
        <v>2091</v>
      </c>
      <c r="D25" s="450">
        <v>899</v>
      </c>
      <c r="E25" s="450">
        <v>657</v>
      </c>
      <c r="F25" s="450">
        <v>3210</v>
      </c>
      <c r="G25" s="451"/>
      <c r="H25" s="451"/>
      <c r="I25" s="451"/>
      <c r="J25" s="450">
        <v>961</v>
      </c>
      <c r="K25" s="450">
        <v>731</v>
      </c>
      <c r="L25" s="450">
        <v>399</v>
      </c>
      <c r="M25" s="352" t="s">
        <v>3</v>
      </c>
    </row>
    <row r="26" spans="1:13" ht="14.5" customHeight="1" x14ac:dyDescent="0.35">
      <c r="A26" s="352">
        <v>25</v>
      </c>
      <c r="B26" s="449" t="s">
        <v>964</v>
      </c>
      <c r="C26" s="450">
        <v>6503</v>
      </c>
      <c r="D26" s="450">
        <v>1035</v>
      </c>
      <c r="E26" s="450">
        <v>2895</v>
      </c>
      <c r="F26" s="450">
        <v>3791</v>
      </c>
      <c r="G26" s="451"/>
      <c r="H26" s="451"/>
      <c r="I26" s="451"/>
      <c r="J26" s="450">
        <v>3125</v>
      </c>
      <c r="K26" s="450">
        <v>2796</v>
      </c>
      <c r="L26" s="450">
        <v>582</v>
      </c>
      <c r="M26" s="352" t="s">
        <v>3</v>
      </c>
    </row>
    <row r="27" spans="1:13" ht="14.5" customHeight="1" x14ac:dyDescent="0.35">
      <c r="A27" s="352">
        <v>26</v>
      </c>
      <c r="B27" s="449" t="s">
        <v>955</v>
      </c>
      <c r="C27" s="450">
        <v>5608</v>
      </c>
      <c r="D27" s="450">
        <v>857</v>
      </c>
      <c r="E27" s="450">
        <v>3566</v>
      </c>
      <c r="F27" s="450">
        <v>3321</v>
      </c>
      <c r="G27" s="451"/>
      <c r="H27" s="451"/>
      <c r="I27" s="451"/>
      <c r="J27" s="450">
        <v>1322</v>
      </c>
      <c r="K27" s="450">
        <v>4160</v>
      </c>
      <c r="L27" s="450">
        <v>126</v>
      </c>
      <c r="M27" s="352" t="s">
        <v>3</v>
      </c>
    </row>
    <row r="28" spans="1:13" ht="14.5" customHeight="1" x14ac:dyDescent="0.35">
      <c r="A28" s="352">
        <v>27</v>
      </c>
      <c r="B28" s="449" t="s">
        <v>953</v>
      </c>
      <c r="C28" s="450">
        <v>4547</v>
      </c>
      <c r="D28" s="450">
        <v>1046</v>
      </c>
      <c r="E28" s="450">
        <v>3811</v>
      </c>
      <c r="F28" s="450">
        <v>8389</v>
      </c>
      <c r="G28" s="451"/>
      <c r="H28" s="451"/>
      <c r="I28" s="451"/>
      <c r="J28" s="450">
        <v>493</v>
      </c>
      <c r="K28" s="450">
        <v>3645</v>
      </c>
      <c r="L28" s="450">
        <v>409</v>
      </c>
      <c r="M28" s="352" t="s">
        <v>3</v>
      </c>
    </row>
    <row r="29" spans="1:13" x14ac:dyDescent="0.35">
      <c r="A29" s="352">
        <v>28</v>
      </c>
      <c r="B29" s="449" t="s">
        <v>952</v>
      </c>
      <c r="C29" s="450">
        <v>4245</v>
      </c>
      <c r="D29" s="450">
        <v>1021</v>
      </c>
      <c r="E29" s="450">
        <v>3195</v>
      </c>
      <c r="F29" s="450">
        <v>6582</v>
      </c>
      <c r="G29" s="451"/>
      <c r="H29" s="451"/>
      <c r="I29" s="451"/>
      <c r="J29" s="450">
        <v>703</v>
      </c>
      <c r="K29" s="450">
        <v>3130</v>
      </c>
      <c r="L29" s="450">
        <v>412</v>
      </c>
      <c r="M29" s="352" t="s">
        <v>3</v>
      </c>
    </row>
    <row r="30" spans="1:13" x14ac:dyDescent="0.35">
      <c r="A30" s="352">
        <v>29</v>
      </c>
      <c r="B30" s="449" t="s">
        <v>944</v>
      </c>
      <c r="C30" s="450">
        <v>4037</v>
      </c>
      <c r="D30" s="450">
        <v>818</v>
      </c>
      <c r="E30" s="450">
        <v>2124</v>
      </c>
      <c r="F30" s="450">
        <v>6285</v>
      </c>
      <c r="G30" s="451"/>
      <c r="H30" s="451"/>
      <c r="I30" s="451"/>
      <c r="J30" s="450">
        <v>1194</v>
      </c>
      <c r="K30" s="450">
        <v>2596</v>
      </c>
      <c r="L30" s="450">
        <v>247</v>
      </c>
      <c r="M30" s="352" t="s">
        <v>3</v>
      </c>
    </row>
    <row r="31" spans="1:13" x14ac:dyDescent="0.35">
      <c r="A31" s="352">
        <v>30</v>
      </c>
      <c r="B31" s="449" t="s">
        <v>943</v>
      </c>
      <c r="C31" s="450">
        <v>3869</v>
      </c>
      <c r="D31" s="450">
        <v>1186</v>
      </c>
      <c r="E31" s="450">
        <v>3586</v>
      </c>
      <c r="F31" s="450">
        <v>3111</v>
      </c>
      <c r="G31" s="451"/>
      <c r="H31" s="451"/>
      <c r="I31" s="451"/>
      <c r="J31" s="450">
        <v>169</v>
      </c>
      <c r="K31" s="450">
        <v>3023</v>
      </c>
      <c r="L31" s="450">
        <v>677</v>
      </c>
      <c r="M31" s="352" t="s">
        <v>3</v>
      </c>
    </row>
    <row r="32" spans="1:13" x14ac:dyDescent="0.35">
      <c r="A32" s="352">
        <v>31</v>
      </c>
      <c r="B32" s="449" t="s">
        <v>946</v>
      </c>
      <c r="C32" s="450">
        <v>3222</v>
      </c>
      <c r="D32" s="450">
        <v>714</v>
      </c>
      <c r="E32" s="450">
        <v>1876</v>
      </c>
      <c r="F32" s="450">
        <v>3671</v>
      </c>
      <c r="G32" s="451"/>
      <c r="H32" s="451"/>
      <c r="I32" s="451"/>
      <c r="J32" s="450">
        <v>421</v>
      </c>
      <c r="K32" s="450">
        <v>2628</v>
      </c>
      <c r="L32" s="450">
        <v>173</v>
      </c>
      <c r="M32" s="352" t="s">
        <v>3</v>
      </c>
    </row>
    <row r="33" spans="1:13" x14ac:dyDescent="0.35">
      <c r="A33" s="352">
        <v>32</v>
      </c>
      <c r="B33" s="449" t="s">
        <v>945</v>
      </c>
      <c r="C33" s="450">
        <v>3112</v>
      </c>
      <c r="D33" s="450">
        <v>1106</v>
      </c>
      <c r="E33" s="450">
        <v>2168</v>
      </c>
      <c r="F33" s="450">
        <v>3807</v>
      </c>
      <c r="G33" s="451"/>
      <c r="H33" s="451"/>
      <c r="I33" s="451"/>
      <c r="J33" s="450">
        <v>948</v>
      </c>
      <c r="K33" s="450">
        <v>1961</v>
      </c>
      <c r="L33" s="450">
        <v>203</v>
      </c>
      <c r="M33" s="352" t="s">
        <v>3</v>
      </c>
    </row>
    <row r="34" spans="1:13" x14ac:dyDescent="0.35">
      <c r="A34" s="352">
        <v>33</v>
      </c>
      <c r="B34" s="449" t="s">
        <v>954</v>
      </c>
      <c r="C34" s="450">
        <v>3015</v>
      </c>
      <c r="D34" s="450">
        <v>1186</v>
      </c>
      <c r="E34" s="450">
        <v>3003</v>
      </c>
      <c r="F34" s="450">
        <v>2499</v>
      </c>
      <c r="G34" s="451"/>
      <c r="H34" s="451"/>
      <c r="I34" s="451"/>
      <c r="J34" s="450">
        <v>445</v>
      </c>
      <c r="K34" s="450">
        <v>2531</v>
      </c>
      <c r="L34" s="450">
        <v>39</v>
      </c>
      <c r="M34" s="352" t="s">
        <v>3</v>
      </c>
    </row>
    <row r="35" spans="1:13" x14ac:dyDescent="0.35">
      <c r="A35" s="352">
        <v>34</v>
      </c>
      <c r="B35" s="449" t="s">
        <v>950</v>
      </c>
      <c r="C35" s="450">
        <v>2339</v>
      </c>
      <c r="D35" s="450">
        <v>646</v>
      </c>
      <c r="E35" s="450">
        <v>1046</v>
      </c>
      <c r="F35" s="450">
        <v>4691</v>
      </c>
      <c r="G35" s="451"/>
      <c r="H35" s="451"/>
      <c r="I35" s="451"/>
      <c r="J35" s="450">
        <v>160</v>
      </c>
      <c r="K35" s="450">
        <v>1620</v>
      </c>
      <c r="L35" s="450">
        <v>559</v>
      </c>
      <c r="M35" s="352" t="s">
        <v>3</v>
      </c>
    </row>
    <row r="36" spans="1:13" x14ac:dyDescent="0.35">
      <c r="A36" s="352">
        <v>35</v>
      </c>
      <c r="B36" s="449" t="s">
        <v>956</v>
      </c>
      <c r="C36" s="450">
        <v>1560</v>
      </c>
      <c r="D36" s="450">
        <v>623</v>
      </c>
      <c r="E36" s="450">
        <v>578</v>
      </c>
      <c r="F36" s="450">
        <v>2032</v>
      </c>
      <c r="G36" s="451"/>
      <c r="H36" s="451"/>
      <c r="I36" s="451"/>
      <c r="J36" s="450">
        <v>511</v>
      </c>
      <c r="K36" s="450">
        <v>928</v>
      </c>
      <c r="L36" s="450">
        <v>121</v>
      </c>
      <c r="M36" s="352" t="s">
        <v>3</v>
      </c>
    </row>
    <row r="37" spans="1:13" x14ac:dyDescent="0.35">
      <c r="A37" s="352">
        <v>36</v>
      </c>
      <c r="B37" s="449" t="s">
        <v>949</v>
      </c>
      <c r="C37" s="450">
        <v>1476</v>
      </c>
      <c r="D37" s="450">
        <v>585</v>
      </c>
      <c r="E37" s="450">
        <v>580</v>
      </c>
      <c r="F37" s="450">
        <v>13810</v>
      </c>
      <c r="G37" s="451"/>
      <c r="H37" s="451"/>
      <c r="I37" s="451"/>
      <c r="J37" s="450">
        <v>406</v>
      </c>
      <c r="K37" s="450">
        <v>992</v>
      </c>
      <c r="L37" s="450">
        <v>78</v>
      </c>
      <c r="M37" s="352" t="s">
        <v>3</v>
      </c>
    </row>
    <row r="38" spans="1:13" x14ac:dyDescent="0.35">
      <c r="A38" s="352">
        <v>37</v>
      </c>
      <c r="B38" s="449" t="s">
        <v>959</v>
      </c>
      <c r="C38" s="450">
        <v>1423</v>
      </c>
      <c r="D38" s="450">
        <v>1112</v>
      </c>
      <c r="E38" s="450">
        <v>1166</v>
      </c>
      <c r="F38" s="450">
        <v>1425</v>
      </c>
      <c r="G38" s="451"/>
      <c r="H38" s="451"/>
      <c r="I38" s="451"/>
      <c r="J38" s="450">
        <v>257</v>
      </c>
      <c r="K38" s="450">
        <v>1049</v>
      </c>
      <c r="L38" s="450">
        <v>117</v>
      </c>
      <c r="M38" s="352" t="s">
        <v>3</v>
      </c>
    </row>
    <row r="39" spans="1:13" ht="14.5" customHeight="1" x14ac:dyDescent="0.35">
      <c r="A39" s="352">
        <v>38</v>
      </c>
      <c r="B39" s="449" t="s">
        <v>958</v>
      </c>
      <c r="C39" s="450">
        <v>1233</v>
      </c>
      <c r="D39" s="450">
        <v>957</v>
      </c>
      <c r="E39" s="450">
        <v>1143</v>
      </c>
      <c r="F39" s="450">
        <v>4674</v>
      </c>
      <c r="G39" s="451"/>
      <c r="H39" s="451"/>
      <c r="I39" s="451"/>
      <c r="J39" s="450">
        <v>16</v>
      </c>
      <c r="K39" s="450">
        <v>1194</v>
      </c>
      <c r="L39" s="450">
        <v>23</v>
      </c>
      <c r="M39" s="352" t="s">
        <v>3</v>
      </c>
    </row>
    <row r="40" spans="1:13" x14ac:dyDescent="0.35">
      <c r="A40" s="352">
        <v>39</v>
      </c>
      <c r="B40" s="449" t="s">
        <v>951</v>
      </c>
      <c r="C40" s="450">
        <v>1220</v>
      </c>
      <c r="D40" s="450">
        <v>747</v>
      </c>
      <c r="E40" s="450">
        <v>623</v>
      </c>
      <c r="F40" s="450">
        <v>1255</v>
      </c>
      <c r="G40" s="451"/>
      <c r="H40" s="451"/>
      <c r="I40" s="451"/>
      <c r="J40" s="450">
        <v>385</v>
      </c>
      <c r="K40" s="450">
        <v>834</v>
      </c>
      <c r="L40" s="450">
        <v>1</v>
      </c>
      <c r="M40" s="352" t="s">
        <v>3</v>
      </c>
    </row>
    <row r="41" spans="1:13" x14ac:dyDescent="0.35">
      <c r="A41" s="352">
        <v>40</v>
      </c>
      <c r="B41" s="449" t="s">
        <v>965</v>
      </c>
      <c r="C41" s="450">
        <v>895</v>
      </c>
      <c r="D41" s="450">
        <v>858</v>
      </c>
      <c r="E41" s="450">
        <v>483</v>
      </c>
      <c r="F41" s="450">
        <v>2675</v>
      </c>
      <c r="G41" s="451"/>
      <c r="H41" s="451"/>
      <c r="I41" s="451"/>
      <c r="J41" s="450">
        <v>198</v>
      </c>
      <c r="K41" s="450">
        <v>563</v>
      </c>
      <c r="L41" s="450">
        <v>134</v>
      </c>
      <c r="M41" s="352" t="s">
        <v>3</v>
      </c>
    </row>
    <row r="42" spans="1:13" ht="14.5" customHeight="1" x14ac:dyDescent="0.35">
      <c r="A42" s="352">
        <v>41</v>
      </c>
      <c r="B42" s="449" t="s">
        <v>960</v>
      </c>
      <c r="C42" s="450">
        <v>888</v>
      </c>
      <c r="D42" s="450">
        <v>799</v>
      </c>
      <c r="E42" s="450">
        <v>381</v>
      </c>
      <c r="F42" s="450">
        <v>1050</v>
      </c>
      <c r="G42" s="451"/>
      <c r="H42" s="451"/>
      <c r="I42" s="451"/>
      <c r="J42" s="450">
        <v>276</v>
      </c>
      <c r="K42" s="450">
        <v>477</v>
      </c>
      <c r="L42" s="450">
        <v>135</v>
      </c>
      <c r="M42" s="352" t="s">
        <v>3</v>
      </c>
    </row>
    <row r="43" spans="1:13" x14ac:dyDescent="0.35">
      <c r="A43" s="352">
        <v>42</v>
      </c>
      <c r="B43" s="449" t="s">
        <v>961</v>
      </c>
      <c r="C43" s="450">
        <v>637</v>
      </c>
      <c r="D43" s="450">
        <v>835</v>
      </c>
      <c r="E43" s="450">
        <v>278</v>
      </c>
      <c r="F43" s="450">
        <v>342</v>
      </c>
      <c r="G43" s="451"/>
      <c r="H43" s="451"/>
      <c r="I43" s="451"/>
      <c r="J43" s="450">
        <v>243</v>
      </c>
      <c r="K43" s="450">
        <v>333</v>
      </c>
      <c r="L43" s="450">
        <v>61</v>
      </c>
      <c r="M43" s="352" t="s">
        <v>3</v>
      </c>
    </row>
    <row r="44" spans="1:13" ht="14.5" customHeight="1" x14ac:dyDescent="0.35">
      <c r="A44" s="352">
        <v>43</v>
      </c>
      <c r="B44" s="449" t="s">
        <v>948</v>
      </c>
      <c r="C44" s="450">
        <v>495</v>
      </c>
      <c r="D44" s="450">
        <v>745</v>
      </c>
      <c r="E44" s="450">
        <v>254</v>
      </c>
      <c r="F44" s="450">
        <v>264</v>
      </c>
      <c r="G44" s="451"/>
      <c r="H44" s="451"/>
      <c r="I44" s="451"/>
      <c r="J44" s="450">
        <v>29</v>
      </c>
      <c r="K44" s="450">
        <v>341</v>
      </c>
      <c r="L44" s="450">
        <v>125</v>
      </c>
      <c r="M44" s="352" t="s">
        <v>3</v>
      </c>
    </row>
    <row r="45" spans="1:13" x14ac:dyDescent="0.35">
      <c r="A45" s="352">
        <v>44</v>
      </c>
      <c r="B45" s="449" t="s">
        <v>973</v>
      </c>
      <c r="C45" s="450">
        <v>387</v>
      </c>
      <c r="D45" s="450">
        <v>1052</v>
      </c>
      <c r="E45" s="450">
        <v>122</v>
      </c>
      <c r="F45" s="450">
        <v>451</v>
      </c>
      <c r="G45" s="451"/>
      <c r="H45" s="451"/>
      <c r="I45" s="451"/>
      <c r="J45" s="450">
        <v>125</v>
      </c>
      <c r="K45" s="450">
        <v>116</v>
      </c>
      <c r="L45" s="450">
        <v>146</v>
      </c>
      <c r="M45" s="352" t="s">
        <v>3</v>
      </c>
    </row>
    <row r="46" spans="1:13" ht="14.5" customHeight="1" x14ac:dyDescent="0.35">
      <c r="A46" s="352">
        <v>45</v>
      </c>
      <c r="B46" s="449" t="s">
        <v>963</v>
      </c>
      <c r="C46" s="450">
        <v>349</v>
      </c>
      <c r="D46" s="450">
        <v>1548</v>
      </c>
      <c r="E46" s="450">
        <v>480</v>
      </c>
      <c r="F46" s="450">
        <v>207</v>
      </c>
      <c r="G46" s="451"/>
      <c r="H46" s="451"/>
      <c r="I46" s="451"/>
      <c r="J46" s="450">
        <v>11</v>
      </c>
      <c r="K46" s="450">
        <v>310</v>
      </c>
      <c r="L46" s="450">
        <v>28</v>
      </c>
      <c r="M46" s="352" t="s">
        <v>3</v>
      </c>
    </row>
    <row r="47" spans="1:13" ht="14.5" customHeight="1" x14ac:dyDescent="0.35">
      <c r="A47" s="352">
        <v>46</v>
      </c>
      <c r="B47" s="449" t="s">
        <v>947</v>
      </c>
      <c r="C47" s="450">
        <v>297</v>
      </c>
      <c r="D47" s="450">
        <v>1455</v>
      </c>
      <c r="E47" s="450">
        <v>227</v>
      </c>
      <c r="F47" s="450">
        <v>724</v>
      </c>
      <c r="G47" s="451"/>
      <c r="H47" s="451"/>
      <c r="I47" s="451"/>
      <c r="J47" s="450">
        <v>129</v>
      </c>
      <c r="K47" s="450">
        <v>156</v>
      </c>
      <c r="L47" s="450">
        <v>12</v>
      </c>
      <c r="M47" s="352" t="s">
        <v>3</v>
      </c>
    </row>
    <row r="48" spans="1:13" x14ac:dyDescent="0.35">
      <c r="A48" s="352">
        <v>47</v>
      </c>
      <c r="B48" s="449" t="s">
        <v>962</v>
      </c>
      <c r="C48" s="450">
        <v>283</v>
      </c>
      <c r="D48" s="450">
        <v>1032</v>
      </c>
      <c r="E48" s="450">
        <v>228</v>
      </c>
      <c r="F48" s="450">
        <v>164</v>
      </c>
      <c r="G48" s="451"/>
      <c r="H48" s="451"/>
      <c r="I48" s="451"/>
      <c r="J48" s="450">
        <v>48</v>
      </c>
      <c r="K48" s="450">
        <v>221</v>
      </c>
      <c r="L48" s="450">
        <v>14</v>
      </c>
      <c r="M48" s="352" t="s">
        <v>3</v>
      </c>
    </row>
    <row r="49" spans="1:13" x14ac:dyDescent="0.35">
      <c r="A49" s="352">
        <v>48</v>
      </c>
      <c r="B49" s="449" t="s">
        <v>1329</v>
      </c>
      <c r="C49" s="450">
        <v>222</v>
      </c>
      <c r="D49" s="450">
        <v>855</v>
      </c>
      <c r="E49" s="450">
        <v>65</v>
      </c>
      <c r="F49" s="450">
        <v>306</v>
      </c>
      <c r="G49" s="451"/>
      <c r="H49" s="451"/>
      <c r="I49" s="451"/>
      <c r="J49" s="450">
        <v>125</v>
      </c>
      <c r="K49" s="450">
        <v>76</v>
      </c>
      <c r="L49" s="450">
        <v>21</v>
      </c>
      <c r="M49" s="352" t="s">
        <v>3</v>
      </c>
    </row>
    <row r="50" spans="1:13" x14ac:dyDescent="0.35">
      <c r="A50" s="352">
        <v>49</v>
      </c>
      <c r="B50" s="449" t="s">
        <v>957</v>
      </c>
      <c r="C50" s="450">
        <v>221</v>
      </c>
      <c r="D50" s="450">
        <v>798</v>
      </c>
      <c r="E50" s="450">
        <v>146</v>
      </c>
      <c r="F50" s="450">
        <v>340</v>
      </c>
      <c r="G50" s="451"/>
      <c r="H50" s="451"/>
      <c r="I50" s="451"/>
      <c r="J50" s="450">
        <v>32</v>
      </c>
      <c r="K50" s="450">
        <v>183</v>
      </c>
      <c r="L50" s="450">
        <v>6</v>
      </c>
      <c r="M50" s="352" t="s">
        <v>3</v>
      </c>
    </row>
    <row r="51" spans="1:13" x14ac:dyDescent="0.35">
      <c r="A51" s="352">
        <v>50</v>
      </c>
      <c r="B51" s="449" t="s">
        <v>972</v>
      </c>
      <c r="C51" s="450">
        <v>140</v>
      </c>
      <c r="D51" s="450">
        <v>895</v>
      </c>
      <c r="E51" s="450">
        <v>111</v>
      </c>
      <c r="F51" s="450">
        <v>180</v>
      </c>
      <c r="G51" s="451"/>
      <c r="H51" s="451"/>
      <c r="I51" s="451"/>
      <c r="J51" s="450">
        <v>11</v>
      </c>
      <c r="K51" s="450">
        <v>124</v>
      </c>
      <c r="L51" s="450">
        <v>5</v>
      </c>
      <c r="M51" s="352" t="s">
        <v>3</v>
      </c>
    </row>
    <row r="52" spans="1:13" x14ac:dyDescent="0.35">
      <c r="A52" s="352">
        <v>51</v>
      </c>
      <c r="B52" s="449" t="s">
        <v>966</v>
      </c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352" t="s">
        <v>3</v>
      </c>
    </row>
    <row r="53" spans="1:13" x14ac:dyDescent="0.35">
      <c r="A53" s="352">
        <v>52</v>
      </c>
      <c r="B53" s="449" t="s">
        <v>967</v>
      </c>
      <c r="C53" s="451"/>
      <c r="D53" s="451"/>
      <c r="E53" s="451"/>
      <c r="F53" s="451"/>
      <c r="G53" s="452"/>
      <c r="H53" s="452"/>
      <c r="I53" s="452"/>
      <c r="J53" s="451"/>
      <c r="K53" s="451"/>
      <c r="L53" s="451"/>
      <c r="M53" s="352" t="s">
        <v>3</v>
      </c>
    </row>
    <row r="54" spans="1:13" x14ac:dyDescent="0.35">
      <c r="A54" s="352">
        <v>53</v>
      </c>
      <c r="B54" s="449" t="s">
        <v>968</v>
      </c>
      <c r="C54" s="451"/>
      <c r="D54" s="451"/>
      <c r="E54" s="451"/>
      <c r="F54" s="451"/>
      <c r="G54" s="452"/>
      <c r="H54" s="452"/>
      <c r="I54" s="452"/>
      <c r="J54" s="451"/>
      <c r="K54" s="451"/>
      <c r="L54" s="451"/>
      <c r="M54" s="352" t="s">
        <v>3</v>
      </c>
    </row>
    <row r="55" spans="1:13" x14ac:dyDescent="0.35">
      <c r="A55" s="352">
        <v>54</v>
      </c>
      <c r="B55" s="449" t="s">
        <v>969</v>
      </c>
      <c r="C55" s="451"/>
      <c r="D55" s="451"/>
      <c r="E55" s="451"/>
      <c r="F55" s="451"/>
      <c r="G55" s="452"/>
      <c r="H55" s="452"/>
      <c r="I55" s="452"/>
      <c r="J55" s="451"/>
      <c r="K55" s="451"/>
      <c r="L55" s="451"/>
      <c r="M55" s="352" t="s">
        <v>3</v>
      </c>
    </row>
    <row r="56" spans="1:13" x14ac:dyDescent="0.35">
      <c r="A56" s="352">
        <v>55</v>
      </c>
      <c r="B56" s="449" t="s">
        <v>970</v>
      </c>
      <c r="C56" s="451"/>
      <c r="D56" s="451"/>
      <c r="E56" s="451"/>
      <c r="F56" s="451"/>
      <c r="G56" s="452"/>
      <c r="H56" s="452"/>
      <c r="I56" s="452"/>
      <c r="J56" s="451"/>
      <c r="K56" s="451"/>
      <c r="L56" s="451"/>
      <c r="M56" s="352" t="s">
        <v>3</v>
      </c>
    </row>
    <row r="57" spans="1:13" x14ac:dyDescent="0.35">
      <c r="A57" s="352">
        <v>56</v>
      </c>
      <c r="B57" s="449" t="s">
        <v>971</v>
      </c>
      <c r="C57" s="451"/>
      <c r="D57" s="451"/>
      <c r="E57" s="451"/>
      <c r="F57" s="451"/>
      <c r="G57" s="452"/>
      <c r="H57" s="452"/>
      <c r="I57" s="452"/>
      <c r="J57" s="451"/>
      <c r="K57" s="451"/>
      <c r="L57" s="451"/>
      <c r="M57" s="352" t="s">
        <v>3</v>
      </c>
    </row>
    <row r="58" spans="1:13" x14ac:dyDescent="0.35">
      <c r="A58" s="352">
        <v>57</v>
      </c>
      <c r="B58" s="453" t="s">
        <v>216</v>
      </c>
      <c r="C58" s="454">
        <v>2889</v>
      </c>
      <c r="D58" s="454">
        <v>110</v>
      </c>
      <c r="E58" s="454">
        <v>253</v>
      </c>
      <c r="F58" s="454">
        <v>2450</v>
      </c>
      <c r="G58" s="455"/>
      <c r="H58" s="455"/>
      <c r="I58" s="455"/>
      <c r="J58" s="454">
        <v>244</v>
      </c>
      <c r="K58" s="454">
        <v>2301</v>
      </c>
      <c r="L58" s="454">
        <v>344</v>
      </c>
      <c r="M58" s="352" t="s">
        <v>4</v>
      </c>
    </row>
    <row r="59" spans="1:13" ht="14.5" customHeight="1" x14ac:dyDescent="0.35">
      <c r="A59" s="352">
        <v>58</v>
      </c>
      <c r="B59" s="453" t="s">
        <v>225</v>
      </c>
      <c r="C59" s="454">
        <v>24640</v>
      </c>
      <c r="D59" s="454">
        <v>700</v>
      </c>
      <c r="E59" s="454">
        <v>11983</v>
      </c>
      <c r="F59" s="454">
        <v>17706</v>
      </c>
      <c r="G59" s="454"/>
      <c r="H59" s="456"/>
      <c r="I59" s="456"/>
      <c r="J59" s="454">
        <v>6513</v>
      </c>
      <c r="K59" s="454">
        <v>17121</v>
      </c>
      <c r="L59" s="454">
        <v>1006</v>
      </c>
      <c r="M59" s="352" t="s">
        <v>4</v>
      </c>
    </row>
    <row r="60" spans="1:13" x14ac:dyDescent="0.35">
      <c r="A60" s="352">
        <v>59</v>
      </c>
      <c r="B60" s="453" t="s">
        <v>221</v>
      </c>
      <c r="C60" s="454">
        <v>23236</v>
      </c>
      <c r="D60" s="454">
        <v>876</v>
      </c>
      <c r="E60" s="454">
        <v>11755</v>
      </c>
      <c r="F60" s="454">
        <v>840</v>
      </c>
      <c r="G60" s="455"/>
      <c r="H60" s="455"/>
      <c r="I60" s="455"/>
      <c r="J60" s="454">
        <v>430</v>
      </c>
      <c r="K60" s="454">
        <v>13421</v>
      </c>
      <c r="L60" s="454">
        <v>9385</v>
      </c>
      <c r="M60" s="352" t="s">
        <v>4</v>
      </c>
    </row>
    <row r="61" spans="1:13" x14ac:dyDescent="0.35">
      <c r="A61" s="352">
        <v>60</v>
      </c>
      <c r="B61" s="453" t="s">
        <v>228</v>
      </c>
      <c r="C61" s="454">
        <v>15657</v>
      </c>
      <c r="D61" s="454">
        <v>706</v>
      </c>
      <c r="E61" s="454">
        <v>6907</v>
      </c>
      <c r="F61" s="454">
        <v>6317</v>
      </c>
      <c r="G61" s="454"/>
      <c r="H61" s="454"/>
      <c r="I61" s="454"/>
      <c r="J61" s="454">
        <v>4477</v>
      </c>
      <c r="K61" s="454">
        <v>9779</v>
      </c>
      <c r="L61" s="454">
        <v>1401</v>
      </c>
      <c r="M61" s="352" t="s">
        <v>4</v>
      </c>
    </row>
    <row r="62" spans="1:13" x14ac:dyDescent="0.35">
      <c r="A62" s="352">
        <v>61</v>
      </c>
      <c r="B62" s="453" t="s">
        <v>224</v>
      </c>
      <c r="C62" s="454">
        <v>8294</v>
      </c>
      <c r="D62" s="454">
        <v>895</v>
      </c>
      <c r="E62" s="454">
        <v>4090</v>
      </c>
      <c r="F62" s="454">
        <v>750</v>
      </c>
      <c r="G62" s="454"/>
      <c r="H62" s="456"/>
      <c r="I62" s="456"/>
      <c r="J62" s="454">
        <v>2285</v>
      </c>
      <c r="K62" s="454">
        <v>4570</v>
      </c>
      <c r="L62" s="454">
        <v>1439</v>
      </c>
      <c r="M62" s="352" t="s">
        <v>4</v>
      </c>
    </row>
    <row r="63" spans="1:13" x14ac:dyDescent="0.35">
      <c r="A63" s="352">
        <v>62</v>
      </c>
      <c r="B63" s="453" t="s">
        <v>223</v>
      </c>
      <c r="C63" s="454">
        <v>8078</v>
      </c>
      <c r="D63" s="454">
        <v>1075</v>
      </c>
      <c r="E63" s="454">
        <v>4837</v>
      </c>
      <c r="F63" s="454">
        <v>8624</v>
      </c>
      <c r="G63" s="454"/>
      <c r="H63" s="456"/>
      <c r="I63" s="456"/>
      <c r="J63" s="454">
        <v>2996</v>
      </c>
      <c r="K63" s="454">
        <v>450</v>
      </c>
      <c r="L63" s="454">
        <v>582</v>
      </c>
      <c r="M63" s="352" t="s">
        <v>4</v>
      </c>
    </row>
    <row r="64" spans="1:13" x14ac:dyDescent="0.35">
      <c r="A64" s="352">
        <v>63</v>
      </c>
      <c r="B64" s="453" t="s">
        <v>220</v>
      </c>
      <c r="C64" s="454">
        <v>6140</v>
      </c>
      <c r="D64" s="454">
        <v>999</v>
      </c>
      <c r="E64" s="454">
        <v>3819</v>
      </c>
      <c r="F64" s="454">
        <v>10313</v>
      </c>
      <c r="G64" s="455"/>
      <c r="H64" s="455"/>
      <c r="I64" s="455"/>
      <c r="J64" s="454">
        <v>30</v>
      </c>
      <c r="K64" s="454">
        <v>3821</v>
      </c>
      <c r="L64" s="454">
        <v>2289</v>
      </c>
      <c r="M64" s="352" t="s">
        <v>4</v>
      </c>
    </row>
    <row r="65" spans="1:13" x14ac:dyDescent="0.35">
      <c r="A65" s="352">
        <v>64</v>
      </c>
      <c r="B65" s="453" t="s">
        <v>217</v>
      </c>
      <c r="C65" s="454">
        <v>4526</v>
      </c>
      <c r="D65" s="454">
        <v>417</v>
      </c>
      <c r="E65" s="454">
        <v>1</v>
      </c>
      <c r="F65" s="454">
        <v>6716</v>
      </c>
      <c r="G65" s="455"/>
      <c r="H65" s="455"/>
      <c r="I65" s="455"/>
      <c r="J65" s="454">
        <v>870</v>
      </c>
      <c r="K65" s="454">
        <v>2398</v>
      </c>
      <c r="L65" s="454">
        <v>1258</v>
      </c>
      <c r="M65" s="352" t="s">
        <v>4</v>
      </c>
    </row>
    <row r="66" spans="1:13" x14ac:dyDescent="0.35">
      <c r="A66" s="352">
        <v>65</v>
      </c>
      <c r="B66" s="453" t="s">
        <v>218</v>
      </c>
      <c r="C66" s="454">
        <v>4040</v>
      </c>
      <c r="D66" s="454">
        <v>654</v>
      </c>
      <c r="E66" s="454">
        <v>1561</v>
      </c>
      <c r="F66" s="454">
        <v>5280</v>
      </c>
      <c r="G66" s="455"/>
      <c r="H66" s="455"/>
      <c r="I66" s="455"/>
      <c r="J66" s="454">
        <v>1618</v>
      </c>
      <c r="K66" s="454">
        <v>2386</v>
      </c>
      <c r="L66" s="454">
        <v>36</v>
      </c>
      <c r="M66" s="352" t="s">
        <v>4</v>
      </c>
    </row>
    <row r="67" spans="1:13" x14ac:dyDescent="0.35">
      <c r="A67" s="352">
        <v>66</v>
      </c>
      <c r="B67" s="453" t="s">
        <v>227</v>
      </c>
      <c r="C67" s="454">
        <v>3774</v>
      </c>
      <c r="D67" s="454">
        <v>843</v>
      </c>
      <c r="E67" s="454">
        <v>2250</v>
      </c>
      <c r="F67" s="454">
        <v>6369</v>
      </c>
      <c r="G67" s="454"/>
      <c r="H67" s="454"/>
      <c r="I67" s="454"/>
      <c r="J67" s="454">
        <v>266</v>
      </c>
      <c r="K67" s="454">
        <v>2668</v>
      </c>
      <c r="L67" s="454">
        <v>840</v>
      </c>
      <c r="M67" s="352" t="s">
        <v>4</v>
      </c>
    </row>
    <row r="68" spans="1:13" x14ac:dyDescent="0.35">
      <c r="A68" s="352">
        <v>67</v>
      </c>
      <c r="B68" s="453" t="s">
        <v>219</v>
      </c>
      <c r="C68" s="454">
        <v>3564</v>
      </c>
      <c r="D68" s="454">
        <v>532</v>
      </c>
      <c r="E68" s="454">
        <v>1083</v>
      </c>
      <c r="F68" s="454">
        <v>360</v>
      </c>
      <c r="G68" s="455"/>
      <c r="H68" s="455"/>
      <c r="I68" s="455"/>
      <c r="J68" s="454">
        <v>669</v>
      </c>
      <c r="K68" s="454">
        <v>2034</v>
      </c>
      <c r="L68" s="454">
        <v>861</v>
      </c>
      <c r="M68" s="352" t="s">
        <v>4</v>
      </c>
    </row>
    <row r="69" spans="1:13" x14ac:dyDescent="0.35">
      <c r="A69" s="352">
        <v>68</v>
      </c>
      <c r="B69" s="453" t="s">
        <v>231</v>
      </c>
      <c r="C69" s="454">
        <v>3471</v>
      </c>
      <c r="D69" s="454">
        <v>340</v>
      </c>
      <c r="E69" s="454">
        <v>543</v>
      </c>
      <c r="F69" s="454">
        <v>3630</v>
      </c>
      <c r="G69" s="454"/>
      <c r="H69" s="454"/>
      <c r="I69" s="454"/>
      <c r="J69" s="454">
        <v>83</v>
      </c>
      <c r="K69" s="454">
        <v>1598</v>
      </c>
      <c r="L69" s="454">
        <v>179</v>
      </c>
      <c r="M69" s="352" t="s">
        <v>4</v>
      </c>
    </row>
    <row r="70" spans="1:13" x14ac:dyDescent="0.35">
      <c r="A70" s="352">
        <v>69</v>
      </c>
      <c r="B70" s="453" t="s">
        <v>226</v>
      </c>
      <c r="C70" s="454">
        <v>2387</v>
      </c>
      <c r="D70" s="454">
        <v>870</v>
      </c>
      <c r="E70" s="454">
        <v>934</v>
      </c>
      <c r="F70" s="454">
        <v>3548</v>
      </c>
      <c r="G70" s="454"/>
      <c r="H70" s="456"/>
      <c r="I70" s="456"/>
      <c r="J70" s="454">
        <v>1314</v>
      </c>
      <c r="K70" s="454">
        <v>1073</v>
      </c>
      <c r="L70" s="457"/>
      <c r="M70" s="352" t="s">
        <v>4</v>
      </c>
    </row>
    <row r="71" spans="1:13" x14ac:dyDescent="0.35">
      <c r="A71" s="352">
        <v>70</v>
      </c>
      <c r="B71" s="453" t="s">
        <v>234</v>
      </c>
      <c r="C71" s="454">
        <v>1554</v>
      </c>
      <c r="D71" s="454">
        <v>717</v>
      </c>
      <c r="E71" s="454">
        <v>975</v>
      </c>
      <c r="F71" s="454">
        <v>3544</v>
      </c>
      <c r="G71" s="455"/>
      <c r="H71" s="455"/>
      <c r="I71" s="455"/>
      <c r="J71" s="454">
        <v>181</v>
      </c>
      <c r="K71" s="454">
        <v>1360</v>
      </c>
      <c r="L71" s="454">
        <v>13</v>
      </c>
      <c r="M71" s="352" t="s">
        <v>4</v>
      </c>
    </row>
    <row r="72" spans="1:13" x14ac:dyDescent="0.35">
      <c r="A72" s="352">
        <v>71</v>
      </c>
      <c r="B72" s="453" t="s">
        <v>229</v>
      </c>
      <c r="C72" s="454">
        <v>1153</v>
      </c>
      <c r="D72" s="454">
        <v>906</v>
      </c>
      <c r="E72" s="454">
        <v>605</v>
      </c>
      <c r="F72" s="454">
        <v>1655</v>
      </c>
      <c r="G72" s="454"/>
      <c r="H72" s="454"/>
      <c r="I72" s="454"/>
      <c r="J72" s="454">
        <v>454</v>
      </c>
      <c r="K72" s="454">
        <v>668</v>
      </c>
      <c r="L72" s="454">
        <v>31</v>
      </c>
      <c r="M72" s="352" t="s">
        <v>4</v>
      </c>
    </row>
    <row r="73" spans="1:13" x14ac:dyDescent="0.35">
      <c r="A73" s="352">
        <v>72</v>
      </c>
      <c r="B73" s="453" t="s">
        <v>222</v>
      </c>
      <c r="C73" s="454">
        <v>805</v>
      </c>
      <c r="D73" s="454">
        <v>416</v>
      </c>
      <c r="E73" s="454">
        <v>212</v>
      </c>
      <c r="F73" s="454">
        <v>600</v>
      </c>
      <c r="G73" s="458"/>
      <c r="H73" s="458"/>
      <c r="I73" s="458"/>
      <c r="J73" s="454">
        <v>24</v>
      </c>
      <c r="K73" s="454">
        <v>510</v>
      </c>
      <c r="L73" s="454">
        <v>271</v>
      </c>
      <c r="M73" s="352" t="s">
        <v>4</v>
      </c>
    </row>
    <row r="74" spans="1:13" x14ac:dyDescent="0.35">
      <c r="A74" s="352">
        <v>73</v>
      </c>
      <c r="B74" s="453" t="s">
        <v>230</v>
      </c>
      <c r="C74" s="454">
        <v>452</v>
      </c>
      <c r="D74" s="454">
        <v>696</v>
      </c>
      <c r="E74" s="454">
        <v>245</v>
      </c>
      <c r="F74" s="454">
        <v>382</v>
      </c>
      <c r="G74" s="454"/>
      <c r="H74" s="454"/>
      <c r="I74" s="454"/>
      <c r="J74" s="457"/>
      <c r="K74" s="454">
        <v>352</v>
      </c>
      <c r="L74" s="454">
        <v>100</v>
      </c>
      <c r="M74" s="352" t="s">
        <v>4</v>
      </c>
    </row>
    <row r="75" spans="1:13" x14ac:dyDescent="0.35">
      <c r="A75" s="352">
        <v>74</v>
      </c>
      <c r="B75" s="453" t="s">
        <v>233</v>
      </c>
      <c r="C75" s="454">
        <v>34</v>
      </c>
      <c r="D75" s="454">
        <v>500</v>
      </c>
      <c r="E75" s="454">
        <v>15</v>
      </c>
      <c r="F75" s="454">
        <v>327</v>
      </c>
      <c r="G75" s="455"/>
      <c r="H75" s="455"/>
      <c r="I75" s="455"/>
      <c r="J75" s="454">
        <v>1</v>
      </c>
      <c r="K75" s="454">
        <v>30</v>
      </c>
      <c r="L75" s="454">
        <v>3</v>
      </c>
      <c r="M75" s="352" t="s">
        <v>4</v>
      </c>
    </row>
    <row r="76" spans="1:13" x14ac:dyDescent="0.35">
      <c r="A76" s="352">
        <v>75</v>
      </c>
      <c r="B76" s="453" t="s">
        <v>232</v>
      </c>
      <c r="C76" s="454">
        <v>27</v>
      </c>
      <c r="D76" s="454">
        <v>967</v>
      </c>
      <c r="E76" s="454">
        <v>3</v>
      </c>
      <c r="F76" s="454">
        <v>36</v>
      </c>
      <c r="G76" s="454"/>
      <c r="H76" s="454"/>
      <c r="I76" s="454"/>
      <c r="J76" s="454">
        <v>3</v>
      </c>
      <c r="K76" s="454">
        <v>3</v>
      </c>
      <c r="L76" s="454">
        <v>21</v>
      </c>
      <c r="M76" s="352" t="s">
        <v>4</v>
      </c>
    </row>
    <row r="77" spans="1:13" x14ac:dyDescent="0.35">
      <c r="A77" s="352">
        <v>76</v>
      </c>
      <c r="B77" s="459" t="s">
        <v>897</v>
      </c>
      <c r="C77" s="460">
        <v>270</v>
      </c>
      <c r="D77" s="460">
        <v>216</v>
      </c>
      <c r="E77" s="460">
        <v>35</v>
      </c>
      <c r="F77" s="460">
        <v>2640</v>
      </c>
      <c r="G77" s="461"/>
      <c r="H77" s="462"/>
      <c r="I77" s="461"/>
      <c r="J77" s="460">
        <v>90</v>
      </c>
      <c r="K77" s="460">
        <v>162</v>
      </c>
      <c r="L77" s="460">
        <v>18</v>
      </c>
      <c r="M77" s="352" t="s">
        <v>5</v>
      </c>
    </row>
    <row r="78" spans="1:13" x14ac:dyDescent="0.35">
      <c r="A78" s="352">
        <v>77</v>
      </c>
      <c r="B78" s="459" t="s">
        <v>899</v>
      </c>
      <c r="C78" s="460">
        <v>1888</v>
      </c>
      <c r="D78" s="460">
        <v>479</v>
      </c>
      <c r="E78" s="460">
        <v>450</v>
      </c>
      <c r="F78" s="460">
        <v>1023</v>
      </c>
      <c r="G78" s="461"/>
      <c r="H78" s="462"/>
      <c r="I78" s="461"/>
      <c r="J78" s="460">
        <v>551</v>
      </c>
      <c r="K78" s="460">
        <v>940</v>
      </c>
      <c r="L78" s="460">
        <v>397</v>
      </c>
      <c r="M78" s="352" t="s">
        <v>5</v>
      </c>
    </row>
    <row r="79" spans="1:13" x14ac:dyDescent="0.35">
      <c r="A79" s="352">
        <v>78</v>
      </c>
      <c r="B79" s="459" t="s">
        <v>898</v>
      </c>
      <c r="C79" s="460">
        <v>638</v>
      </c>
      <c r="D79" s="460">
        <v>429</v>
      </c>
      <c r="E79" s="460">
        <v>234</v>
      </c>
      <c r="F79" s="460">
        <v>2654</v>
      </c>
      <c r="G79" s="461"/>
      <c r="H79" s="462"/>
      <c r="I79" s="461"/>
      <c r="J79" s="460">
        <v>52</v>
      </c>
      <c r="K79" s="460">
        <v>546</v>
      </c>
      <c r="L79" s="460">
        <v>40</v>
      </c>
      <c r="M79" s="352" t="s">
        <v>5</v>
      </c>
    </row>
    <row r="80" spans="1:13" x14ac:dyDescent="0.35">
      <c r="A80" s="352">
        <v>79</v>
      </c>
      <c r="B80" s="459" t="s">
        <v>900</v>
      </c>
      <c r="C80" s="460">
        <v>618</v>
      </c>
      <c r="D80" s="460">
        <v>299</v>
      </c>
      <c r="E80" s="460">
        <v>95</v>
      </c>
      <c r="F80" s="460">
        <v>495</v>
      </c>
      <c r="G80" s="461"/>
      <c r="H80" s="462"/>
      <c r="I80" s="461"/>
      <c r="J80" s="460">
        <v>300</v>
      </c>
      <c r="K80" s="460">
        <v>318</v>
      </c>
      <c r="L80" s="461"/>
      <c r="M80" s="352" t="s">
        <v>5</v>
      </c>
    </row>
    <row r="81" spans="1:13" x14ac:dyDescent="0.35">
      <c r="A81" s="352">
        <v>80</v>
      </c>
      <c r="B81" s="459" t="s">
        <v>902</v>
      </c>
      <c r="C81" s="460">
        <v>335</v>
      </c>
      <c r="D81" s="460">
        <v>219</v>
      </c>
      <c r="E81" s="460">
        <v>44</v>
      </c>
      <c r="F81" s="460">
        <v>5696</v>
      </c>
      <c r="G81" s="461"/>
      <c r="H81" s="462"/>
      <c r="I81" s="461"/>
      <c r="J81" s="460">
        <v>84</v>
      </c>
      <c r="K81" s="460">
        <v>201</v>
      </c>
      <c r="L81" s="460">
        <v>50</v>
      </c>
      <c r="M81" s="352" t="s">
        <v>5</v>
      </c>
    </row>
    <row r="82" spans="1:13" x14ac:dyDescent="0.35">
      <c r="A82" s="352">
        <v>81</v>
      </c>
      <c r="B82" s="459" t="s">
        <v>657</v>
      </c>
      <c r="C82" s="460">
        <v>269</v>
      </c>
      <c r="D82" s="460">
        <v>630</v>
      </c>
      <c r="E82" s="460">
        <v>114</v>
      </c>
      <c r="F82" s="460">
        <v>487</v>
      </c>
      <c r="G82" s="461"/>
      <c r="H82" s="462"/>
      <c r="I82" s="461"/>
      <c r="J82" s="460">
        <v>62</v>
      </c>
      <c r="K82" s="460">
        <v>181</v>
      </c>
      <c r="L82" s="460">
        <v>26</v>
      </c>
      <c r="M82" s="352" t="s">
        <v>5</v>
      </c>
    </row>
    <row r="83" spans="1:13" x14ac:dyDescent="0.35">
      <c r="A83" s="352">
        <v>82</v>
      </c>
      <c r="B83" s="459" t="s">
        <v>655</v>
      </c>
      <c r="C83" s="460">
        <v>195</v>
      </c>
      <c r="D83" s="460">
        <v>617</v>
      </c>
      <c r="E83" s="460">
        <v>37</v>
      </c>
      <c r="F83" s="460">
        <v>492</v>
      </c>
      <c r="G83" s="461"/>
      <c r="H83" s="462"/>
      <c r="I83" s="461"/>
      <c r="J83" s="461"/>
      <c r="K83" s="460">
        <v>60</v>
      </c>
      <c r="L83" s="460">
        <v>135</v>
      </c>
      <c r="M83" s="352" t="s">
        <v>5</v>
      </c>
    </row>
    <row r="84" spans="1:13" x14ac:dyDescent="0.35">
      <c r="A84" s="352">
        <v>83</v>
      </c>
      <c r="B84" s="459" t="s">
        <v>901</v>
      </c>
      <c r="C84" s="460">
        <v>69</v>
      </c>
      <c r="D84" s="460">
        <v>587</v>
      </c>
      <c r="E84" s="460">
        <v>27</v>
      </c>
      <c r="F84" s="460">
        <v>378</v>
      </c>
      <c r="G84" s="461"/>
      <c r="H84" s="462"/>
      <c r="I84" s="461"/>
      <c r="J84" s="460">
        <v>23</v>
      </c>
      <c r="K84" s="460">
        <v>46</v>
      </c>
      <c r="L84" s="461"/>
      <c r="M84" s="352" t="s">
        <v>5</v>
      </c>
    </row>
    <row r="85" spans="1:13" x14ac:dyDescent="0.35">
      <c r="A85" s="352">
        <v>84</v>
      </c>
      <c r="B85" s="459" t="s">
        <v>659</v>
      </c>
      <c r="C85" s="460">
        <v>26</v>
      </c>
      <c r="D85" s="460">
        <v>647</v>
      </c>
      <c r="E85" s="460">
        <v>11</v>
      </c>
      <c r="F85" s="460">
        <v>45</v>
      </c>
      <c r="G85" s="461"/>
      <c r="H85" s="462"/>
      <c r="I85" s="461"/>
      <c r="J85" s="460">
        <v>7</v>
      </c>
      <c r="K85" s="460">
        <v>17</v>
      </c>
      <c r="L85" s="460">
        <v>2</v>
      </c>
      <c r="M85" s="352" t="s">
        <v>5</v>
      </c>
    </row>
    <row r="86" spans="1:13" x14ac:dyDescent="0.35">
      <c r="A86" s="352">
        <v>85</v>
      </c>
      <c r="B86" s="459" t="s">
        <v>658</v>
      </c>
      <c r="C86" s="460">
        <v>13</v>
      </c>
      <c r="D86" s="460">
        <v>1</v>
      </c>
      <c r="E86" s="460">
        <v>8</v>
      </c>
      <c r="F86" s="460">
        <v>36</v>
      </c>
      <c r="G86" s="461"/>
      <c r="H86" s="462"/>
      <c r="I86" s="461"/>
      <c r="J86" s="460">
        <v>5</v>
      </c>
      <c r="K86" s="460">
        <v>8</v>
      </c>
      <c r="L86" s="461"/>
      <c r="M86" s="352" t="s">
        <v>5</v>
      </c>
    </row>
    <row r="87" spans="1:13" x14ac:dyDescent="0.35">
      <c r="A87" s="352">
        <v>86</v>
      </c>
      <c r="B87" s="459" t="s">
        <v>656</v>
      </c>
      <c r="C87" s="461"/>
      <c r="D87" s="461"/>
      <c r="E87" s="461"/>
      <c r="F87" s="461"/>
      <c r="G87" s="461"/>
      <c r="H87" s="462"/>
      <c r="I87" s="461"/>
      <c r="J87" s="461"/>
      <c r="K87" s="461"/>
      <c r="L87" s="461"/>
      <c r="M87" s="352" t="s">
        <v>5</v>
      </c>
    </row>
    <row r="88" spans="1:13" x14ac:dyDescent="0.35">
      <c r="A88" s="352">
        <v>87</v>
      </c>
      <c r="B88" s="459" t="s">
        <v>246</v>
      </c>
      <c r="C88" s="461"/>
      <c r="D88" s="461"/>
      <c r="E88" s="461"/>
      <c r="F88" s="461"/>
      <c r="G88" s="461"/>
      <c r="H88" s="462"/>
      <c r="I88" s="461"/>
      <c r="J88" s="461"/>
      <c r="K88" s="461"/>
      <c r="L88" s="461"/>
      <c r="M88" s="352" t="s">
        <v>5</v>
      </c>
    </row>
    <row r="89" spans="1:13" x14ac:dyDescent="0.35">
      <c r="A89" s="352">
        <v>88</v>
      </c>
      <c r="B89" s="463" t="s">
        <v>903</v>
      </c>
      <c r="C89" s="464">
        <v>27</v>
      </c>
      <c r="D89" s="465">
        <v>771</v>
      </c>
      <c r="E89" s="464">
        <v>5</v>
      </c>
      <c r="F89" s="464">
        <v>210</v>
      </c>
      <c r="G89" s="464"/>
      <c r="H89" s="464"/>
      <c r="I89" s="464"/>
      <c r="J89" s="464">
        <v>17</v>
      </c>
      <c r="K89" s="465">
        <v>7</v>
      </c>
      <c r="L89" s="464">
        <v>3</v>
      </c>
      <c r="M89" s="352" t="s">
        <v>6</v>
      </c>
    </row>
    <row r="90" spans="1:13" x14ac:dyDescent="0.35">
      <c r="A90" s="352">
        <v>89</v>
      </c>
      <c r="B90" s="466" t="s">
        <v>904</v>
      </c>
      <c r="C90" s="464">
        <v>10</v>
      </c>
      <c r="D90" s="465"/>
      <c r="E90" s="465"/>
      <c r="F90" s="464">
        <v>6</v>
      </c>
      <c r="G90" s="464"/>
      <c r="H90" s="464"/>
      <c r="I90" s="464"/>
      <c r="J90" s="464">
        <v>10</v>
      </c>
      <c r="K90" s="465"/>
      <c r="L90" s="465"/>
      <c r="M90" s="352" t="s">
        <v>6</v>
      </c>
    </row>
    <row r="91" spans="1:13" x14ac:dyDescent="0.35">
      <c r="A91" s="352">
        <v>90</v>
      </c>
      <c r="B91" s="463" t="s">
        <v>249</v>
      </c>
      <c r="C91" s="464">
        <v>3</v>
      </c>
      <c r="D91" s="464">
        <v>1</v>
      </c>
      <c r="E91" s="464">
        <v>1</v>
      </c>
      <c r="F91" s="464">
        <v>1</v>
      </c>
      <c r="G91" s="464"/>
      <c r="H91" s="464"/>
      <c r="I91" s="464"/>
      <c r="J91" s="464">
        <v>1</v>
      </c>
      <c r="K91" s="465">
        <v>1</v>
      </c>
      <c r="L91" s="464">
        <v>2</v>
      </c>
      <c r="M91" s="352" t="s">
        <v>6</v>
      </c>
    </row>
    <row r="92" spans="1:13" x14ac:dyDescent="0.35">
      <c r="A92" s="352">
        <v>91</v>
      </c>
      <c r="B92" s="463" t="s">
        <v>905</v>
      </c>
      <c r="C92" s="465"/>
      <c r="D92" s="465"/>
      <c r="E92" s="465"/>
      <c r="F92" s="464"/>
      <c r="G92" s="464"/>
      <c r="H92" s="464"/>
      <c r="I92" s="464"/>
      <c r="J92" s="465"/>
      <c r="K92" s="465"/>
      <c r="L92" s="465"/>
      <c r="M92" s="352" t="s">
        <v>6</v>
      </c>
    </row>
    <row r="93" spans="1:13" x14ac:dyDescent="0.35">
      <c r="A93" s="352">
        <v>92</v>
      </c>
      <c r="B93" s="463" t="s">
        <v>248</v>
      </c>
      <c r="C93" s="465"/>
      <c r="D93" s="465"/>
      <c r="E93" s="465"/>
      <c r="F93" s="465"/>
      <c r="G93" s="464"/>
      <c r="H93" s="464"/>
      <c r="I93" s="464"/>
      <c r="J93" s="464"/>
      <c r="K93" s="464"/>
      <c r="L93" s="464"/>
      <c r="M93" s="352" t="s">
        <v>6</v>
      </c>
    </row>
    <row r="94" spans="1:13" x14ac:dyDescent="0.35">
      <c r="A94" s="352">
        <v>93</v>
      </c>
      <c r="B94" s="467" t="s">
        <v>906</v>
      </c>
      <c r="C94" s="468"/>
      <c r="D94" s="468"/>
      <c r="E94" s="468"/>
      <c r="F94" s="468"/>
      <c r="G94" s="469"/>
      <c r="H94" s="469"/>
      <c r="I94" s="469"/>
      <c r="J94" s="469"/>
      <c r="K94" s="469"/>
      <c r="L94" s="469"/>
      <c r="M94" s="352" t="s">
        <v>6</v>
      </c>
    </row>
    <row r="95" spans="1:13" ht="14.5" customHeight="1" x14ac:dyDescent="0.35">
      <c r="A95" s="352">
        <v>94</v>
      </c>
      <c r="B95" s="470" t="s">
        <v>974</v>
      </c>
      <c r="C95" s="471">
        <v>220</v>
      </c>
      <c r="D95" s="471">
        <v>429</v>
      </c>
      <c r="E95" s="471">
        <v>48</v>
      </c>
      <c r="F95" s="471">
        <v>424</v>
      </c>
      <c r="G95" s="472"/>
      <c r="H95" s="472"/>
      <c r="I95" s="472"/>
      <c r="J95" s="471">
        <v>100</v>
      </c>
      <c r="K95" s="471">
        <v>112</v>
      </c>
      <c r="L95" s="471">
        <v>8</v>
      </c>
      <c r="M95" s="352" t="s">
        <v>7</v>
      </c>
    </row>
    <row r="96" spans="1:13" x14ac:dyDescent="0.35">
      <c r="A96" s="352">
        <v>95</v>
      </c>
      <c r="B96" s="470" t="s">
        <v>978</v>
      </c>
      <c r="C96" s="471">
        <v>807</v>
      </c>
      <c r="D96" s="471">
        <v>651</v>
      </c>
      <c r="E96" s="471">
        <v>298</v>
      </c>
      <c r="F96" s="471">
        <v>1121</v>
      </c>
      <c r="G96" s="472"/>
      <c r="H96" s="472"/>
      <c r="I96" s="472"/>
      <c r="J96" s="471">
        <v>199</v>
      </c>
      <c r="K96" s="471">
        <v>458</v>
      </c>
      <c r="L96" s="471">
        <v>150</v>
      </c>
      <c r="M96" s="352" t="s">
        <v>7</v>
      </c>
    </row>
    <row r="97" spans="1:13" x14ac:dyDescent="0.35">
      <c r="A97" s="352">
        <v>96</v>
      </c>
      <c r="B97" s="470" t="s">
        <v>979</v>
      </c>
      <c r="C97" s="471">
        <v>400</v>
      </c>
      <c r="D97" s="471">
        <v>895</v>
      </c>
      <c r="E97" s="471">
        <v>212</v>
      </c>
      <c r="F97" s="471">
        <v>731</v>
      </c>
      <c r="G97" s="472"/>
      <c r="H97" s="472"/>
      <c r="I97" s="472"/>
      <c r="J97" s="471">
        <v>82</v>
      </c>
      <c r="K97" s="471">
        <v>237</v>
      </c>
      <c r="L97" s="471">
        <v>81</v>
      </c>
      <c r="M97" s="352" t="s">
        <v>7</v>
      </c>
    </row>
    <row r="98" spans="1:13" x14ac:dyDescent="0.35">
      <c r="A98" s="352">
        <v>97</v>
      </c>
      <c r="B98" s="470" t="s">
        <v>980</v>
      </c>
      <c r="C98" s="471">
        <v>352</v>
      </c>
      <c r="D98" s="471">
        <v>125</v>
      </c>
      <c r="E98" s="471">
        <v>34</v>
      </c>
      <c r="F98" s="471">
        <v>191</v>
      </c>
      <c r="G98" s="472"/>
      <c r="H98" s="472"/>
      <c r="I98" s="472"/>
      <c r="J98" s="471">
        <v>75</v>
      </c>
      <c r="K98" s="471">
        <v>273</v>
      </c>
      <c r="L98" s="471">
        <v>4</v>
      </c>
      <c r="M98" s="352" t="s">
        <v>7</v>
      </c>
    </row>
    <row r="99" spans="1:13" x14ac:dyDescent="0.35">
      <c r="A99" s="352">
        <v>98</v>
      </c>
      <c r="B99" s="470" t="s">
        <v>981</v>
      </c>
      <c r="C99" s="471">
        <v>341</v>
      </c>
      <c r="D99" s="471">
        <v>490</v>
      </c>
      <c r="E99" s="471">
        <v>51</v>
      </c>
      <c r="F99" s="471">
        <v>657</v>
      </c>
      <c r="G99" s="472"/>
      <c r="H99" s="472"/>
      <c r="I99" s="472"/>
      <c r="J99" s="471">
        <v>191</v>
      </c>
      <c r="K99" s="471">
        <v>104</v>
      </c>
      <c r="L99" s="471">
        <v>46</v>
      </c>
      <c r="M99" s="352" t="s">
        <v>7</v>
      </c>
    </row>
    <row r="100" spans="1:13" x14ac:dyDescent="0.35">
      <c r="A100" s="352">
        <v>99</v>
      </c>
      <c r="B100" s="470" t="s">
        <v>975</v>
      </c>
      <c r="C100" s="471">
        <v>249</v>
      </c>
      <c r="D100" s="471">
        <v>654</v>
      </c>
      <c r="E100" s="471">
        <v>53</v>
      </c>
      <c r="F100" s="471">
        <v>2170</v>
      </c>
      <c r="G100" s="472"/>
      <c r="H100" s="472"/>
      <c r="I100" s="472"/>
      <c r="J100" s="471">
        <v>163</v>
      </c>
      <c r="K100" s="471">
        <v>81</v>
      </c>
      <c r="L100" s="471">
        <v>5</v>
      </c>
      <c r="M100" s="352" t="s">
        <v>7</v>
      </c>
    </row>
    <row r="101" spans="1:13" x14ac:dyDescent="0.35">
      <c r="A101" s="352">
        <v>100</v>
      </c>
      <c r="B101" s="470" t="s">
        <v>984</v>
      </c>
      <c r="C101" s="471">
        <v>123</v>
      </c>
      <c r="D101" s="471">
        <v>429</v>
      </c>
      <c r="E101" s="471">
        <v>42</v>
      </c>
      <c r="F101" s="471">
        <v>264</v>
      </c>
      <c r="G101" s="472"/>
      <c r="H101" s="472"/>
      <c r="I101" s="472"/>
      <c r="J101" s="471">
        <v>25</v>
      </c>
      <c r="K101" s="471">
        <v>98</v>
      </c>
      <c r="L101" s="472"/>
      <c r="M101" s="352" t="s">
        <v>7</v>
      </c>
    </row>
    <row r="102" spans="1:13" x14ac:dyDescent="0.35">
      <c r="A102" s="352">
        <v>101</v>
      </c>
      <c r="B102" s="470" t="s">
        <v>982</v>
      </c>
      <c r="C102" s="471">
        <v>92</v>
      </c>
      <c r="D102" s="471">
        <v>1</v>
      </c>
      <c r="E102" s="471">
        <v>54</v>
      </c>
      <c r="F102" s="471">
        <v>114</v>
      </c>
      <c r="G102" s="472"/>
      <c r="H102" s="472"/>
      <c r="I102" s="472"/>
      <c r="J102" s="471">
        <v>31</v>
      </c>
      <c r="K102" s="471">
        <v>54</v>
      </c>
      <c r="L102" s="471">
        <v>7</v>
      </c>
      <c r="M102" s="352" t="s">
        <v>7</v>
      </c>
    </row>
    <row r="103" spans="1:13" x14ac:dyDescent="0.35">
      <c r="A103" s="352">
        <v>102</v>
      </c>
      <c r="B103" s="470" t="s">
        <v>976</v>
      </c>
      <c r="C103" s="471">
        <v>49</v>
      </c>
      <c r="D103" s="472"/>
      <c r="E103" s="472"/>
      <c r="F103" s="471">
        <v>55</v>
      </c>
      <c r="G103" s="472"/>
      <c r="H103" s="472"/>
      <c r="I103" s="472"/>
      <c r="J103" s="471">
        <v>49</v>
      </c>
      <c r="K103" s="472"/>
      <c r="L103" s="472"/>
      <c r="M103" s="352" t="s">
        <v>7</v>
      </c>
    </row>
    <row r="104" spans="1:13" x14ac:dyDescent="0.35">
      <c r="A104" s="352">
        <v>103</v>
      </c>
      <c r="B104" s="470" t="s">
        <v>977</v>
      </c>
      <c r="C104" s="471">
        <v>48</v>
      </c>
      <c r="D104" s="471">
        <v>971</v>
      </c>
      <c r="E104" s="471">
        <v>34</v>
      </c>
      <c r="F104" s="471">
        <v>390</v>
      </c>
      <c r="G104" s="472"/>
      <c r="H104" s="472"/>
      <c r="I104" s="472"/>
      <c r="J104" s="471">
        <v>6</v>
      </c>
      <c r="K104" s="471">
        <v>35</v>
      </c>
      <c r="L104" s="471">
        <v>7</v>
      </c>
      <c r="M104" s="352" t="s">
        <v>7</v>
      </c>
    </row>
    <row r="105" spans="1:13" x14ac:dyDescent="0.35">
      <c r="A105" s="352">
        <v>104</v>
      </c>
      <c r="B105" s="470" t="s">
        <v>983</v>
      </c>
      <c r="C105" s="473"/>
      <c r="D105" s="473"/>
      <c r="E105" s="473"/>
      <c r="F105" s="473"/>
      <c r="G105" s="472"/>
      <c r="H105" s="472"/>
      <c r="I105" s="472"/>
      <c r="J105" s="473"/>
      <c r="K105" s="473"/>
      <c r="L105" s="473"/>
      <c r="M105" s="352" t="s">
        <v>7</v>
      </c>
    </row>
    <row r="106" spans="1:13" x14ac:dyDescent="0.35">
      <c r="A106" s="352">
        <v>105</v>
      </c>
      <c r="B106" s="474" t="s">
        <v>985</v>
      </c>
      <c r="C106" s="475">
        <v>104</v>
      </c>
      <c r="D106" s="475">
        <v>846</v>
      </c>
      <c r="E106" s="475">
        <v>44</v>
      </c>
      <c r="F106" s="475">
        <v>92</v>
      </c>
      <c r="G106" s="476"/>
      <c r="H106" s="476"/>
      <c r="I106" s="476"/>
      <c r="J106" s="475">
        <v>38</v>
      </c>
      <c r="K106" s="475">
        <v>52</v>
      </c>
      <c r="L106" s="475">
        <v>14</v>
      </c>
      <c r="M106" s="352" t="s">
        <v>8</v>
      </c>
    </row>
    <row r="107" spans="1:13" x14ac:dyDescent="0.35">
      <c r="A107" s="352">
        <v>106</v>
      </c>
      <c r="B107" s="474" t="s">
        <v>988</v>
      </c>
      <c r="C107" s="475">
        <v>4367</v>
      </c>
      <c r="D107" s="475">
        <v>867</v>
      </c>
      <c r="E107" s="475">
        <v>2105</v>
      </c>
      <c r="F107" s="475">
        <v>2409</v>
      </c>
      <c r="G107" s="476"/>
      <c r="H107" s="476"/>
      <c r="I107" s="476"/>
      <c r="J107" s="475">
        <v>190</v>
      </c>
      <c r="K107" s="475">
        <v>2428</v>
      </c>
      <c r="L107" s="475">
        <v>39</v>
      </c>
      <c r="M107" s="352" t="s">
        <v>8</v>
      </c>
    </row>
    <row r="108" spans="1:13" x14ac:dyDescent="0.35">
      <c r="A108" s="352">
        <v>107</v>
      </c>
      <c r="B108" s="474" t="s">
        <v>992</v>
      </c>
      <c r="C108" s="475">
        <v>1491</v>
      </c>
      <c r="D108" s="475">
        <v>600</v>
      </c>
      <c r="E108" s="475">
        <v>563</v>
      </c>
      <c r="F108" s="475">
        <v>3248</v>
      </c>
      <c r="G108" s="476"/>
      <c r="H108" s="476"/>
      <c r="I108" s="476"/>
      <c r="J108" s="475">
        <v>510</v>
      </c>
      <c r="K108" s="475">
        <v>939</v>
      </c>
      <c r="L108" s="475">
        <v>42</v>
      </c>
      <c r="M108" s="352" t="s">
        <v>8</v>
      </c>
    </row>
    <row r="109" spans="1:13" x14ac:dyDescent="0.35">
      <c r="A109" s="352">
        <v>108</v>
      </c>
      <c r="B109" s="474" t="s">
        <v>1000</v>
      </c>
      <c r="C109" s="475">
        <v>1209</v>
      </c>
      <c r="D109" s="475">
        <v>576</v>
      </c>
      <c r="E109" s="475">
        <v>294</v>
      </c>
      <c r="F109" s="475">
        <v>990</v>
      </c>
      <c r="G109" s="475"/>
      <c r="H109" s="475"/>
      <c r="I109" s="475"/>
      <c r="J109" s="475">
        <v>669</v>
      </c>
      <c r="K109" s="475">
        <v>510</v>
      </c>
      <c r="L109" s="475">
        <v>30</v>
      </c>
      <c r="M109" s="352" t="s">
        <v>8</v>
      </c>
    </row>
    <row r="110" spans="1:13" x14ac:dyDescent="0.35">
      <c r="A110" s="352">
        <v>109</v>
      </c>
      <c r="B110" s="474" t="s">
        <v>995</v>
      </c>
      <c r="C110" s="475">
        <v>1018</v>
      </c>
      <c r="D110" s="475">
        <v>837</v>
      </c>
      <c r="E110" s="475">
        <v>340</v>
      </c>
      <c r="F110" s="475">
        <v>676</v>
      </c>
      <c r="G110" s="476"/>
      <c r="H110" s="476"/>
      <c r="I110" s="476"/>
      <c r="J110" s="475">
        <v>388</v>
      </c>
      <c r="K110" s="475">
        <v>406</v>
      </c>
      <c r="L110" s="475">
        <v>224</v>
      </c>
      <c r="M110" s="352" t="s">
        <v>8</v>
      </c>
    </row>
    <row r="111" spans="1:13" x14ac:dyDescent="0.35">
      <c r="A111" s="352">
        <v>110</v>
      </c>
      <c r="B111" s="474" t="s">
        <v>993</v>
      </c>
      <c r="C111" s="475">
        <v>650</v>
      </c>
      <c r="D111" s="475">
        <v>1051</v>
      </c>
      <c r="E111" s="475">
        <v>426</v>
      </c>
      <c r="F111" s="475">
        <v>1691</v>
      </c>
      <c r="G111" s="476"/>
      <c r="H111" s="476"/>
      <c r="I111" s="476"/>
      <c r="J111" s="475">
        <v>237</v>
      </c>
      <c r="K111" s="475">
        <v>405</v>
      </c>
      <c r="L111" s="475">
        <v>9</v>
      </c>
      <c r="M111" s="352" t="s">
        <v>8</v>
      </c>
    </row>
    <row r="112" spans="1:13" x14ac:dyDescent="0.35">
      <c r="A112" s="352">
        <v>111</v>
      </c>
      <c r="B112" s="474" t="s">
        <v>987</v>
      </c>
      <c r="C112" s="475">
        <v>571</v>
      </c>
      <c r="D112" s="475">
        <v>892</v>
      </c>
      <c r="E112" s="475">
        <v>99</v>
      </c>
      <c r="F112" s="475">
        <v>842</v>
      </c>
      <c r="G112" s="476"/>
      <c r="H112" s="476"/>
      <c r="I112" s="476"/>
      <c r="J112" s="475">
        <v>460</v>
      </c>
      <c r="K112" s="475">
        <v>111</v>
      </c>
      <c r="L112" s="476"/>
      <c r="M112" s="352" t="s">
        <v>8</v>
      </c>
    </row>
    <row r="113" spans="1:13" x14ac:dyDescent="0.35">
      <c r="A113" s="352">
        <v>112</v>
      </c>
      <c r="B113" s="474" t="s">
        <v>991</v>
      </c>
      <c r="C113" s="475">
        <v>524</v>
      </c>
      <c r="D113" s="475">
        <v>101</v>
      </c>
      <c r="E113" s="475">
        <v>37</v>
      </c>
      <c r="F113" s="475">
        <v>460</v>
      </c>
      <c r="G113" s="476"/>
      <c r="H113" s="476"/>
      <c r="I113" s="476"/>
      <c r="J113" s="475">
        <v>5</v>
      </c>
      <c r="K113" s="475">
        <v>367</v>
      </c>
      <c r="L113" s="475">
        <v>152</v>
      </c>
      <c r="M113" s="352" t="s">
        <v>8</v>
      </c>
    </row>
    <row r="114" spans="1:13" x14ac:dyDescent="0.35">
      <c r="A114" s="352">
        <v>113</v>
      </c>
      <c r="B114" s="474" t="s">
        <v>989</v>
      </c>
      <c r="C114" s="475">
        <v>244</v>
      </c>
      <c r="D114" s="475">
        <v>1086</v>
      </c>
      <c r="E114" s="475">
        <v>138</v>
      </c>
      <c r="F114" s="475">
        <v>634</v>
      </c>
      <c r="G114" s="476"/>
      <c r="H114" s="476"/>
      <c r="I114" s="476"/>
      <c r="J114" s="475">
        <v>98</v>
      </c>
      <c r="K114" s="475">
        <v>127</v>
      </c>
      <c r="L114" s="475">
        <v>19</v>
      </c>
      <c r="M114" s="352" t="s">
        <v>8</v>
      </c>
    </row>
    <row r="115" spans="1:13" x14ac:dyDescent="0.35">
      <c r="A115" s="352">
        <v>114</v>
      </c>
      <c r="B115" s="474" t="s">
        <v>986</v>
      </c>
      <c r="C115" s="475">
        <v>165</v>
      </c>
      <c r="D115" s="475">
        <v>724</v>
      </c>
      <c r="E115" s="475">
        <v>92</v>
      </c>
      <c r="F115" s="475">
        <v>355</v>
      </c>
      <c r="G115" s="476"/>
      <c r="H115" s="476"/>
      <c r="I115" s="476"/>
      <c r="J115" s="475">
        <v>16</v>
      </c>
      <c r="K115" s="475">
        <v>127</v>
      </c>
      <c r="L115" s="475">
        <v>22</v>
      </c>
      <c r="M115" s="352" t="s">
        <v>8</v>
      </c>
    </row>
    <row r="116" spans="1:13" ht="14.5" customHeight="1" x14ac:dyDescent="0.35">
      <c r="A116" s="352">
        <v>115</v>
      </c>
      <c r="B116" s="474" t="s">
        <v>997</v>
      </c>
      <c r="C116" s="475">
        <v>94</v>
      </c>
      <c r="D116" s="475">
        <v>2778</v>
      </c>
      <c r="E116" s="475">
        <v>25</v>
      </c>
      <c r="F116" s="475">
        <v>117</v>
      </c>
      <c r="G116" s="476"/>
      <c r="H116" s="476"/>
      <c r="I116" s="476"/>
      <c r="J116" s="475">
        <v>81</v>
      </c>
      <c r="K116" s="475">
        <v>9</v>
      </c>
      <c r="L116" s="475">
        <v>4</v>
      </c>
      <c r="M116" s="352" t="s">
        <v>8</v>
      </c>
    </row>
    <row r="117" spans="1:13" x14ac:dyDescent="0.35">
      <c r="A117" s="352">
        <v>116</v>
      </c>
      <c r="B117" s="474" t="s">
        <v>1001</v>
      </c>
      <c r="C117" s="475">
        <v>68</v>
      </c>
      <c r="D117" s="475">
        <v>351</v>
      </c>
      <c r="E117" s="475">
        <v>14</v>
      </c>
      <c r="F117" s="475">
        <v>140</v>
      </c>
      <c r="G117" s="475"/>
      <c r="H117" s="475"/>
      <c r="I117" s="475"/>
      <c r="J117" s="476"/>
      <c r="K117" s="475">
        <v>40</v>
      </c>
      <c r="L117" s="475">
        <v>28</v>
      </c>
      <c r="M117" s="352" t="s">
        <v>8</v>
      </c>
    </row>
    <row r="118" spans="1:13" x14ac:dyDescent="0.35">
      <c r="A118" s="352">
        <v>117</v>
      </c>
      <c r="B118" s="474" t="s">
        <v>990</v>
      </c>
      <c r="C118" s="475">
        <v>8</v>
      </c>
      <c r="D118" s="475">
        <v>700</v>
      </c>
      <c r="E118" s="475">
        <v>4</v>
      </c>
      <c r="F118" s="475">
        <v>7</v>
      </c>
      <c r="G118" s="476"/>
      <c r="H118" s="476"/>
      <c r="I118" s="476"/>
      <c r="J118" s="475">
        <v>2</v>
      </c>
      <c r="K118" s="475">
        <v>6</v>
      </c>
      <c r="L118" s="476"/>
      <c r="M118" s="352" t="s">
        <v>8</v>
      </c>
    </row>
    <row r="119" spans="1:13" x14ac:dyDescent="0.35">
      <c r="A119" s="352">
        <v>118</v>
      </c>
      <c r="B119" s="474" t="s">
        <v>994</v>
      </c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352" t="s">
        <v>8</v>
      </c>
    </row>
    <row r="120" spans="1:13" ht="23" x14ac:dyDescent="0.35">
      <c r="A120" s="352">
        <v>119</v>
      </c>
      <c r="B120" s="474" t="s">
        <v>996</v>
      </c>
      <c r="C120" s="476"/>
      <c r="D120" s="476"/>
      <c r="E120" s="476"/>
      <c r="F120" s="476"/>
      <c r="G120" s="476"/>
      <c r="H120" s="476"/>
      <c r="I120" s="476"/>
      <c r="J120" s="476"/>
      <c r="K120" s="476"/>
      <c r="L120" s="476"/>
      <c r="M120" s="352" t="s">
        <v>8</v>
      </c>
    </row>
    <row r="121" spans="1:13" x14ac:dyDescent="0.35">
      <c r="A121" s="352">
        <v>120</v>
      </c>
      <c r="B121" s="474" t="s">
        <v>998</v>
      </c>
      <c r="C121" s="476"/>
      <c r="D121" s="476"/>
      <c r="E121" s="476"/>
      <c r="F121" s="476"/>
      <c r="G121" s="475"/>
      <c r="H121" s="475"/>
      <c r="I121" s="475"/>
      <c r="J121" s="476"/>
      <c r="K121" s="476"/>
      <c r="L121" s="476"/>
      <c r="M121" s="352" t="s">
        <v>8</v>
      </c>
    </row>
    <row r="122" spans="1:13" x14ac:dyDescent="0.35">
      <c r="A122" s="352">
        <v>121</v>
      </c>
      <c r="B122" s="477" t="s">
        <v>999</v>
      </c>
      <c r="C122" s="479"/>
      <c r="D122" s="479"/>
      <c r="E122" s="479"/>
      <c r="F122" s="479"/>
      <c r="G122" s="478"/>
      <c r="H122" s="478"/>
      <c r="I122" s="478"/>
      <c r="J122" s="479"/>
      <c r="K122" s="479"/>
      <c r="L122" s="479"/>
      <c r="M122" s="352" t="s">
        <v>8</v>
      </c>
    </row>
    <row r="123" spans="1:13" x14ac:dyDescent="0.35">
      <c r="A123" s="352">
        <v>122</v>
      </c>
      <c r="B123" s="480" t="s">
        <v>1002</v>
      </c>
      <c r="C123" s="481">
        <v>534</v>
      </c>
      <c r="D123" s="481">
        <v>267</v>
      </c>
      <c r="E123" s="481">
        <v>89</v>
      </c>
      <c r="F123" s="481">
        <v>530</v>
      </c>
      <c r="G123" s="482"/>
      <c r="H123" s="482"/>
      <c r="I123" s="482"/>
      <c r="J123" s="481">
        <v>168</v>
      </c>
      <c r="K123" s="481">
        <v>334</v>
      </c>
      <c r="L123" s="481">
        <v>32</v>
      </c>
      <c r="M123" s="352" t="s">
        <v>9</v>
      </c>
    </row>
    <row r="124" spans="1:13" x14ac:dyDescent="0.35">
      <c r="A124" s="352">
        <v>123</v>
      </c>
      <c r="B124" s="480" t="s">
        <v>1005</v>
      </c>
      <c r="C124" s="481">
        <v>77</v>
      </c>
      <c r="D124" s="481">
        <v>553</v>
      </c>
      <c r="E124" s="481">
        <v>30</v>
      </c>
      <c r="F124" s="481">
        <v>164</v>
      </c>
      <c r="G124" s="482"/>
      <c r="H124" s="482"/>
      <c r="I124" s="482"/>
      <c r="J124" s="481">
        <v>11</v>
      </c>
      <c r="K124" s="481">
        <v>55</v>
      </c>
      <c r="L124" s="481">
        <v>10</v>
      </c>
      <c r="M124" s="352" t="s">
        <v>9</v>
      </c>
    </row>
    <row r="125" spans="1:13" x14ac:dyDescent="0.35">
      <c r="A125" s="352">
        <v>124</v>
      </c>
      <c r="B125" s="480" t="s">
        <v>1006</v>
      </c>
      <c r="C125" s="481">
        <v>61</v>
      </c>
      <c r="D125" s="481">
        <v>668</v>
      </c>
      <c r="E125" s="481">
        <v>19</v>
      </c>
      <c r="F125" s="481">
        <v>47</v>
      </c>
      <c r="G125" s="482"/>
      <c r="H125" s="482"/>
      <c r="I125" s="482"/>
      <c r="J125" s="481">
        <v>31</v>
      </c>
      <c r="K125" s="481">
        <v>29</v>
      </c>
      <c r="L125" s="481">
        <v>2</v>
      </c>
      <c r="M125" s="352" t="s">
        <v>9</v>
      </c>
    </row>
    <row r="126" spans="1:13" x14ac:dyDescent="0.35">
      <c r="A126" s="352">
        <v>125</v>
      </c>
      <c r="B126" s="480" t="s">
        <v>1004</v>
      </c>
      <c r="C126" s="481">
        <v>25</v>
      </c>
      <c r="D126" s="481">
        <v>400</v>
      </c>
      <c r="E126" s="481">
        <v>6</v>
      </c>
      <c r="F126" s="481">
        <v>66</v>
      </c>
      <c r="G126" s="482"/>
      <c r="H126" s="482"/>
      <c r="I126" s="482"/>
      <c r="J126" s="481">
        <v>7</v>
      </c>
      <c r="K126" s="481">
        <v>16</v>
      </c>
      <c r="L126" s="481">
        <v>2</v>
      </c>
      <c r="M126" s="352" t="s">
        <v>9</v>
      </c>
    </row>
    <row r="127" spans="1:13" x14ac:dyDescent="0.35">
      <c r="A127" s="352">
        <v>126</v>
      </c>
      <c r="B127" s="480" t="s">
        <v>1003</v>
      </c>
      <c r="C127" s="481">
        <v>6</v>
      </c>
      <c r="D127" s="482"/>
      <c r="E127" s="482"/>
      <c r="F127" s="481">
        <v>23</v>
      </c>
      <c r="G127" s="482"/>
      <c r="H127" s="482"/>
      <c r="I127" s="482"/>
      <c r="J127" s="482"/>
      <c r="K127" s="482"/>
      <c r="L127" s="481">
        <v>6</v>
      </c>
      <c r="M127" s="352" t="s">
        <v>9</v>
      </c>
    </row>
    <row r="128" spans="1:13" x14ac:dyDescent="0.35">
      <c r="A128" s="352">
        <v>127</v>
      </c>
      <c r="B128" s="480" t="s">
        <v>1007</v>
      </c>
      <c r="C128" s="482"/>
      <c r="D128" s="482"/>
      <c r="E128" s="482"/>
      <c r="F128" s="482"/>
      <c r="G128" s="482"/>
      <c r="H128" s="482"/>
      <c r="I128" s="482"/>
      <c r="J128" s="482"/>
      <c r="K128" s="482"/>
      <c r="L128" s="482"/>
      <c r="M128" s="352" t="s">
        <v>9</v>
      </c>
    </row>
    <row r="129" spans="1:13" x14ac:dyDescent="0.35">
      <c r="A129" s="352">
        <v>128</v>
      </c>
      <c r="B129" s="480" t="s">
        <v>1008</v>
      </c>
      <c r="C129" s="482"/>
      <c r="D129" s="482"/>
      <c r="E129" s="482"/>
      <c r="F129" s="482"/>
      <c r="G129" s="482"/>
      <c r="H129" s="482"/>
      <c r="I129" s="482"/>
      <c r="J129" s="482"/>
      <c r="K129" s="482"/>
      <c r="L129" s="482"/>
      <c r="M129" s="352" t="s">
        <v>9</v>
      </c>
    </row>
    <row r="130" spans="1:13" x14ac:dyDescent="0.35">
      <c r="A130" s="352">
        <v>129</v>
      </c>
      <c r="B130" s="483" t="s">
        <v>1009</v>
      </c>
      <c r="C130" s="484">
        <v>1073</v>
      </c>
      <c r="D130" s="484">
        <v>633</v>
      </c>
      <c r="E130" s="484">
        <v>520</v>
      </c>
      <c r="F130" s="484">
        <v>1779</v>
      </c>
      <c r="G130" s="485"/>
      <c r="H130" s="485"/>
      <c r="I130" s="485"/>
      <c r="J130" s="484">
        <v>235</v>
      </c>
      <c r="K130" s="484">
        <v>822</v>
      </c>
      <c r="L130" s="484">
        <v>16</v>
      </c>
      <c r="M130" s="352" t="s">
        <v>1341</v>
      </c>
    </row>
    <row r="131" spans="1:13" x14ac:dyDescent="0.35">
      <c r="A131" s="352">
        <v>130</v>
      </c>
      <c r="B131" s="483" t="s">
        <v>1011</v>
      </c>
      <c r="C131" s="484">
        <v>2478</v>
      </c>
      <c r="D131" s="484">
        <v>925</v>
      </c>
      <c r="E131" s="484">
        <v>2063</v>
      </c>
      <c r="F131" s="484">
        <v>2578</v>
      </c>
      <c r="G131" s="485"/>
      <c r="H131" s="485"/>
      <c r="I131" s="485"/>
      <c r="J131" s="484">
        <v>226</v>
      </c>
      <c r="K131" s="484">
        <v>2230</v>
      </c>
      <c r="L131" s="484">
        <v>22</v>
      </c>
      <c r="M131" s="352" t="s">
        <v>1341</v>
      </c>
    </row>
    <row r="132" spans="1:13" x14ac:dyDescent="0.35">
      <c r="A132" s="352">
        <v>131</v>
      </c>
      <c r="B132" s="483" t="s">
        <v>1012</v>
      </c>
      <c r="C132" s="484">
        <v>1809</v>
      </c>
      <c r="D132" s="484">
        <v>850</v>
      </c>
      <c r="E132" s="484">
        <v>1250</v>
      </c>
      <c r="F132" s="484">
        <v>2833</v>
      </c>
      <c r="G132" s="485"/>
      <c r="H132" s="485"/>
      <c r="I132" s="485"/>
      <c r="J132" s="484">
        <v>266</v>
      </c>
      <c r="K132" s="484">
        <v>1470</v>
      </c>
      <c r="L132" s="484">
        <v>73</v>
      </c>
      <c r="M132" s="352" t="s">
        <v>1341</v>
      </c>
    </row>
    <row r="133" spans="1:13" x14ac:dyDescent="0.35">
      <c r="A133" s="352">
        <v>132</v>
      </c>
      <c r="B133" s="483" t="s">
        <v>1013</v>
      </c>
      <c r="C133" s="484">
        <v>737</v>
      </c>
      <c r="D133" s="484">
        <v>822</v>
      </c>
      <c r="E133" s="484">
        <v>464</v>
      </c>
      <c r="F133" s="484">
        <v>1260</v>
      </c>
      <c r="G133" s="485"/>
      <c r="H133" s="485"/>
      <c r="I133" s="485"/>
      <c r="J133" s="484">
        <v>158</v>
      </c>
      <c r="K133" s="484">
        <v>565</v>
      </c>
      <c r="L133" s="484">
        <v>14</v>
      </c>
      <c r="M133" s="352" t="s">
        <v>1341</v>
      </c>
    </row>
    <row r="134" spans="1:13" x14ac:dyDescent="0.35">
      <c r="A134" s="352">
        <v>133</v>
      </c>
      <c r="B134" s="483" t="s">
        <v>1010</v>
      </c>
      <c r="C134" s="484">
        <v>441</v>
      </c>
      <c r="D134" s="484">
        <v>706</v>
      </c>
      <c r="E134" s="484">
        <v>223</v>
      </c>
      <c r="F134" s="484">
        <v>761</v>
      </c>
      <c r="G134" s="485"/>
      <c r="H134" s="485"/>
      <c r="I134" s="485"/>
      <c r="J134" s="484">
        <v>88</v>
      </c>
      <c r="K134" s="484">
        <v>316</v>
      </c>
      <c r="L134" s="484">
        <v>37</v>
      </c>
      <c r="M134" s="352" t="s">
        <v>1341</v>
      </c>
    </row>
    <row r="135" spans="1:13" x14ac:dyDescent="0.35">
      <c r="A135" s="352">
        <v>134</v>
      </c>
      <c r="B135" s="483" t="s">
        <v>1014</v>
      </c>
      <c r="C135" s="484">
        <v>423</v>
      </c>
      <c r="D135" s="484">
        <v>748</v>
      </c>
      <c r="E135" s="484">
        <v>166</v>
      </c>
      <c r="F135" s="484">
        <v>745</v>
      </c>
      <c r="G135" s="485"/>
      <c r="H135" s="485"/>
      <c r="I135" s="485"/>
      <c r="J135" s="484">
        <v>175</v>
      </c>
      <c r="K135" s="484">
        <v>222</v>
      </c>
      <c r="L135" s="484">
        <v>26</v>
      </c>
      <c r="M135" s="352" t="s">
        <v>1341</v>
      </c>
    </row>
    <row r="136" spans="1:13" x14ac:dyDescent="0.35">
      <c r="A136" s="352">
        <v>135</v>
      </c>
      <c r="B136" s="483" t="s">
        <v>1015</v>
      </c>
      <c r="C136" s="484">
        <v>335</v>
      </c>
      <c r="D136" s="484">
        <v>28</v>
      </c>
      <c r="E136" s="484">
        <v>7</v>
      </c>
      <c r="F136" s="484">
        <v>219</v>
      </c>
      <c r="G136" s="485"/>
      <c r="H136" s="485"/>
      <c r="I136" s="485"/>
      <c r="J136" s="484">
        <v>3</v>
      </c>
      <c r="K136" s="484">
        <v>247</v>
      </c>
      <c r="L136" s="484">
        <v>85</v>
      </c>
      <c r="M136" s="352" t="s">
        <v>1341</v>
      </c>
    </row>
    <row r="137" spans="1:13" x14ac:dyDescent="0.35">
      <c r="A137" s="352">
        <v>136</v>
      </c>
      <c r="B137" s="483" t="s">
        <v>1016</v>
      </c>
      <c r="C137" s="484">
        <v>246</v>
      </c>
      <c r="D137" s="484">
        <v>106</v>
      </c>
      <c r="E137" s="484">
        <v>26</v>
      </c>
      <c r="F137" s="484">
        <v>560</v>
      </c>
      <c r="G137" s="485"/>
      <c r="H137" s="485"/>
      <c r="I137" s="485"/>
      <c r="J137" s="485"/>
      <c r="K137" s="484">
        <v>246</v>
      </c>
      <c r="L137" s="485"/>
      <c r="M137" s="352" t="s">
        <v>1341</v>
      </c>
    </row>
    <row r="138" spans="1:13" x14ac:dyDescent="0.35">
      <c r="A138" s="352">
        <v>137</v>
      </c>
      <c r="B138" s="483" t="s">
        <v>1330</v>
      </c>
      <c r="C138" s="484">
        <v>73</v>
      </c>
      <c r="D138" s="484">
        <v>16</v>
      </c>
      <c r="E138" s="484">
        <v>1</v>
      </c>
      <c r="F138" s="484">
        <v>104</v>
      </c>
      <c r="G138" s="485"/>
      <c r="H138" s="485"/>
      <c r="I138" s="485"/>
      <c r="J138" s="484">
        <v>1</v>
      </c>
      <c r="K138" s="484">
        <v>62</v>
      </c>
      <c r="L138" s="484">
        <v>10</v>
      </c>
      <c r="M138" s="352" t="s">
        <v>1341</v>
      </c>
    </row>
    <row r="139" spans="1:13" x14ac:dyDescent="0.35">
      <c r="A139" s="352">
        <v>138</v>
      </c>
      <c r="B139" s="483" t="s">
        <v>1017</v>
      </c>
      <c r="C139" s="484">
        <v>23</v>
      </c>
      <c r="D139" s="484">
        <v>779</v>
      </c>
      <c r="E139" s="484">
        <v>11</v>
      </c>
      <c r="F139" s="484">
        <v>40</v>
      </c>
      <c r="G139" s="485"/>
      <c r="H139" s="485"/>
      <c r="I139" s="485"/>
      <c r="J139" s="484">
        <v>6</v>
      </c>
      <c r="K139" s="484">
        <v>14</v>
      </c>
      <c r="L139" s="484">
        <v>4</v>
      </c>
      <c r="M139" s="352" t="s">
        <v>1341</v>
      </c>
    </row>
    <row r="140" spans="1:13" x14ac:dyDescent="0.35">
      <c r="A140" s="352">
        <v>139</v>
      </c>
      <c r="B140" s="486" t="s">
        <v>1018</v>
      </c>
      <c r="C140" s="487">
        <v>424</v>
      </c>
      <c r="D140" s="487">
        <v>194</v>
      </c>
      <c r="E140" s="487">
        <v>990</v>
      </c>
      <c r="F140" s="487">
        <v>1608</v>
      </c>
      <c r="G140" s="487"/>
      <c r="H140" s="487"/>
      <c r="I140" s="487"/>
      <c r="J140" s="487">
        <v>1875</v>
      </c>
      <c r="K140" s="487">
        <v>1894</v>
      </c>
      <c r="L140" s="487">
        <v>2109</v>
      </c>
      <c r="M140" s="352" t="s">
        <v>1342</v>
      </c>
    </row>
    <row r="141" spans="1:13" x14ac:dyDescent="0.35">
      <c r="A141" s="352">
        <v>140</v>
      </c>
      <c r="B141" s="486" t="s">
        <v>1021</v>
      </c>
      <c r="C141" s="487">
        <v>1997</v>
      </c>
      <c r="D141" s="487">
        <v>2536</v>
      </c>
      <c r="E141" s="487">
        <v>6445</v>
      </c>
      <c r="F141" s="487">
        <v>10978</v>
      </c>
      <c r="G141" s="487"/>
      <c r="H141" s="487"/>
      <c r="I141" s="487"/>
      <c r="J141" s="487">
        <v>3233</v>
      </c>
      <c r="K141" s="487">
        <v>502</v>
      </c>
      <c r="L141" s="487">
        <v>24423</v>
      </c>
      <c r="M141" s="352" t="s">
        <v>1342</v>
      </c>
    </row>
    <row r="142" spans="1:13" x14ac:dyDescent="0.35">
      <c r="A142" s="352">
        <v>141</v>
      </c>
      <c r="B142" s="486" t="s">
        <v>1022</v>
      </c>
      <c r="C142" s="487">
        <v>1138</v>
      </c>
      <c r="D142" s="487">
        <v>115</v>
      </c>
      <c r="E142" s="487">
        <v>4005</v>
      </c>
      <c r="F142" s="487">
        <v>5258</v>
      </c>
      <c r="G142" s="487"/>
      <c r="H142" s="487"/>
      <c r="I142" s="487"/>
      <c r="J142" s="487">
        <v>3016</v>
      </c>
      <c r="K142" s="487">
        <v>753</v>
      </c>
      <c r="L142" s="487">
        <v>22022</v>
      </c>
      <c r="M142" s="352" t="s">
        <v>1342</v>
      </c>
    </row>
    <row r="143" spans="1:13" x14ac:dyDescent="0.35">
      <c r="A143" s="352">
        <v>142</v>
      </c>
      <c r="B143" s="486" t="s">
        <v>1020</v>
      </c>
      <c r="C143" s="487">
        <v>907</v>
      </c>
      <c r="D143" s="487">
        <v>903</v>
      </c>
      <c r="E143" s="487">
        <v>9590</v>
      </c>
      <c r="F143" s="487">
        <v>1140</v>
      </c>
      <c r="G143" s="487"/>
      <c r="H143" s="487"/>
      <c r="I143" s="487"/>
      <c r="J143" s="487">
        <v>9706</v>
      </c>
      <c r="K143" s="487">
        <v>1012</v>
      </c>
      <c r="L143" s="487">
        <v>17890</v>
      </c>
      <c r="M143" s="352" t="s">
        <v>1342</v>
      </c>
    </row>
    <row r="144" spans="1:13" x14ac:dyDescent="0.35">
      <c r="A144" s="352">
        <v>143</v>
      </c>
      <c r="B144" s="486" t="s">
        <v>1027</v>
      </c>
      <c r="C144" s="487">
        <v>787</v>
      </c>
      <c r="D144" s="487">
        <v>90</v>
      </c>
      <c r="E144" s="487">
        <v>3712</v>
      </c>
      <c r="F144" s="487">
        <v>4589</v>
      </c>
      <c r="G144" s="487"/>
      <c r="H144" s="487"/>
      <c r="I144" s="487"/>
      <c r="J144" s="487">
        <v>2631</v>
      </c>
      <c r="K144" s="487">
        <v>709</v>
      </c>
      <c r="L144" s="487">
        <v>3875</v>
      </c>
      <c r="M144" s="352" t="s">
        <v>1342</v>
      </c>
    </row>
    <row r="145" spans="1:13" x14ac:dyDescent="0.35">
      <c r="A145" s="352">
        <v>144</v>
      </c>
      <c r="B145" s="486" t="s">
        <v>1026</v>
      </c>
      <c r="C145" s="487">
        <v>736</v>
      </c>
      <c r="D145" s="487">
        <v>1970</v>
      </c>
      <c r="E145" s="487">
        <v>24709</v>
      </c>
      <c r="F145" s="487">
        <v>27415</v>
      </c>
      <c r="G145" s="487"/>
      <c r="H145" s="487"/>
      <c r="I145" s="487"/>
      <c r="J145" s="487">
        <v>29426</v>
      </c>
      <c r="K145" s="487">
        <v>1191</v>
      </c>
      <c r="L145" s="487">
        <v>42729</v>
      </c>
      <c r="M145" s="352" t="s">
        <v>1342</v>
      </c>
    </row>
    <row r="146" spans="1:13" x14ac:dyDescent="0.35">
      <c r="A146" s="352">
        <v>145</v>
      </c>
      <c r="B146" s="486" t="s">
        <v>1019</v>
      </c>
      <c r="C146" s="487">
        <v>318</v>
      </c>
      <c r="D146" s="487">
        <v>1012</v>
      </c>
      <c r="E146" s="487">
        <v>12352</v>
      </c>
      <c r="F146" s="487">
        <v>13682</v>
      </c>
      <c r="G146" s="487"/>
      <c r="H146" s="487"/>
      <c r="I146" s="487"/>
      <c r="J146" s="487">
        <v>6664</v>
      </c>
      <c r="K146" s="487">
        <v>540</v>
      </c>
      <c r="L146" s="487">
        <v>17688</v>
      </c>
      <c r="M146" s="352" t="s">
        <v>1342</v>
      </c>
    </row>
    <row r="147" spans="1:13" x14ac:dyDescent="0.35">
      <c r="A147" s="352">
        <v>146</v>
      </c>
      <c r="B147" s="486" t="s">
        <v>1024</v>
      </c>
      <c r="C147" s="487">
        <v>185</v>
      </c>
      <c r="D147" s="487">
        <v>114</v>
      </c>
      <c r="E147" s="487">
        <v>1130</v>
      </c>
      <c r="F147" s="487">
        <v>1429</v>
      </c>
      <c r="G147" s="487"/>
      <c r="H147" s="487"/>
      <c r="I147" s="487"/>
      <c r="J147" s="487">
        <v>622</v>
      </c>
      <c r="K147" s="487">
        <v>550</v>
      </c>
      <c r="L147" s="487">
        <v>2128</v>
      </c>
      <c r="M147" s="352" t="s">
        <v>1342</v>
      </c>
    </row>
    <row r="148" spans="1:13" x14ac:dyDescent="0.35">
      <c r="A148" s="352">
        <v>147</v>
      </c>
      <c r="B148" s="486" t="s">
        <v>1030</v>
      </c>
      <c r="C148" s="487">
        <v>178</v>
      </c>
      <c r="D148" s="487">
        <v>206</v>
      </c>
      <c r="E148" s="487">
        <v>764</v>
      </c>
      <c r="F148" s="487">
        <v>1148</v>
      </c>
      <c r="G148" s="487"/>
      <c r="H148" s="487"/>
      <c r="I148" s="487"/>
      <c r="J148" s="487">
        <v>635</v>
      </c>
      <c r="K148" s="487">
        <v>831</v>
      </c>
      <c r="L148" s="487">
        <v>962</v>
      </c>
      <c r="M148" s="352" t="s">
        <v>1342</v>
      </c>
    </row>
    <row r="149" spans="1:13" x14ac:dyDescent="0.35">
      <c r="A149" s="352">
        <v>148</v>
      </c>
      <c r="B149" s="486" t="s">
        <v>1023</v>
      </c>
      <c r="C149" s="487">
        <v>127</v>
      </c>
      <c r="D149" s="487">
        <v>89</v>
      </c>
      <c r="E149" s="487">
        <v>648</v>
      </c>
      <c r="F149" s="487">
        <v>864</v>
      </c>
      <c r="G149" s="487"/>
      <c r="H149" s="487"/>
      <c r="I149" s="487"/>
      <c r="J149" s="487">
        <v>265</v>
      </c>
      <c r="K149" s="487">
        <v>409</v>
      </c>
      <c r="L149" s="487">
        <v>1571</v>
      </c>
      <c r="M149" s="352" t="s">
        <v>1342</v>
      </c>
    </row>
    <row r="150" spans="1:13" x14ac:dyDescent="0.35">
      <c r="A150" s="352">
        <v>149</v>
      </c>
      <c r="B150" s="486" t="s">
        <v>1025</v>
      </c>
      <c r="C150" s="487">
        <v>65</v>
      </c>
      <c r="D150" s="487">
        <v>16</v>
      </c>
      <c r="E150" s="487">
        <v>125</v>
      </c>
      <c r="F150" s="487">
        <v>206</v>
      </c>
      <c r="G150" s="487"/>
      <c r="H150" s="487"/>
      <c r="I150" s="487"/>
      <c r="J150" s="487">
        <v>125</v>
      </c>
      <c r="K150" s="487">
        <v>1</v>
      </c>
      <c r="L150" s="487">
        <v>2060</v>
      </c>
      <c r="M150" s="352" t="s">
        <v>1342</v>
      </c>
    </row>
    <row r="151" spans="1:13" x14ac:dyDescent="0.35">
      <c r="A151" s="352">
        <v>150</v>
      </c>
      <c r="B151" s="486" t="s">
        <v>1032</v>
      </c>
      <c r="C151" s="487">
        <v>13</v>
      </c>
      <c r="D151" s="487">
        <v>3</v>
      </c>
      <c r="E151" s="487">
        <v>50</v>
      </c>
      <c r="F151" s="487">
        <v>66</v>
      </c>
      <c r="G151" s="487"/>
      <c r="H151" s="487"/>
      <c r="I151" s="487"/>
      <c r="J151" s="487">
        <v>30</v>
      </c>
      <c r="K151" s="487">
        <v>600</v>
      </c>
      <c r="L151" s="487">
        <v>2775</v>
      </c>
      <c r="M151" s="352" t="s">
        <v>1342</v>
      </c>
    </row>
    <row r="152" spans="1:13" x14ac:dyDescent="0.35">
      <c r="A152" s="352">
        <v>151</v>
      </c>
      <c r="B152" s="486" t="s">
        <v>1029</v>
      </c>
      <c r="C152" s="487">
        <v>10</v>
      </c>
      <c r="D152" s="488"/>
      <c r="E152" s="487">
        <v>7</v>
      </c>
      <c r="F152" s="487">
        <v>17</v>
      </c>
      <c r="G152" s="488"/>
      <c r="H152" s="488"/>
      <c r="I152" s="488"/>
      <c r="J152" s="487">
        <v>5</v>
      </c>
      <c r="K152" s="487">
        <v>714</v>
      </c>
      <c r="L152" s="487">
        <v>46</v>
      </c>
      <c r="M152" s="352" t="s">
        <v>1342</v>
      </c>
    </row>
    <row r="153" spans="1:13" x14ac:dyDescent="0.35">
      <c r="A153" s="352">
        <v>152</v>
      </c>
      <c r="B153" s="486" t="s">
        <v>1031</v>
      </c>
      <c r="C153" s="488"/>
      <c r="D153" s="487">
        <v>14</v>
      </c>
      <c r="E153" s="487">
        <v>515</v>
      </c>
      <c r="F153" s="487">
        <v>529</v>
      </c>
      <c r="G153" s="487"/>
      <c r="H153" s="487"/>
      <c r="I153" s="487"/>
      <c r="J153" s="487">
        <v>515</v>
      </c>
      <c r="K153" s="487">
        <v>1</v>
      </c>
      <c r="L153" s="487">
        <v>687</v>
      </c>
      <c r="M153" s="352" t="s">
        <v>1342</v>
      </c>
    </row>
    <row r="154" spans="1:13" x14ac:dyDescent="0.35">
      <c r="A154" s="352">
        <v>153</v>
      </c>
      <c r="B154" s="486" t="s">
        <v>1028</v>
      </c>
      <c r="C154" s="488"/>
      <c r="D154" s="488"/>
      <c r="E154" s="487">
        <v>167</v>
      </c>
      <c r="F154" s="487">
        <v>167</v>
      </c>
      <c r="G154" s="488"/>
      <c r="H154" s="488"/>
      <c r="I154" s="488"/>
      <c r="J154" s="487">
        <v>104</v>
      </c>
      <c r="K154" s="487">
        <v>623</v>
      </c>
      <c r="L154" s="487">
        <v>1443</v>
      </c>
      <c r="M154" s="352" t="s">
        <v>1342</v>
      </c>
    </row>
    <row r="155" spans="1:13" x14ac:dyDescent="0.35">
      <c r="A155" s="352">
        <v>154</v>
      </c>
      <c r="B155" s="489" t="s">
        <v>1033</v>
      </c>
      <c r="C155" s="490">
        <v>48</v>
      </c>
      <c r="D155" s="490">
        <v>431</v>
      </c>
      <c r="E155" s="490">
        <v>1</v>
      </c>
      <c r="F155" s="490">
        <v>237</v>
      </c>
      <c r="G155" s="491"/>
      <c r="H155" s="491"/>
      <c r="I155" s="491"/>
      <c r="J155" s="490">
        <v>0</v>
      </c>
      <c r="K155" s="490">
        <v>2</v>
      </c>
      <c r="L155" s="490">
        <v>46</v>
      </c>
      <c r="M155" s="352" t="s">
        <v>14</v>
      </c>
    </row>
    <row r="156" spans="1:13" x14ac:dyDescent="0.35">
      <c r="A156" s="352">
        <v>155</v>
      </c>
      <c r="B156" s="489" t="s">
        <v>1039</v>
      </c>
      <c r="C156" s="490">
        <v>1764</v>
      </c>
      <c r="D156" s="490">
        <v>267</v>
      </c>
      <c r="E156" s="490">
        <v>209</v>
      </c>
      <c r="F156" s="490">
        <v>5881</v>
      </c>
      <c r="G156" s="491"/>
      <c r="H156" s="491"/>
      <c r="I156" s="491"/>
      <c r="J156" s="490">
        <v>222</v>
      </c>
      <c r="K156" s="490">
        <v>782</v>
      </c>
      <c r="L156" s="490">
        <v>760</v>
      </c>
      <c r="M156" s="352" t="s">
        <v>14</v>
      </c>
    </row>
    <row r="157" spans="1:13" x14ac:dyDescent="0.35">
      <c r="A157" s="352">
        <v>156</v>
      </c>
      <c r="B157" s="489" t="s">
        <v>1050</v>
      </c>
      <c r="C157" s="490">
        <v>978</v>
      </c>
      <c r="D157" s="490">
        <v>447</v>
      </c>
      <c r="E157" s="490">
        <v>273</v>
      </c>
      <c r="F157" s="490">
        <v>1648</v>
      </c>
      <c r="G157" s="491"/>
      <c r="H157" s="491"/>
      <c r="I157" s="491"/>
      <c r="J157" s="490">
        <v>168</v>
      </c>
      <c r="K157" s="490">
        <v>611</v>
      </c>
      <c r="L157" s="490">
        <v>199</v>
      </c>
      <c r="M157" s="352" t="s">
        <v>14</v>
      </c>
    </row>
    <row r="158" spans="1:13" x14ac:dyDescent="0.35">
      <c r="A158" s="352">
        <v>157</v>
      </c>
      <c r="B158" s="489" t="s">
        <v>1038</v>
      </c>
      <c r="C158" s="490">
        <v>803</v>
      </c>
      <c r="D158" s="490">
        <v>769</v>
      </c>
      <c r="E158" s="490">
        <v>178</v>
      </c>
      <c r="F158" s="490">
        <v>270</v>
      </c>
      <c r="G158" s="491"/>
      <c r="H158" s="491"/>
      <c r="I158" s="491"/>
      <c r="J158" s="490">
        <v>564</v>
      </c>
      <c r="K158" s="490">
        <v>231</v>
      </c>
      <c r="L158" s="490">
        <v>8</v>
      </c>
      <c r="M158" s="352" t="s">
        <v>14</v>
      </c>
    </row>
    <row r="159" spans="1:13" x14ac:dyDescent="0.35">
      <c r="A159" s="352">
        <v>158</v>
      </c>
      <c r="B159" s="489" t="s">
        <v>1034</v>
      </c>
      <c r="C159" s="490">
        <v>380</v>
      </c>
      <c r="D159" s="490">
        <v>284</v>
      </c>
      <c r="E159" s="490">
        <v>65</v>
      </c>
      <c r="F159" s="490">
        <v>1521</v>
      </c>
      <c r="G159" s="491"/>
      <c r="H159" s="491"/>
      <c r="I159" s="491"/>
      <c r="J159" s="491"/>
      <c r="K159" s="490">
        <v>230</v>
      </c>
      <c r="L159" s="490">
        <v>150</v>
      </c>
      <c r="M159" s="352" t="s">
        <v>14</v>
      </c>
    </row>
    <row r="160" spans="1:13" x14ac:dyDescent="0.35">
      <c r="A160" s="352">
        <v>159</v>
      </c>
      <c r="B160" s="489" t="s">
        <v>1059</v>
      </c>
      <c r="C160" s="490">
        <v>324</v>
      </c>
      <c r="D160" s="490"/>
      <c r="E160" s="490"/>
      <c r="F160" s="490"/>
      <c r="G160" s="490"/>
      <c r="H160" s="490"/>
      <c r="I160" s="490"/>
      <c r="J160" s="490">
        <v>235</v>
      </c>
      <c r="K160" s="490">
        <v>32</v>
      </c>
      <c r="L160" s="490">
        <v>57</v>
      </c>
      <c r="M160" s="352" t="s">
        <v>14</v>
      </c>
    </row>
    <row r="161" spans="1:13" x14ac:dyDescent="0.35">
      <c r="A161" s="352">
        <v>160</v>
      </c>
      <c r="B161" s="489" t="s">
        <v>1047</v>
      </c>
      <c r="C161" s="490">
        <v>203</v>
      </c>
      <c r="D161" s="490">
        <v>314</v>
      </c>
      <c r="E161" s="490">
        <v>19</v>
      </c>
      <c r="F161" s="490">
        <v>500</v>
      </c>
      <c r="G161" s="491"/>
      <c r="H161" s="491"/>
      <c r="I161" s="491"/>
      <c r="J161" s="490">
        <v>51</v>
      </c>
      <c r="K161" s="490">
        <v>59</v>
      </c>
      <c r="L161" s="490">
        <v>93</v>
      </c>
      <c r="M161" s="352" t="s">
        <v>14</v>
      </c>
    </row>
    <row r="162" spans="1:13" x14ac:dyDescent="0.35">
      <c r="A162" s="352">
        <v>161</v>
      </c>
      <c r="B162" s="489" t="s">
        <v>1035</v>
      </c>
      <c r="C162" s="490">
        <v>129</v>
      </c>
      <c r="D162" s="490">
        <v>359</v>
      </c>
      <c r="E162" s="490">
        <v>16</v>
      </c>
      <c r="F162" s="490">
        <v>947</v>
      </c>
      <c r="G162" s="491"/>
      <c r="H162" s="491"/>
      <c r="I162" s="491"/>
      <c r="J162" s="491"/>
      <c r="K162" s="490">
        <v>44</v>
      </c>
      <c r="L162" s="490">
        <v>85</v>
      </c>
      <c r="M162" s="352" t="s">
        <v>14</v>
      </c>
    </row>
    <row r="163" spans="1:13" x14ac:dyDescent="0.35">
      <c r="A163" s="352">
        <v>162</v>
      </c>
      <c r="B163" s="489" t="s">
        <v>1058</v>
      </c>
      <c r="C163" s="490">
        <v>82</v>
      </c>
      <c r="D163" s="490"/>
      <c r="E163" s="490"/>
      <c r="F163" s="490"/>
      <c r="G163" s="490"/>
      <c r="H163" s="490"/>
      <c r="I163" s="490"/>
      <c r="J163" s="490">
        <v>31</v>
      </c>
      <c r="K163" s="490">
        <v>22</v>
      </c>
      <c r="L163" s="490">
        <v>30</v>
      </c>
      <c r="M163" s="352" t="s">
        <v>14</v>
      </c>
    </row>
    <row r="164" spans="1:13" x14ac:dyDescent="0.35">
      <c r="A164" s="352">
        <v>163</v>
      </c>
      <c r="B164" s="489" t="s">
        <v>1043</v>
      </c>
      <c r="C164" s="490">
        <v>61</v>
      </c>
      <c r="D164" s="490">
        <v>386</v>
      </c>
      <c r="E164" s="490">
        <v>10</v>
      </c>
      <c r="F164" s="490">
        <v>562</v>
      </c>
      <c r="G164" s="491"/>
      <c r="H164" s="491"/>
      <c r="I164" s="491"/>
      <c r="J164" s="490">
        <v>24</v>
      </c>
      <c r="K164" s="490">
        <v>25</v>
      </c>
      <c r="L164" s="490">
        <v>12</v>
      </c>
      <c r="M164" s="352" t="s">
        <v>14</v>
      </c>
    </row>
    <row r="165" spans="1:13" x14ac:dyDescent="0.35">
      <c r="A165" s="352">
        <v>164</v>
      </c>
      <c r="B165" s="489" t="s">
        <v>1036</v>
      </c>
      <c r="C165" s="490">
        <v>40</v>
      </c>
      <c r="D165" s="491"/>
      <c r="E165" s="491"/>
      <c r="F165" s="490">
        <v>80</v>
      </c>
      <c r="G165" s="491"/>
      <c r="H165" s="491"/>
      <c r="I165" s="491"/>
      <c r="J165" s="491"/>
      <c r="K165" s="491"/>
      <c r="L165" s="490">
        <v>40</v>
      </c>
      <c r="M165" s="352" t="s">
        <v>14</v>
      </c>
    </row>
    <row r="166" spans="1:13" x14ac:dyDescent="0.35">
      <c r="A166" s="352">
        <v>165</v>
      </c>
      <c r="B166" s="489" t="s">
        <v>1040</v>
      </c>
      <c r="C166" s="490">
        <v>25</v>
      </c>
      <c r="D166" s="490">
        <v>1027</v>
      </c>
      <c r="E166" s="490">
        <v>9</v>
      </c>
      <c r="F166" s="490">
        <v>200</v>
      </c>
      <c r="G166" s="491"/>
      <c r="H166" s="491"/>
      <c r="I166" s="491"/>
      <c r="J166" s="490">
        <v>8</v>
      </c>
      <c r="K166" s="490">
        <v>9</v>
      </c>
      <c r="L166" s="490">
        <v>9</v>
      </c>
      <c r="M166" s="352" t="s">
        <v>14</v>
      </c>
    </row>
    <row r="167" spans="1:13" x14ac:dyDescent="0.35">
      <c r="A167" s="352">
        <v>166</v>
      </c>
      <c r="B167" s="489" t="s">
        <v>1049</v>
      </c>
      <c r="C167" s="490">
        <v>14</v>
      </c>
      <c r="D167" s="490">
        <v>17</v>
      </c>
      <c r="E167" s="490">
        <v>0</v>
      </c>
      <c r="F167" s="490">
        <v>19</v>
      </c>
      <c r="G167" s="491"/>
      <c r="H167" s="491"/>
      <c r="I167" s="491"/>
      <c r="J167" s="490">
        <v>5</v>
      </c>
      <c r="K167" s="490">
        <v>3</v>
      </c>
      <c r="L167" s="490">
        <v>6</v>
      </c>
      <c r="M167" s="352" t="s">
        <v>14</v>
      </c>
    </row>
    <row r="168" spans="1:13" x14ac:dyDescent="0.35">
      <c r="A168" s="352">
        <v>167</v>
      </c>
      <c r="B168" s="489" t="s">
        <v>1037</v>
      </c>
      <c r="C168" s="490">
        <v>7</v>
      </c>
      <c r="D168" s="490">
        <v>211</v>
      </c>
      <c r="E168" s="490">
        <v>1</v>
      </c>
      <c r="F168" s="490">
        <v>12</v>
      </c>
      <c r="G168" s="491"/>
      <c r="H168" s="491"/>
      <c r="I168" s="491"/>
      <c r="J168" s="490">
        <v>2</v>
      </c>
      <c r="K168" s="490">
        <v>5</v>
      </c>
      <c r="L168" s="490">
        <v>0</v>
      </c>
      <c r="M168" s="352" t="s">
        <v>14</v>
      </c>
    </row>
    <row r="169" spans="1:13" x14ac:dyDescent="0.35">
      <c r="A169" s="352">
        <v>168</v>
      </c>
      <c r="B169" s="489" t="s">
        <v>1048</v>
      </c>
      <c r="C169" s="490">
        <v>4</v>
      </c>
      <c r="D169" s="491"/>
      <c r="E169" s="491"/>
      <c r="F169" s="490">
        <v>30</v>
      </c>
      <c r="G169" s="491"/>
      <c r="H169" s="491"/>
      <c r="I169" s="491"/>
      <c r="J169" s="490">
        <v>1</v>
      </c>
      <c r="K169" s="491"/>
      <c r="L169" s="490">
        <v>3</v>
      </c>
      <c r="M169" s="352" t="s">
        <v>14</v>
      </c>
    </row>
    <row r="170" spans="1:13" x14ac:dyDescent="0.35">
      <c r="A170" s="352">
        <v>169</v>
      </c>
      <c r="B170" s="489" t="s">
        <v>1041</v>
      </c>
      <c r="C170" s="491"/>
      <c r="D170" s="491"/>
      <c r="E170" s="491"/>
      <c r="F170" s="491"/>
      <c r="G170" s="491"/>
      <c r="H170" s="491"/>
      <c r="I170" s="491"/>
      <c r="J170" s="491"/>
      <c r="K170" s="491"/>
      <c r="L170" s="491"/>
      <c r="M170" s="352" t="s">
        <v>14</v>
      </c>
    </row>
    <row r="171" spans="1:13" x14ac:dyDescent="0.35">
      <c r="A171" s="352">
        <v>170</v>
      </c>
      <c r="B171" s="489" t="s">
        <v>1042</v>
      </c>
      <c r="C171" s="491"/>
      <c r="D171" s="491"/>
      <c r="E171" s="491"/>
      <c r="F171" s="491"/>
      <c r="G171" s="491"/>
      <c r="H171" s="491"/>
      <c r="I171" s="491"/>
      <c r="J171" s="491"/>
      <c r="K171" s="491"/>
      <c r="L171" s="491"/>
      <c r="M171" s="352" t="s">
        <v>14</v>
      </c>
    </row>
    <row r="172" spans="1:13" x14ac:dyDescent="0.35">
      <c r="A172" s="352">
        <v>171</v>
      </c>
      <c r="B172" s="489" t="s">
        <v>1044</v>
      </c>
      <c r="C172" s="491"/>
      <c r="D172" s="491"/>
      <c r="E172" s="491"/>
      <c r="F172" s="491"/>
      <c r="G172" s="491"/>
      <c r="H172" s="491"/>
      <c r="I172" s="491"/>
      <c r="J172" s="491"/>
      <c r="K172" s="491"/>
      <c r="L172" s="491"/>
      <c r="M172" s="352" t="s">
        <v>14</v>
      </c>
    </row>
    <row r="173" spans="1:13" x14ac:dyDescent="0.35">
      <c r="A173" s="352">
        <v>172</v>
      </c>
      <c r="B173" s="489" t="s">
        <v>1045</v>
      </c>
      <c r="C173" s="491"/>
      <c r="D173" s="491"/>
      <c r="E173" s="491"/>
      <c r="F173" s="491"/>
      <c r="G173" s="491"/>
      <c r="H173" s="491"/>
      <c r="I173" s="491"/>
      <c r="J173" s="491"/>
      <c r="K173" s="491"/>
      <c r="L173" s="491"/>
      <c r="M173" s="352" t="s">
        <v>14</v>
      </c>
    </row>
    <row r="174" spans="1:13" x14ac:dyDescent="0.35">
      <c r="A174" s="352">
        <v>173</v>
      </c>
      <c r="B174" s="489" t="s">
        <v>1046</v>
      </c>
      <c r="C174" s="491"/>
      <c r="D174" s="491"/>
      <c r="E174" s="491"/>
      <c r="F174" s="491"/>
      <c r="G174" s="491"/>
      <c r="H174" s="491"/>
      <c r="I174" s="491"/>
      <c r="J174" s="491"/>
      <c r="K174" s="491"/>
      <c r="L174" s="491"/>
      <c r="M174" s="352" t="s">
        <v>14</v>
      </c>
    </row>
    <row r="175" spans="1:13" x14ac:dyDescent="0.35">
      <c r="A175" s="352">
        <v>174</v>
      </c>
      <c r="B175" s="489" t="s">
        <v>1051</v>
      </c>
      <c r="C175" s="491"/>
      <c r="D175" s="491"/>
      <c r="E175" s="421"/>
      <c r="F175" s="421"/>
      <c r="G175" s="490"/>
      <c r="H175" s="490"/>
      <c r="I175" s="490"/>
      <c r="J175" s="490"/>
      <c r="K175" s="490"/>
      <c r="L175" s="490"/>
      <c r="M175" s="352" t="s">
        <v>14</v>
      </c>
    </row>
    <row r="176" spans="1:13" x14ac:dyDescent="0.35">
      <c r="A176" s="352">
        <v>175</v>
      </c>
      <c r="B176" s="489" t="s">
        <v>1052</v>
      </c>
      <c r="C176" s="491"/>
      <c r="D176" s="491"/>
      <c r="E176" s="421"/>
      <c r="F176" s="421"/>
      <c r="G176" s="490"/>
      <c r="H176" s="490"/>
      <c r="I176" s="490"/>
      <c r="J176" s="490"/>
      <c r="K176" s="490"/>
      <c r="L176" s="490"/>
      <c r="M176" s="352" t="s">
        <v>14</v>
      </c>
    </row>
    <row r="177" spans="1:13" x14ac:dyDescent="0.35">
      <c r="A177" s="352">
        <v>176</v>
      </c>
      <c r="B177" s="489" t="s">
        <v>1053</v>
      </c>
      <c r="C177" s="491"/>
      <c r="D177" s="491"/>
      <c r="E177" s="421"/>
      <c r="F177" s="421"/>
      <c r="G177" s="490"/>
      <c r="H177" s="490"/>
      <c r="I177" s="490"/>
      <c r="J177" s="490"/>
      <c r="K177" s="490"/>
      <c r="L177" s="490"/>
      <c r="M177" s="352" t="s">
        <v>14</v>
      </c>
    </row>
    <row r="178" spans="1:13" x14ac:dyDescent="0.35">
      <c r="A178" s="352">
        <v>177</v>
      </c>
      <c r="B178" s="489" t="s">
        <v>1054</v>
      </c>
      <c r="C178" s="491"/>
      <c r="D178" s="491"/>
      <c r="E178" s="491"/>
      <c r="F178" s="491"/>
      <c r="G178" s="490"/>
      <c r="H178" s="491"/>
      <c r="I178" s="491"/>
      <c r="J178" s="491"/>
      <c r="K178" s="491"/>
      <c r="L178" s="491"/>
      <c r="M178" s="352" t="s">
        <v>14</v>
      </c>
    </row>
    <row r="179" spans="1:13" x14ac:dyDescent="0.35">
      <c r="A179" s="352">
        <v>178</v>
      </c>
      <c r="B179" s="489" t="s">
        <v>1055</v>
      </c>
      <c r="C179" s="491"/>
      <c r="D179" s="491"/>
      <c r="E179" s="491"/>
      <c r="F179" s="491"/>
      <c r="G179" s="490"/>
      <c r="H179" s="490"/>
      <c r="I179" s="490"/>
      <c r="J179" s="491"/>
      <c r="K179" s="491"/>
      <c r="L179" s="491"/>
      <c r="M179" s="352" t="s">
        <v>14</v>
      </c>
    </row>
    <row r="180" spans="1:13" x14ac:dyDescent="0.35">
      <c r="A180" s="352">
        <v>179</v>
      </c>
      <c r="B180" s="489" t="s">
        <v>1056</v>
      </c>
      <c r="C180" s="491"/>
      <c r="D180" s="491"/>
      <c r="E180" s="491"/>
      <c r="F180" s="491"/>
      <c r="G180" s="490"/>
      <c r="H180" s="490"/>
      <c r="I180" s="490"/>
      <c r="J180" s="491"/>
      <c r="K180" s="491"/>
      <c r="L180" s="491"/>
      <c r="M180" s="352" t="s">
        <v>14</v>
      </c>
    </row>
    <row r="181" spans="1:13" x14ac:dyDescent="0.35">
      <c r="A181" s="352">
        <v>180</v>
      </c>
      <c r="B181" s="489" t="s">
        <v>1057</v>
      </c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352" t="s">
        <v>14</v>
      </c>
    </row>
    <row r="182" spans="1:13" x14ac:dyDescent="0.35">
      <c r="A182" s="352">
        <v>181</v>
      </c>
      <c r="B182" s="492" t="s">
        <v>1060</v>
      </c>
      <c r="C182" s="493">
        <v>2474</v>
      </c>
      <c r="D182" s="493">
        <v>570</v>
      </c>
      <c r="E182" s="493">
        <v>631</v>
      </c>
      <c r="F182" s="493">
        <v>2452</v>
      </c>
      <c r="G182" s="494"/>
      <c r="H182" s="494"/>
      <c r="I182" s="494"/>
      <c r="J182" s="493">
        <v>941</v>
      </c>
      <c r="K182" s="493">
        <v>1107</v>
      </c>
      <c r="L182" s="493">
        <v>426</v>
      </c>
      <c r="M182" s="352" t="s">
        <v>15</v>
      </c>
    </row>
    <row r="183" spans="1:13" x14ac:dyDescent="0.35">
      <c r="A183" s="352">
        <v>182</v>
      </c>
      <c r="B183" s="492" t="s">
        <v>1061</v>
      </c>
      <c r="C183" s="493">
        <v>3167</v>
      </c>
      <c r="D183" s="493">
        <v>1002</v>
      </c>
      <c r="E183" s="493">
        <v>1227</v>
      </c>
      <c r="F183" s="493">
        <v>4316</v>
      </c>
      <c r="G183" s="494"/>
      <c r="H183" s="494"/>
      <c r="I183" s="494"/>
      <c r="J183" s="493">
        <v>1168</v>
      </c>
      <c r="K183" s="493">
        <v>1224</v>
      </c>
      <c r="L183" s="493">
        <v>775</v>
      </c>
      <c r="M183" s="352" t="s">
        <v>15</v>
      </c>
    </row>
    <row r="184" spans="1:13" x14ac:dyDescent="0.35">
      <c r="A184" s="352">
        <v>183</v>
      </c>
      <c r="B184" s="492" t="s">
        <v>1063</v>
      </c>
      <c r="C184" s="493">
        <v>2034</v>
      </c>
      <c r="D184" s="493">
        <v>334</v>
      </c>
      <c r="E184" s="493">
        <v>400</v>
      </c>
      <c r="F184" s="493">
        <v>875</v>
      </c>
      <c r="G184" s="494"/>
      <c r="H184" s="494"/>
      <c r="I184" s="494"/>
      <c r="J184" s="493">
        <v>749</v>
      </c>
      <c r="K184" s="493">
        <v>1196</v>
      </c>
      <c r="L184" s="493">
        <v>89</v>
      </c>
      <c r="M184" s="352" t="s">
        <v>15</v>
      </c>
    </row>
    <row r="185" spans="1:13" x14ac:dyDescent="0.35">
      <c r="A185" s="352">
        <v>184</v>
      </c>
      <c r="B185" s="492" t="s">
        <v>1066</v>
      </c>
      <c r="C185" s="493">
        <v>117</v>
      </c>
      <c r="D185" s="493">
        <v>299</v>
      </c>
      <c r="E185" s="493">
        <v>20</v>
      </c>
      <c r="F185" s="493">
        <v>300</v>
      </c>
      <c r="G185" s="494"/>
      <c r="H185" s="494"/>
      <c r="I185" s="494"/>
      <c r="J185" s="493">
        <v>30</v>
      </c>
      <c r="K185" s="493">
        <v>67</v>
      </c>
      <c r="L185" s="493">
        <v>20</v>
      </c>
      <c r="M185" s="352" t="s">
        <v>15</v>
      </c>
    </row>
    <row r="186" spans="1:13" x14ac:dyDescent="0.35">
      <c r="A186" s="352">
        <v>185</v>
      </c>
      <c r="B186" s="492" t="s">
        <v>1062</v>
      </c>
      <c r="C186" s="494"/>
      <c r="D186" s="494"/>
      <c r="E186" s="494"/>
      <c r="F186" s="494"/>
      <c r="G186" s="494"/>
      <c r="H186" s="494"/>
      <c r="I186" s="494"/>
      <c r="J186" s="494"/>
      <c r="K186" s="494"/>
      <c r="L186" s="494"/>
      <c r="M186" s="352" t="s">
        <v>15</v>
      </c>
    </row>
    <row r="187" spans="1:13" x14ac:dyDescent="0.35">
      <c r="A187" s="352">
        <v>186</v>
      </c>
      <c r="B187" s="492" t="s">
        <v>1064</v>
      </c>
      <c r="C187" s="494"/>
      <c r="D187" s="494"/>
      <c r="E187" s="494"/>
      <c r="F187" s="494"/>
      <c r="G187" s="494"/>
      <c r="H187" s="494"/>
      <c r="I187" s="494"/>
      <c r="J187" s="494"/>
      <c r="K187" s="494"/>
      <c r="L187" s="494"/>
      <c r="M187" s="352" t="s">
        <v>15</v>
      </c>
    </row>
    <row r="188" spans="1:13" x14ac:dyDescent="0.35">
      <c r="A188" s="352">
        <v>187</v>
      </c>
      <c r="B188" s="492" t="s">
        <v>1065</v>
      </c>
      <c r="C188" s="494"/>
      <c r="D188" s="494"/>
      <c r="E188" s="494"/>
      <c r="F188" s="494"/>
      <c r="G188" s="494"/>
      <c r="H188" s="494"/>
      <c r="I188" s="494"/>
      <c r="J188" s="494"/>
      <c r="K188" s="494"/>
      <c r="L188" s="494"/>
      <c r="M188" s="352" t="s">
        <v>15</v>
      </c>
    </row>
    <row r="189" spans="1:13" x14ac:dyDescent="0.35">
      <c r="A189" s="352">
        <v>188</v>
      </c>
      <c r="B189" s="492" t="s">
        <v>1067</v>
      </c>
      <c r="C189" s="494"/>
      <c r="D189" s="494"/>
      <c r="E189" s="494"/>
      <c r="F189" s="494"/>
      <c r="G189" s="494"/>
      <c r="H189" s="494"/>
      <c r="I189" s="494"/>
      <c r="J189" s="494"/>
      <c r="K189" s="494"/>
      <c r="L189" s="494"/>
      <c r="M189" s="352" t="s">
        <v>15</v>
      </c>
    </row>
    <row r="190" spans="1:13" x14ac:dyDescent="0.35">
      <c r="A190" s="352">
        <v>189</v>
      </c>
      <c r="B190" s="495" t="s">
        <v>1068</v>
      </c>
      <c r="C190" s="496">
        <v>243</v>
      </c>
      <c r="D190" s="496">
        <v>817</v>
      </c>
      <c r="E190" s="496">
        <v>65</v>
      </c>
      <c r="F190" s="496">
        <v>385</v>
      </c>
      <c r="G190" s="497"/>
      <c r="H190" s="497"/>
      <c r="I190" s="497"/>
      <c r="J190" s="496">
        <v>151</v>
      </c>
      <c r="K190" s="496">
        <v>79</v>
      </c>
      <c r="L190" s="496">
        <v>13</v>
      </c>
      <c r="M190" s="352" t="s">
        <v>16</v>
      </c>
    </row>
    <row r="191" spans="1:13" x14ac:dyDescent="0.35">
      <c r="A191" s="352">
        <v>190</v>
      </c>
      <c r="B191" s="495" t="s">
        <v>1079</v>
      </c>
      <c r="C191" s="496">
        <v>1208</v>
      </c>
      <c r="D191" s="496">
        <v>463</v>
      </c>
      <c r="E191" s="496">
        <v>392</v>
      </c>
      <c r="F191" s="496">
        <v>1417</v>
      </c>
      <c r="G191" s="497"/>
      <c r="H191" s="497"/>
      <c r="I191" s="497"/>
      <c r="J191" s="496">
        <v>269</v>
      </c>
      <c r="K191" s="496">
        <v>846</v>
      </c>
      <c r="L191" s="496">
        <v>93</v>
      </c>
      <c r="M191" s="352" t="s">
        <v>16</v>
      </c>
    </row>
    <row r="192" spans="1:13" x14ac:dyDescent="0.35">
      <c r="A192" s="352">
        <v>191</v>
      </c>
      <c r="B192" s="495" t="s">
        <v>1092</v>
      </c>
      <c r="C192" s="496">
        <v>879</v>
      </c>
      <c r="D192" s="496">
        <v>514</v>
      </c>
      <c r="E192" s="496">
        <v>264</v>
      </c>
      <c r="F192" s="496">
        <v>2662</v>
      </c>
      <c r="G192" s="496"/>
      <c r="H192" s="496"/>
      <c r="I192" s="496"/>
      <c r="J192" s="496">
        <v>269</v>
      </c>
      <c r="K192" s="496">
        <v>514</v>
      </c>
      <c r="L192" s="496">
        <v>96</v>
      </c>
      <c r="M192" s="352" t="s">
        <v>16</v>
      </c>
    </row>
    <row r="193" spans="1:13" x14ac:dyDescent="0.35">
      <c r="A193" s="352">
        <v>192</v>
      </c>
      <c r="B193" s="495" t="s">
        <v>1087</v>
      </c>
      <c r="C193" s="496">
        <v>576</v>
      </c>
      <c r="D193" s="496">
        <v>167</v>
      </c>
      <c r="E193" s="496">
        <v>59</v>
      </c>
      <c r="F193" s="496">
        <v>1040</v>
      </c>
      <c r="G193" s="496"/>
      <c r="H193" s="496"/>
      <c r="I193" s="496"/>
      <c r="J193" s="496">
        <v>219</v>
      </c>
      <c r="K193" s="496">
        <v>352</v>
      </c>
      <c r="L193" s="496">
        <v>5</v>
      </c>
      <c r="M193" s="352" t="s">
        <v>16</v>
      </c>
    </row>
    <row r="194" spans="1:13" x14ac:dyDescent="0.35">
      <c r="A194" s="352">
        <v>193</v>
      </c>
      <c r="B194" s="495" t="s">
        <v>1074</v>
      </c>
      <c r="C194" s="496">
        <v>480</v>
      </c>
      <c r="D194" s="496">
        <v>755</v>
      </c>
      <c r="E194" s="496">
        <v>157</v>
      </c>
      <c r="F194" s="496">
        <v>2571</v>
      </c>
      <c r="G194" s="497"/>
      <c r="H194" s="497"/>
      <c r="I194" s="497"/>
      <c r="J194" s="496">
        <v>271</v>
      </c>
      <c r="K194" s="496">
        <v>208</v>
      </c>
      <c r="L194" s="497"/>
      <c r="M194" s="352" t="s">
        <v>16</v>
      </c>
    </row>
    <row r="195" spans="1:13" x14ac:dyDescent="0.35">
      <c r="A195" s="352">
        <v>194</v>
      </c>
      <c r="B195" s="495" t="s">
        <v>1072</v>
      </c>
      <c r="C195" s="496">
        <v>443</v>
      </c>
      <c r="D195" s="496">
        <v>209</v>
      </c>
      <c r="E195" s="496">
        <v>77</v>
      </c>
      <c r="F195" s="496">
        <v>1663</v>
      </c>
      <c r="G195" s="497"/>
      <c r="H195" s="497"/>
      <c r="I195" s="497"/>
      <c r="J195" s="496">
        <v>63</v>
      </c>
      <c r="K195" s="496">
        <v>369</v>
      </c>
      <c r="L195" s="496">
        <v>11</v>
      </c>
      <c r="M195" s="352" t="s">
        <v>16</v>
      </c>
    </row>
    <row r="196" spans="1:13" x14ac:dyDescent="0.35">
      <c r="A196" s="352">
        <v>195</v>
      </c>
      <c r="B196" s="495" t="s">
        <v>1091</v>
      </c>
      <c r="C196" s="496">
        <v>347</v>
      </c>
      <c r="D196" s="496">
        <v>841</v>
      </c>
      <c r="E196" s="496">
        <v>157</v>
      </c>
      <c r="F196" s="496">
        <v>692</v>
      </c>
      <c r="G196" s="496"/>
      <c r="H196" s="496"/>
      <c r="I196" s="496"/>
      <c r="J196" s="496">
        <v>109</v>
      </c>
      <c r="K196" s="496">
        <v>186</v>
      </c>
      <c r="L196" s="496">
        <v>51</v>
      </c>
      <c r="M196" s="352" t="s">
        <v>16</v>
      </c>
    </row>
    <row r="197" spans="1:13" x14ac:dyDescent="0.35">
      <c r="A197" s="352">
        <v>196</v>
      </c>
      <c r="B197" s="495" t="s">
        <v>1090</v>
      </c>
      <c r="C197" s="496">
        <v>273</v>
      </c>
      <c r="D197" s="496">
        <v>792</v>
      </c>
      <c r="E197" s="496">
        <v>125</v>
      </c>
      <c r="F197" s="496">
        <v>909</v>
      </c>
      <c r="G197" s="496"/>
      <c r="H197" s="496"/>
      <c r="I197" s="496"/>
      <c r="J197" s="496">
        <v>82</v>
      </c>
      <c r="K197" s="496">
        <v>158</v>
      </c>
      <c r="L197" s="496">
        <v>33</v>
      </c>
      <c r="M197" s="352" t="s">
        <v>16</v>
      </c>
    </row>
    <row r="198" spans="1:13" x14ac:dyDescent="0.35">
      <c r="A198" s="352">
        <v>197</v>
      </c>
      <c r="B198" s="495" t="s">
        <v>1071</v>
      </c>
      <c r="C198" s="496">
        <v>208</v>
      </c>
      <c r="D198" s="496">
        <v>172</v>
      </c>
      <c r="E198" s="496">
        <v>26</v>
      </c>
      <c r="F198" s="496">
        <v>463</v>
      </c>
      <c r="G198" s="497"/>
      <c r="H198" s="497"/>
      <c r="I198" s="497"/>
      <c r="J198" s="496">
        <v>49</v>
      </c>
      <c r="K198" s="496">
        <v>150</v>
      </c>
      <c r="L198" s="496">
        <v>9</v>
      </c>
      <c r="M198" s="352" t="s">
        <v>16</v>
      </c>
    </row>
    <row r="199" spans="1:13" x14ac:dyDescent="0.35">
      <c r="A199" s="352">
        <v>198</v>
      </c>
      <c r="B199" s="495" t="s">
        <v>1085</v>
      </c>
      <c r="C199" s="496">
        <v>178</v>
      </c>
      <c r="D199" s="496">
        <v>877</v>
      </c>
      <c r="E199" s="496">
        <v>21</v>
      </c>
      <c r="F199" s="496">
        <v>226</v>
      </c>
      <c r="G199" s="496"/>
      <c r="H199" s="496"/>
      <c r="I199" s="496"/>
      <c r="J199" s="496">
        <v>153</v>
      </c>
      <c r="K199" s="496">
        <v>24</v>
      </c>
      <c r="L199" s="497"/>
      <c r="M199" s="352" t="s">
        <v>16</v>
      </c>
    </row>
    <row r="200" spans="1:13" x14ac:dyDescent="0.35">
      <c r="A200" s="352">
        <v>199</v>
      </c>
      <c r="B200" s="495" t="s">
        <v>1075</v>
      </c>
      <c r="C200" s="496">
        <v>172</v>
      </c>
      <c r="D200" s="496">
        <v>600</v>
      </c>
      <c r="E200" s="496">
        <v>79</v>
      </c>
      <c r="F200" s="496">
        <v>716</v>
      </c>
      <c r="G200" s="497"/>
      <c r="H200" s="497"/>
      <c r="I200" s="497"/>
      <c r="J200" s="496">
        <v>40</v>
      </c>
      <c r="K200" s="496">
        <v>132</v>
      </c>
      <c r="L200" s="497"/>
      <c r="M200" s="352" t="s">
        <v>16</v>
      </c>
    </row>
    <row r="201" spans="1:13" x14ac:dyDescent="0.35">
      <c r="A201" s="352">
        <v>200</v>
      </c>
      <c r="B201" s="495" t="s">
        <v>1073</v>
      </c>
      <c r="C201" s="496">
        <v>170</v>
      </c>
      <c r="D201" s="496">
        <v>1206</v>
      </c>
      <c r="E201" s="496">
        <v>141</v>
      </c>
      <c r="F201" s="496">
        <v>1957</v>
      </c>
      <c r="G201" s="497"/>
      <c r="H201" s="497"/>
      <c r="I201" s="497"/>
      <c r="J201" s="496">
        <v>39</v>
      </c>
      <c r="K201" s="496">
        <v>117</v>
      </c>
      <c r="L201" s="496">
        <v>14</v>
      </c>
      <c r="M201" s="352" t="s">
        <v>16</v>
      </c>
    </row>
    <row r="202" spans="1:13" x14ac:dyDescent="0.35">
      <c r="A202" s="352">
        <v>201</v>
      </c>
      <c r="B202" s="495" t="s">
        <v>1095</v>
      </c>
      <c r="C202" s="496">
        <v>166</v>
      </c>
      <c r="D202" s="496">
        <v>176</v>
      </c>
      <c r="E202" s="496">
        <v>12</v>
      </c>
      <c r="F202" s="496">
        <v>312</v>
      </c>
      <c r="G202" s="496"/>
      <c r="H202" s="496"/>
      <c r="I202" s="496"/>
      <c r="J202" s="496">
        <v>90</v>
      </c>
      <c r="K202" s="496">
        <v>71</v>
      </c>
      <c r="L202" s="496">
        <v>5</v>
      </c>
      <c r="M202" s="352" t="s">
        <v>16</v>
      </c>
    </row>
    <row r="203" spans="1:13" x14ac:dyDescent="0.35">
      <c r="A203" s="352">
        <v>202</v>
      </c>
      <c r="B203" s="495" t="s">
        <v>1069</v>
      </c>
      <c r="C203" s="496">
        <v>163</v>
      </c>
      <c r="D203" s="496">
        <v>504</v>
      </c>
      <c r="E203" s="496">
        <v>48</v>
      </c>
      <c r="F203" s="496">
        <v>842</v>
      </c>
      <c r="G203" s="497"/>
      <c r="H203" s="497"/>
      <c r="I203" s="497"/>
      <c r="J203" s="496">
        <v>61</v>
      </c>
      <c r="K203" s="496">
        <v>95</v>
      </c>
      <c r="L203" s="496">
        <v>6</v>
      </c>
      <c r="M203" s="352" t="s">
        <v>16</v>
      </c>
    </row>
    <row r="204" spans="1:13" x14ac:dyDescent="0.35">
      <c r="A204" s="352">
        <v>203</v>
      </c>
      <c r="B204" s="495" t="s">
        <v>1070</v>
      </c>
      <c r="C204" s="496">
        <v>145</v>
      </c>
      <c r="D204" s="496">
        <v>64</v>
      </c>
      <c r="E204" s="496">
        <v>3</v>
      </c>
      <c r="F204" s="496">
        <v>615</v>
      </c>
      <c r="G204" s="497"/>
      <c r="H204" s="497"/>
      <c r="I204" s="497"/>
      <c r="J204" s="496">
        <v>92</v>
      </c>
      <c r="K204" s="496">
        <v>52</v>
      </c>
      <c r="L204" s="496">
        <v>2</v>
      </c>
      <c r="M204" s="352" t="s">
        <v>16</v>
      </c>
    </row>
    <row r="205" spans="1:13" x14ac:dyDescent="0.35">
      <c r="A205" s="352">
        <v>204</v>
      </c>
      <c r="B205" s="495" t="s">
        <v>1094</v>
      </c>
      <c r="C205" s="496">
        <v>111</v>
      </c>
      <c r="D205" s="496">
        <v>401</v>
      </c>
      <c r="E205" s="496">
        <v>8</v>
      </c>
      <c r="F205" s="496">
        <v>333</v>
      </c>
      <c r="G205" s="496"/>
      <c r="H205" s="497"/>
      <c r="I205" s="497"/>
      <c r="J205" s="496">
        <v>80</v>
      </c>
      <c r="K205" s="496">
        <v>21</v>
      </c>
      <c r="L205" s="496">
        <v>10</v>
      </c>
      <c r="M205" s="352" t="s">
        <v>16</v>
      </c>
    </row>
    <row r="206" spans="1:13" x14ac:dyDescent="0.35">
      <c r="A206" s="352">
        <v>205</v>
      </c>
      <c r="B206" s="495" t="s">
        <v>1089</v>
      </c>
      <c r="C206" s="496">
        <v>110</v>
      </c>
      <c r="D206" s="496">
        <v>115</v>
      </c>
      <c r="E206" s="496">
        <v>7</v>
      </c>
      <c r="F206" s="496">
        <v>2316</v>
      </c>
      <c r="G206" s="496"/>
      <c r="H206" s="496"/>
      <c r="I206" s="496"/>
      <c r="J206" s="496">
        <v>32</v>
      </c>
      <c r="K206" s="496">
        <v>61</v>
      </c>
      <c r="L206" s="496">
        <v>16</v>
      </c>
      <c r="M206" s="352" t="s">
        <v>16</v>
      </c>
    </row>
    <row r="207" spans="1:13" x14ac:dyDescent="0.35">
      <c r="A207" s="352">
        <v>206</v>
      </c>
      <c r="B207" s="495" t="s">
        <v>1080</v>
      </c>
      <c r="C207" s="496">
        <v>106</v>
      </c>
      <c r="D207" s="496">
        <v>565</v>
      </c>
      <c r="E207" s="496">
        <v>24</v>
      </c>
      <c r="F207" s="496">
        <v>434</v>
      </c>
      <c r="G207" s="497"/>
      <c r="H207" s="497"/>
      <c r="I207" s="497"/>
      <c r="J207" s="496">
        <v>43</v>
      </c>
      <c r="K207" s="496">
        <v>43</v>
      </c>
      <c r="L207" s="496">
        <v>19</v>
      </c>
      <c r="M207" s="352" t="s">
        <v>16</v>
      </c>
    </row>
    <row r="208" spans="1:13" x14ac:dyDescent="0.35">
      <c r="A208" s="352">
        <v>207</v>
      </c>
      <c r="B208" s="495" t="s">
        <v>1093</v>
      </c>
      <c r="C208" s="496">
        <v>74</v>
      </c>
      <c r="D208" s="496">
        <v>659</v>
      </c>
      <c r="E208" s="496">
        <v>43</v>
      </c>
      <c r="F208" s="496">
        <v>84</v>
      </c>
      <c r="G208" s="497"/>
      <c r="H208" s="497"/>
      <c r="I208" s="497"/>
      <c r="J208" s="496">
        <v>9</v>
      </c>
      <c r="K208" s="496">
        <v>65</v>
      </c>
      <c r="L208" s="497"/>
      <c r="M208" s="352" t="s">
        <v>16</v>
      </c>
    </row>
    <row r="209" spans="1:13" x14ac:dyDescent="0.35">
      <c r="A209" s="352">
        <v>208</v>
      </c>
      <c r="B209" s="495" t="s">
        <v>1096</v>
      </c>
      <c r="C209" s="496">
        <v>49</v>
      </c>
      <c r="D209" s="496">
        <v>593</v>
      </c>
      <c r="E209" s="496">
        <v>9</v>
      </c>
      <c r="F209" s="496">
        <v>123</v>
      </c>
      <c r="G209" s="496"/>
      <c r="H209" s="496"/>
      <c r="I209" s="496"/>
      <c r="J209" s="496">
        <v>34</v>
      </c>
      <c r="K209" s="496">
        <v>14</v>
      </c>
      <c r="L209" s="497"/>
      <c r="M209" s="352" t="s">
        <v>16</v>
      </c>
    </row>
    <row r="210" spans="1:13" x14ac:dyDescent="0.35">
      <c r="A210" s="352">
        <v>209</v>
      </c>
      <c r="B210" s="495" t="s">
        <v>1086</v>
      </c>
      <c r="C210" s="496">
        <v>13</v>
      </c>
      <c r="D210" s="496">
        <v>367</v>
      </c>
      <c r="E210" s="496">
        <v>2</v>
      </c>
      <c r="F210" s="496">
        <v>160</v>
      </c>
      <c r="G210" s="496"/>
      <c r="H210" s="496"/>
      <c r="I210" s="496"/>
      <c r="J210" s="496">
        <v>7</v>
      </c>
      <c r="K210" s="496">
        <v>5</v>
      </c>
      <c r="L210" s="496">
        <v>1</v>
      </c>
      <c r="M210" s="352" t="s">
        <v>16</v>
      </c>
    </row>
    <row r="211" spans="1:13" x14ac:dyDescent="0.35">
      <c r="A211" s="352">
        <v>210</v>
      </c>
      <c r="B211" s="495" t="s">
        <v>1076</v>
      </c>
      <c r="C211" s="496">
        <v>12</v>
      </c>
      <c r="D211" s="496">
        <v>431</v>
      </c>
      <c r="E211" s="496">
        <v>5</v>
      </c>
      <c r="F211" s="496">
        <v>46</v>
      </c>
      <c r="G211" s="497"/>
      <c r="H211" s="497"/>
      <c r="I211" s="497"/>
      <c r="J211" s="496">
        <v>0</v>
      </c>
      <c r="K211" s="496">
        <v>12</v>
      </c>
      <c r="L211" s="497"/>
      <c r="M211" s="352" t="s">
        <v>16</v>
      </c>
    </row>
    <row r="212" spans="1:13" x14ac:dyDescent="0.35">
      <c r="A212" s="352">
        <v>211</v>
      </c>
      <c r="B212" s="495" t="s">
        <v>1078</v>
      </c>
      <c r="C212" s="496">
        <v>3</v>
      </c>
      <c r="D212" s="497"/>
      <c r="E212" s="497"/>
      <c r="F212" s="496">
        <v>32</v>
      </c>
      <c r="G212" s="497"/>
      <c r="H212" s="497"/>
      <c r="I212" s="497"/>
      <c r="J212" s="496">
        <v>3</v>
      </c>
      <c r="K212" s="497"/>
      <c r="L212" s="497"/>
      <c r="M212" s="352" t="s">
        <v>16</v>
      </c>
    </row>
    <row r="213" spans="1:13" x14ac:dyDescent="0.35">
      <c r="A213" s="352">
        <v>212</v>
      </c>
      <c r="B213" s="495" t="s">
        <v>1077</v>
      </c>
      <c r="C213" s="497"/>
      <c r="D213" s="497"/>
      <c r="E213" s="497"/>
      <c r="F213" s="497"/>
      <c r="G213" s="497"/>
      <c r="H213" s="497"/>
      <c r="I213" s="497"/>
      <c r="J213" s="497"/>
      <c r="K213" s="497"/>
      <c r="L213" s="497"/>
      <c r="M213" s="352" t="s">
        <v>16</v>
      </c>
    </row>
    <row r="214" spans="1:13" x14ac:dyDescent="0.35">
      <c r="A214" s="352">
        <v>213</v>
      </c>
      <c r="B214" s="495" t="s">
        <v>1081</v>
      </c>
      <c r="C214" s="497"/>
      <c r="D214" s="497"/>
      <c r="E214" s="497"/>
      <c r="F214" s="497"/>
      <c r="G214" s="497"/>
      <c r="H214" s="497"/>
      <c r="I214" s="497"/>
      <c r="J214" s="497"/>
      <c r="K214" s="497"/>
      <c r="L214" s="497"/>
      <c r="M214" s="352" t="s">
        <v>16</v>
      </c>
    </row>
    <row r="215" spans="1:13" x14ac:dyDescent="0.35">
      <c r="A215" s="352">
        <v>214</v>
      </c>
      <c r="B215" s="495" t="s">
        <v>1082</v>
      </c>
      <c r="C215" s="497"/>
      <c r="D215" s="497"/>
      <c r="E215" s="497"/>
      <c r="F215" s="497"/>
      <c r="G215" s="497"/>
      <c r="H215" s="497"/>
      <c r="I215" s="497"/>
      <c r="J215" s="497"/>
      <c r="K215" s="497"/>
      <c r="L215" s="497"/>
      <c r="M215" s="352" t="s">
        <v>16</v>
      </c>
    </row>
    <row r="216" spans="1:13" x14ac:dyDescent="0.35">
      <c r="A216" s="352">
        <v>215</v>
      </c>
      <c r="B216" s="495" t="s">
        <v>1083</v>
      </c>
      <c r="C216" s="497"/>
      <c r="D216" s="497"/>
      <c r="E216" s="497"/>
      <c r="F216" s="497"/>
      <c r="G216" s="497"/>
      <c r="H216" s="497"/>
      <c r="I216" s="497"/>
      <c r="J216" s="497"/>
      <c r="K216" s="497"/>
      <c r="L216" s="497"/>
      <c r="M216" s="352" t="s">
        <v>16</v>
      </c>
    </row>
    <row r="217" spans="1:13" x14ac:dyDescent="0.35">
      <c r="A217" s="352">
        <v>216</v>
      </c>
      <c r="B217" s="495" t="s">
        <v>1084</v>
      </c>
      <c r="C217" s="497"/>
      <c r="D217" s="497"/>
      <c r="E217" s="497"/>
      <c r="F217" s="497"/>
      <c r="G217" s="496"/>
      <c r="H217" s="496"/>
      <c r="I217" s="496"/>
      <c r="J217" s="497"/>
      <c r="K217" s="497"/>
      <c r="L217" s="497"/>
      <c r="M217" s="352" t="s">
        <v>16</v>
      </c>
    </row>
    <row r="218" spans="1:13" x14ac:dyDescent="0.35">
      <c r="A218" s="352">
        <v>217</v>
      </c>
      <c r="B218" s="495" t="s">
        <v>1088</v>
      </c>
      <c r="C218" s="497"/>
      <c r="D218" s="497"/>
      <c r="E218" s="497"/>
      <c r="F218" s="497"/>
      <c r="G218" s="496"/>
      <c r="H218" s="496"/>
      <c r="I218" s="496"/>
      <c r="J218" s="497"/>
      <c r="K218" s="497"/>
      <c r="L218" s="497"/>
      <c r="M218" s="352" t="s">
        <v>16</v>
      </c>
    </row>
    <row r="219" spans="1:13" x14ac:dyDescent="0.35">
      <c r="A219" s="352">
        <v>218</v>
      </c>
      <c r="B219" s="495" t="s">
        <v>1097</v>
      </c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352" t="s">
        <v>16</v>
      </c>
    </row>
    <row r="220" spans="1:13" x14ac:dyDescent="0.35">
      <c r="A220" s="352">
        <v>219</v>
      </c>
      <c r="B220" s="495" t="s">
        <v>1098</v>
      </c>
      <c r="C220" s="497"/>
      <c r="D220" s="497"/>
      <c r="E220" s="497"/>
      <c r="F220" s="497"/>
      <c r="G220" s="497"/>
      <c r="H220" s="497"/>
      <c r="I220" s="497"/>
      <c r="J220" s="497"/>
      <c r="K220" s="497"/>
      <c r="L220" s="497"/>
      <c r="M220" s="352" t="s">
        <v>16</v>
      </c>
    </row>
    <row r="221" spans="1:13" x14ac:dyDescent="0.35">
      <c r="A221" s="352">
        <v>220</v>
      </c>
      <c r="B221" s="495" t="s">
        <v>1099</v>
      </c>
      <c r="C221" s="497"/>
      <c r="D221" s="497"/>
      <c r="E221" s="497"/>
      <c r="F221" s="497"/>
      <c r="G221" s="497"/>
      <c r="H221" s="497"/>
      <c r="I221" s="497"/>
      <c r="J221" s="497"/>
      <c r="K221" s="497"/>
      <c r="L221" s="497"/>
      <c r="M221" s="352" t="s">
        <v>16</v>
      </c>
    </row>
    <row r="222" spans="1:13" x14ac:dyDescent="0.35">
      <c r="A222" s="352">
        <v>221</v>
      </c>
      <c r="B222" s="495" t="s">
        <v>1100</v>
      </c>
      <c r="C222" s="497"/>
      <c r="D222" s="497"/>
      <c r="E222" s="497"/>
      <c r="F222" s="497"/>
      <c r="G222" s="497"/>
      <c r="H222" s="497"/>
      <c r="I222" s="497"/>
      <c r="J222" s="497"/>
      <c r="K222" s="497"/>
      <c r="L222" s="497"/>
      <c r="M222" s="352" t="s">
        <v>16</v>
      </c>
    </row>
    <row r="223" spans="1:13" x14ac:dyDescent="0.35">
      <c r="A223" s="352">
        <v>222</v>
      </c>
      <c r="B223" s="495" t="s">
        <v>1101</v>
      </c>
      <c r="C223" s="497"/>
      <c r="D223" s="497"/>
      <c r="E223" s="497"/>
      <c r="F223" s="497"/>
      <c r="G223" s="497"/>
      <c r="H223" s="497"/>
      <c r="I223" s="497"/>
      <c r="J223" s="497"/>
      <c r="K223" s="497"/>
      <c r="L223" s="497"/>
      <c r="M223" s="352" t="s">
        <v>16</v>
      </c>
    </row>
    <row r="224" spans="1:13" x14ac:dyDescent="0.35">
      <c r="A224" s="352">
        <v>223</v>
      </c>
      <c r="B224" s="495" t="s">
        <v>1102</v>
      </c>
      <c r="C224" s="497"/>
      <c r="D224" s="497"/>
      <c r="E224" s="497"/>
      <c r="F224" s="497"/>
      <c r="G224" s="497"/>
      <c r="H224" s="497"/>
      <c r="I224" s="497"/>
      <c r="J224" s="497"/>
      <c r="K224" s="497"/>
      <c r="L224" s="497"/>
      <c r="M224" s="352" t="s">
        <v>16</v>
      </c>
    </row>
    <row r="225" spans="1:13" x14ac:dyDescent="0.35">
      <c r="A225" s="352">
        <v>224</v>
      </c>
      <c r="B225" s="498" t="s">
        <v>1103</v>
      </c>
      <c r="C225" s="499">
        <v>3586</v>
      </c>
      <c r="D225" s="499">
        <v>580</v>
      </c>
      <c r="E225" s="499">
        <v>1357</v>
      </c>
      <c r="F225" s="499">
        <v>17931</v>
      </c>
      <c r="G225" s="500"/>
      <c r="H225" s="500"/>
      <c r="I225" s="500"/>
      <c r="J225" s="499">
        <v>628</v>
      </c>
      <c r="K225" s="499">
        <v>2340</v>
      </c>
      <c r="L225" s="499">
        <v>618</v>
      </c>
      <c r="M225" s="352" t="s">
        <v>364</v>
      </c>
    </row>
    <row r="226" spans="1:13" x14ac:dyDescent="0.35">
      <c r="A226" s="352">
        <v>225</v>
      </c>
      <c r="B226" s="498" t="s">
        <v>1105</v>
      </c>
      <c r="C226" s="499">
        <v>1537</v>
      </c>
      <c r="D226" s="499">
        <v>578</v>
      </c>
      <c r="E226" s="499">
        <v>407</v>
      </c>
      <c r="F226" s="499">
        <v>920</v>
      </c>
      <c r="G226" s="500"/>
      <c r="H226" s="500"/>
      <c r="I226" s="500"/>
      <c r="J226" s="499">
        <v>629</v>
      </c>
      <c r="K226" s="499">
        <v>704</v>
      </c>
      <c r="L226" s="499">
        <v>204</v>
      </c>
      <c r="M226" s="352" t="s">
        <v>364</v>
      </c>
    </row>
    <row r="227" spans="1:13" x14ac:dyDescent="0.35">
      <c r="A227" s="352">
        <v>226</v>
      </c>
      <c r="B227" s="498" t="s">
        <v>1106</v>
      </c>
      <c r="C227" s="499">
        <v>83</v>
      </c>
      <c r="D227" s="499">
        <v>149</v>
      </c>
      <c r="E227" s="499">
        <v>12</v>
      </c>
      <c r="F227" s="499">
        <v>320</v>
      </c>
      <c r="G227" s="500"/>
      <c r="H227" s="500"/>
      <c r="I227" s="500"/>
      <c r="J227" s="499">
        <v>2</v>
      </c>
      <c r="K227" s="499">
        <v>80</v>
      </c>
      <c r="L227" s="499">
        <v>1</v>
      </c>
      <c r="M227" s="352" t="s">
        <v>364</v>
      </c>
    </row>
    <row r="228" spans="1:13" x14ac:dyDescent="0.35">
      <c r="A228" s="352">
        <v>227</v>
      </c>
      <c r="B228" s="498" t="s">
        <v>1104</v>
      </c>
      <c r="C228" s="499">
        <v>75</v>
      </c>
      <c r="D228" s="499">
        <v>877</v>
      </c>
      <c r="E228" s="499">
        <v>16</v>
      </c>
      <c r="F228" s="499">
        <v>816</v>
      </c>
      <c r="G228" s="500"/>
      <c r="H228" s="500"/>
      <c r="I228" s="500"/>
      <c r="J228" s="499">
        <v>57</v>
      </c>
      <c r="K228" s="499">
        <v>18</v>
      </c>
      <c r="L228" s="500"/>
      <c r="M228" s="352" t="s">
        <v>364</v>
      </c>
    </row>
    <row r="229" spans="1:13" x14ac:dyDescent="0.35">
      <c r="A229" s="352">
        <v>228</v>
      </c>
      <c r="B229" s="498" t="s">
        <v>1107</v>
      </c>
      <c r="C229" s="500"/>
      <c r="D229" s="500"/>
      <c r="E229" s="500"/>
      <c r="F229" s="500"/>
      <c r="G229" s="500"/>
      <c r="H229" s="500"/>
      <c r="I229" s="500"/>
      <c r="J229" s="500"/>
      <c r="K229" s="500"/>
      <c r="L229" s="500"/>
      <c r="M229" s="352" t="s">
        <v>364</v>
      </c>
    </row>
    <row r="230" spans="1:13" x14ac:dyDescent="0.35">
      <c r="A230" s="352">
        <v>229</v>
      </c>
      <c r="B230" s="470" t="s">
        <v>1108</v>
      </c>
      <c r="C230" s="471">
        <v>5559</v>
      </c>
      <c r="D230" s="471">
        <v>779</v>
      </c>
      <c r="E230" s="471">
        <v>2651</v>
      </c>
      <c r="F230" s="471">
        <v>18758</v>
      </c>
      <c r="G230" s="472"/>
      <c r="H230" s="472"/>
      <c r="I230" s="472"/>
      <c r="J230" s="471">
        <v>1731</v>
      </c>
      <c r="K230" s="471">
        <v>3405</v>
      </c>
      <c r="L230" s="471">
        <v>423</v>
      </c>
      <c r="M230" s="352" t="s">
        <v>18</v>
      </c>
    </row>
    <row r="231" spans="1:13" x14ac:dyDescent="0.35">
      <c r="A231" s="352">
        <v>230</v>
      </c>
      <c r="B231" s="470" t="s">
        <v>1126</v>
      </c>
      <c r="C231" s="471">
        <v>5761</v>
      </c>
      <c r="D231" s="471">
        <v>790</v>
      </c>
      <c r="E231" s="471">
        <v>2814</v>
      </c>
      <c r="F231" s="471">
        <v>16325</v>
      </c>
      <c r="G231" s="472"/>
      <c r="H231" s="472"/>
      <c r="I231" s="472"/>
      <c r="J231" s="471">
        <v>1339</v>
      </c>
      <c r="K231" s="471">
        <v>3564</v>
      </c>
      <c r="L231" s="471">
        <v>858</v>
      </c>
      <c r="M231" s="352" t="s">
        <v>18</v>
      </c>
    </row>
    <row r="232" spans="1:13" x14ac:dyDescent="0.35">
      <c r="A232" s="352">
        <v>231</v>
      </c>
      <c r="B232" s="470" t="s">
        <v>1112</v>
      </c>
      <c r="C232" s="471">
        <v>4638</v>
      </c>
      <c r="D232" s="471">
        <v>805</v>
      </c>
      <c r="E232" s="471">
        <v>2914</v>
      </c>
      <c r="F232" s="471">
        <v>9564</v>
      </c>
      <c r="G232" s="471"/>
      <c r="H232" s="471"/>
      <c r="I232" s="471"/>
      <c r="J232" s="471">
        <v>532</v>
      </c>
      <c r="K232" s="471">
        <v>3618</v>
      </c>
      <c r="L232" s="471">
        <v>488</v>
      </c>
      <c r="M232" s="352" t="s">
        <v>18</v>
      </c>
    </row>
    <row r="233" spans="1:13" x14ac:dyDescent="0.35">
      <c r="A233" s="352">
        <v>232</v>
      </c>
      <c r="B233" s="470" t="s">
        <v>1110</v>
      </c>
      <c r="C233" s="471">
        <v>4104</v>
      </c>
      <c r="D233" s="471">
        <v>843</v>
      </c>
      <c r="E233" s="471">
        <v>2846</v>
      </c>
      <c r="F233" s="471">
        <v>11023</v>
      </c>
      <c r="G233" s="472"/>
      <c r="H233" s="472"/>
      <c r="I233" s="472"/>
      <c r="J233" s="471">
        <v>312</v>
      </c>
      <c r="K233" s="471">
        <v>3377</v>
      </c>
      <c r="L233" s="471">
        <v>415</v>
      </c>
      <c r="M233" s="352" t="s">
        <v>18</v>
      </c>
    </row>
    <row r="234" spans="1:13" x14ac:dyDescent="0.35">
      <c r="A234" s="352">
        <v>233</v>
      </c>
      <c r="B234" s="470" t="s">
        <v>1114</v>
      </c>
      <c r="C234" s="471">
        <v>3979</v>
      </c>
      <c r="D234" s="471">
        <v>790</v>
      </c>
      <c r="E234" s="471">
        <v>1915</v>
      </c>
      <c r="F234" s="471">
        <v>3735</v>
      </c>
      <c r="G234" s="471"/>
      <c r="H234" s="471"/>
      <c r="I234" s="471"/>
      <c r="J234" s="471">
        <v>1333</v>
      </c>
      <c r="K234" s="471">
        <v>2424</v>
      </c>
      <c r="L234" s="471">
        <v>222</v>
      </c>
      <c r="M234" s="352" t="s">
        <v>18</v>
      </c>
    </row>
    <row r="235" spans="1:13" x14ac:dyDescent="0.35">
      <c r="A235" s="352">
        <v>234</v>
      </c>
      <c r="B235" s="470" t="s">
        <v>1125</v>
      </c>
      <c r="C235" s="471">
        <v>2571</v>
      </c>
      <c r="D235" s="471">
        <v>804</v>
      </c>
      <c r="E235" s="471">
        <v>1015</v>
      </c>
      <c r="F235" s="471">
        <v>2622</v>
      </c>
      <c r="G235" s="472"/>
      <c r="H235" s="472"/>
      <c r="I235" s="472"/>
      <c r="J235" s="471">
        <v>299</v>
      </c>
      <c r="K235" s="471">
        <v>1262</v>
      </c>
      <c r="L235" s="471">
        <v>1010</v>
      </c>
      <c r="M235" s="352" t="s">
        <v>18</v>
      </c>
    </row>
    <row r="236" spans="1:13" x14ac:dyDescent="0.35">
      <c r="A236" s="352">
        <v>235</v>
      </c>
      <c r="B236" s="470" t="s">
        <v>1128</v>
      </c>
      <c r="C236" s="471">
        <v>2058</v>
      </c>
      <c r="D236" s="471">
        <v>804</v>
      </c>
      <c r="E236" s="471">
        <v>874</v>
      </c>
      <c r="F236" s="471">
        <v>5673</v>
      </c>
      <c r="G236" s="472"/>
      <c r="H236" s="472"/>
      <c r="I236" s="472"/>
      <c r="J236" s="471">
        <v>453</v>
      </c>
      <c r="K236" s="471">
        <v>1087</v>
      </c>
      <c r="L236" s="471">
        <v>518</v>
      </c>
      <c r="M236" s="352" t="s">
        <v>18</v>
      </c>
    </row>
    <row r="237" spans="1:13" x14ac:dyDescent="0.35">
      <c r="A237" s="352">
        <v>236</v>
      </c>
      <c r="B237" s="470" t="s">
        <v>1109</v>
      </c>
      <c r="C237" s="471">
        <v>1888</v>
      </c>
      <c r="D237" s="471">
        <v>752</v>
      </c>
      <c r="E237" s="471">
        <v>946</v>
      </c>
      <c r="F237" s="471">
        <v>8593</v>
      </c>
      <c r="G237" s="472"/>
      <c r="H237" s="472"/>
      <c r="I237" s="472"/>
      <c r="J237" s="471">
        <v>551</v>
      </c>
      <c r="K237" s="471">
        <v>1258</v>
      </c>
      <c r="L237" s="471">
        <v>79</v>
      </c>
      <c r="M237" s="352" t="s">
        <v>18</v>
      </c>
    </row>
    <row r="238" spans="1:13" x14ac:dyDescent="0.35">
      <c r="A238" s="352">
        <v>237</v>
      </c>
      <c r="B238" s="470" t="s">
        <v>1113</v>
      </c>
      <c r="C238" s="471">
        <v>1766</v>
      </c>
      <c r="D238" s="471">
        <v>751</v>
      </c>
      <c r="E238" s="471">
        <v>716</v>
      </c>
      <c r="F238" s="471">
        <v>1981</v>
      </c>
      <c r="G238" s="471"/>
      <c r="H238" s="471"/>
      <c r="I238" s="471"/>
      <c r="J238" s="471">
        <v>222</v>
      </c>
      <c r="K238" s="471">
        <v>953</v>
      </c>
      <c r="L238" s="471">
        <v>591</v>
      </c>
      <c r="M238" s="352" t="s">
        <v>18</v>
      </c>
    </row>
    <row r="239" spans="1:13" x14ac:dyDescent="0.35">
      <c r="A239" s="352">
        <v>238</v>
      </c>
      <c r="B239" s="470" t="s">
        <v>1111</v>
      </c>
      <c r="C239" s="471">
        <v>1733</v>
      </c>
      <c r="D239" s="471">
        <v>841</v>
      </c>
      <c r="E239" s="471">
        <v>1261</v>
      </c>
      <c r="F239" s="471">
        <v>2579</v>
      </c>
      <c r="G239" s="472"/>
      <c r="H239" s="472"/>
      <c r="I239" s="472"/>
      <c r="J239" s="471">
        <v>225</v>
      </c>
      <c r="K239" s="471">
        <v>150</v>
      </c>
      <c r="L239" s="471">
        <v>8</v>
      </c>
      <c r="M239" s="352" t="s">
        <v>18</v>
      </c>
    </row>
    <row r="240" spans="1:13" x14ac:dyDescent="0.35">
      <c r="A240" s="352">
        <v>239</v>
      </c>
      <c r="B240" s="470" t="s">
        <v>1124</v>
      </c>
      <c r="C240" s="471">
        <v>1519</v>
      </c>
      <c r="D240" s="471">
        <v>673</v>
      </c>
      <c r="E240" s="471">
        <v>519</v>
      </c>
      <c r="F240" s="471">
        <v>1561</v>
      </c>
      <c r="G240" s="472"/>
      <c r="H240" s="472"/>
      <c r="I240" s="472"/>
      <c r="J240" s="471">
        <v>355</v>
      </c>
      <c r="K240" s="471">
        <v>771</v>
      </c>
      <c r="L240" s="471">
        <v>393</v>
      </c>
      <c r="M240" s="352" t="s">
        <v>18</v>
      </c>
    </row>
    <row r="241" spans="1:13" x14ac:dyDescent="0.35">
      <c r="A241" s="352">
        <v>240</v>
      </c>
      <c r="B241" s="470" t="s">
        <v>1115</v>
      </c>
      <c r="C241" s="471">
        <v>1246</v>
      </c>
      <c r="D241" s="471">
        <v>776</v>
      </c>
      <c r="E241" s="471">
        <v>675</v>
      </c>
      <c r="F241" s="471">
        <v>2492</v>
      </c>
      <c r="G241" s="471"/>
      <c r="H241" s="471"/>
      <c r="I241" s="471"/>
      <c r="J241" s="471">
        <v>291</v>
      </c>
      <c r="K241" s="471">
        <v>870</v>
      </c>
      <c r="L241" s="471">
        <v>85</v>
      </c>
      <c r="M241" s="352" t="s">
        <v>18</v>
      </c>
    </row>
    <row r="242" spans="1:13" x14ac:dyDescent="0.35">
      <c r="A242" s="352">
        <v>241</v>
      </c>
      <c r="B242" s="470" t="s">
        <v>1116</v>
      </c>
      <c r="C242" s="471">
        <v>1148</v>
      </c>
      <c r="D242" s="471">
        <v>789</v>
      </c>
      <c r="E242" s="471">
        <v>521</v>
      </c>
      <c r="F242" s="471">
        <v>3444</v>
      </c>
      <c r="G242" s="472"/>
      <c r="H242" s="472"/>
      <c r="I242" s="472"/>
      <c r="J242" s="471">
        <v>316</v>
      </c>
      <c r="K242" s="471">
        <v>660</v>
      </c>
      <c r="L242" s="471">
        <v>172</v>
      </c>
      <c r="M242" s="352" t="s">
        <v>18</v>
      </c>
    </row>
    <row r="243" spans="1:13" x14ac:dyDescent="0.35">
      <c r="A243" s="352">
        <v>242</v>
      </c>
      <c r="B243" s="470" t="s">
        <v>1127</v>
      </c>
      <c r="C243" s="471">
        <v>938</v>
      </c>
      <c r="D243" s="471">
        <v>726</v>
      </c>
      <c r="E243" s="471">
        <v>357</v>
      </c>
      <c r="F243" s="471">
        <v>2823</v>
      </c>
      <c r="G243" s="472"/>
      <c r="H243" s="472"/>
      <c r="I243" s="472"/>
      <c r="J243" s="471">
        <v>446</v>
      </c>
      <c r="K243" s="471">
        <v>492</v>
      </c>
      <c r="L243" s="472"/>
      <c r="M243" s="352" t="s">
        <v>18</v>
      </c>
    </row>
    <row r="244" spans="1:13" x14ac:dyDescent="0.35">
      <c r="A244" s="352">
        <v>243</v>
      </c>
      <c r="B244" s="470" t="s">
        <v>1117</v>
      </c>
      <c r="C244" s="471">
        <v>766</v>
      </c>
      <c r="D244" s="471">
        <v>803</v>
      </c>
      <c r="E244" s="471">
        <v>387</v>
      </c>
      <c r="F244" s="471">
        <v>755</v>
      </c>
      <c r="G244" s="472"/>
      <c r="H244" s="472"/>
      <c r="I244" s="472"/>
      <c r="J244" s="471">
        <v>37</v>
      </c>
      <c r="K244" s="471">
        <v>482</v>
      </c>
      <c r="L244" s="471">
        <v>247</v>
      </c>
      <c r="M244" s="352" t="s">
        <v>18</v>
      </c>
    </row>
    <row r="245" spans="1:13" x14ac:dyDescent="0.35">
      <c r="A245" s="352">
        <v>244</v>
      </c>
      <c r="B245" s="470" t="s">
        <v>1123</v>
      </c>
      <c r="C245" s="471">
        <v>240</v>
      </c>
      <c r="D245" s="471">
        <v>753</v>
      </c>
      <c r="E245" s="471">
        <v>89</v>
      </c>
      <c r="F245" s="471">
        <v>247</v>
      </c>
      <c r="G245" s="472"/>
      <c r="H245" s="472"/>
      <c r="I245" s="472"/>
      <c r="J245" s="471">
        <v>97</v>
      </c>
      <c r="K245" s="471">
        <v>118</v>
      </c>
      <c r="L245" s="471">
        <v>25</v>
      </c>
      <c r="M245" s="352" t="s">
        <v>18</v>
      </c>
    </row>
    <row r="246" spans="1:13" x14ac:dyDescent="0.35">
      <c r="A246" s="352">
        <v>245</v>
      </c>
      <c r="B246" s="470" t="s">
        <v>1118</v>
      </c>
      <c r="C246" s="471">
        <v>95</v>
      </c>
      <c r="D246" s="471">
        <v>769</v>
      </c>
      <c r="E246" s="471">
        <v>30</v>
      </c>
      <c r="F246" s="471">
        <v>486</v>
      </c>
      <c r="G246" s="472"/>
      <c r="H246" s="472"/>
      <c r="I246" s="472"/>
      <c r="J246" s="471">
        <v>26</v>
      </c>
      <c r="K246" s="471">
        <v>39</v>
      </c>
      <c r="L246" s="471">
        <v>30</v>
      </c>
      <c r="M246" s="352" t="s">
        <v>18</v>
      </c>
    </row>
    <row r="247" spans="1:13" x14ac:dyDescent="0.35">
      <c r="A247" s="352">
        <v>246</v>
      </c>
      <c r="B247" s="470" t="s">
        <v>1136</v>
      </c>
      <c r="C247" s="471">
        <v>50</v>
      </c>
      <c r="D247" s="471">
        <v>757</v>
      </c>
      <c r="E247" s="471">
        <v>28</v>
      </c>
      <c r="F247" s="471">
        <v>66</v>
      </c>
      <c r="G247" s="472"/>
      <c r="H247" s="472"/>
      <c r="I247" s="472"/>
      <c r="J247" s="472"/>
      <c r="K247" s="471">
        <v>37</v>
      </c>
      <c r="L247" s="471">
        <v>13</v>
      </c>
      <c r="M247" s="352" t="s">
        <v>18</v>
      </c>
    </row>
    <row r="248" spans="1:13" x14ac:dyDescent="0.35">
      <c r="A248" s="352">
        <v>247</v>
      </c>
      <c r="B248" s="470" t="s">
        <v>1120</v>
      </c>
      <c r="C248" s="471">
        <v>1</v>
      </c>
      <c r="D248" s="471">
        <v>600</v>
      </c>
      <c r="E248" s="471">
        <v>1</v>
      </c>
      <c r="F248" s="471">
        <v>2</v>
      </c>
      <c r="G248" s="472"/>
      <c r="H248" s="472"/>
      <c r="I248" s="472"/>
      <c r="J248" s="472"/>
      <c r="K248" s="471">
        <v>1</v>
      </c>
      <c r="L248" s="472"/>
      <c r="M248" s="352" t="s">
        <v>18</v>
      </c>
    </row>
    <row r="249" spans="1:13" x14ac:dyDescent="0.35">
      <c r="A249" s="352">
        <v>248</v>
      </c>
      <c r="B249" s="470" t="s">
        <v>1119</v>
      </c>
      <c r="C249" s="472"/>
      <c r="D249" s="472"/>
      <c r="E249" s="472"/>
      <c r="F249" s="472"/>
      <c r="G249" s="472"/>
      <c r="H249" s="472"/>
      <c r="I249" s="472"/>
      <c r="J249" s="472"/>
      <c r="K249" s="472"/>
      <c r="L249" s="472"/>
      <c r="M249" s="352" t="s">
        <v>18</v>
      </c>
    </row>
    <row r="250" spans="1:13" x14ac:dyDescent="0.35">
      <c r="A250" s="352">
        <v>249</v>
      </c>
      <c r="B250" s="470" t="s">
        <v>1121</v>
      </c>
      <c r="C250" s="472"/>
      <c r="D250" s="472"/>
      <c r="E250" s="472"/>
      <c r="F250" s="472"/>
      <c r="G250" s="472"/>
      <c r="H250" s="472"/>
      <c r="I250" s="472"/>
      <c r="J250" s="472"/>
      <c r="K250" s="472"/>
      <c r="L250" s="472"/>
      <c r="M250" s="352" t="s">
        <v>18</v>
      </c>
    </row>
    <row r="251" spans="1:13" x14ac:dyDescent="0.35">
      <c r="A251" s="352">
        <v>250</v>
      </c>
      <c r="B251" s="470" t="s">
        <v>1122</v>
      </c>
      <c r="C251" s="472"/>
      <c r="D251" s="472"/>
      <c r="E251" s="472"/>
      <c r="F251" s="472"/>
      <c r="G251" s="472"/>
      <c r="H251" s="472"/>
      <c r="I251" s="472"/>
      <c r="J251" s="472"/>
      <c r="K251" s="472"/>
      <c r="L251" s="472"/>
      <c r="M251" s="352" t="s">
        <v>18</v>
      </c>
    </row>
    <row r="252" spans="1:13" x14ac:dyDescent="0.35">
      <c r="A252" s="352">
        <v>251</v>
      </c>
      <c r="B252" s="470" t="s">
        <v>1129</v>
      </c>
      <c r="C252" s="472"/>
      <c r="D252" s="472"/>
      <c r="E252" s="472"/>
      <c r="F252" s="472"/>
      <c r="G252" s="472"/>
      <c r="H252" s="472"/>
      <c r="I252" s="472"/>
      <c r="J252" s="472"/>
      <c r="K252" s="472"/>
      <c r="L252" s="472"/>
      <c r="M252" s="352" t="s">
        <v>18</v>
      </c>
    </row>
    <row r="253" spans="1:13" x14ac:dyDescent="0.35">
      <c r="A253" s="352">
        <v>252</v>
      </c>
      <c r="B253" s="470" t="s">
        <v>1130</v>
      </c>
      <c r="C253" s="472"/>
      <c r="D253" s="472"/>
      <c r="E253" s="472"/>
      <c r="F253" s="472"/>
      <c r="G253" s="472"/>
      <c r="H253" s="472"/>
      <c r="I253" s="472"/>
      <c r="J253" s="472"/>
      <c r="K253" s="472"/>
      <c r="L253" s="472"/>
      <c r="M253" s="352" t="s">
        <v>18</v>
      </c>
    </row>
    <row r="254" spans="1:13" x14ac:dyDescent="0.35">
      <c r="A254" s="352">
        <v>253</v>
      </c>
      <c r="B254" s="470" t="s">
        <v>1131</v>
      </c>
      <c r="C254" s="472"/>
      <c r="D254" s="472"/>
      <c r="E254" s="472"/>
      <c r="F254" s="472"/>
      <c r="G254" s="472"/>
      <c r="H254" s="472"/>
      <c r="I254" s="472"/>
      <c r="J254" s="472"/>
      <c r="K254" s="472"/>
      <c r="L254" s="472"/>
      <c r="M254" s="352" t="s">
        <v>18</v>
      </c>
    </row>
    <row r="255" spans="1:13" x14ac:dyDescent="0.35">
      <c r="A255" s="352">
        <v>254</v>
      </c>
      <c r="B255" s="470" t="s">
        <v>1132</v>
      </c>
      <c r="C255" s="472"/>
      <c r="D255" s="472"/>
      <c r="E255" s="472"/>
      <c r="F255" s="472"/>
      <c r="G255" s="472"/>
      <c r="H255" s="472"/>
      <c r="I255" s="472"/>
      <c r="J255" s="472"/>
      <c r="K255" s="472"/>
      <c r="L255" s="472"/>
      <c r="M255" s="352" t="s">
        <v>18</v>
      </c>
    </row>
    <row r="256" spans="1:13" x14ac:dyDescent="0.35">
      <c r="A256" s="352">
        <v>255</v>
      </c>
      <c r="B256" s="470" t="s">
        <v>1133</v>
      </c>
      <c r="C256" s="472"/>
      <c r="D256" s="472"/>
      <c r="E256" s="472"/>
      <c r="F256" s="472"/>
      <c r="G256" s="472"/>
      <c r="H256" s="472"/>
      <c r="I256" s="472"/>
      <c r="J256" s="472"/>
      <c r="K256" s="472"/>
      <c r="L256" s="472"/>
      <c r="M256" s="352" t="s">
        <v>18</v>
      </c>
    </row>
    <row r="257" spans="1:13" x14ac:dyDescent="0.35">
      <c r="A257" s="352">
        <v>256</v>
      </c>
      <c r="B257" s="470" t="s">
        <v>1134</v>
      </c>
      <c r="C257" s="472"/>
      <c r="D257" s="472"/>
      <c r="E257" s="472"/>
      <c r="F257" s="472"/>
      <c r="G257" s="472"/>
      <c r="H257" s="472"/>
      <c r="I257" s="472"/>
      <c r="J257" s="472"/>
      <c r="K257" s="472"/>
      <c r="L257" s="472"/>
      <c r="M257" s="352" t="s">
        <v>18</v>
      </c>
    </row>
    <row r="258" spans="1:13" x14ac:dyDescent="0.35">
      <c r="A258" s="352">
        <v>257</v>
      </c>
      <c r="B258" s="470" t="s">
        <v>1135</v>
      </c>
      <c r="C258" s="472"/>
      <c r="D258" s="472"/>
      <c r="E258" s="472"/>
      <c r="F258" s="472"/>
      <c r="G258" s="472"/>
      <c r="H258" s="472"/>
      <c r="I258" s="472"/>
      <c r="J258" s="472"/>
      <c r="K258" s="472"/>
      <c r="L258" s="472"/>
      <c r="M258" s="352" t="s">
        <v>18</v>
      </c>
    </row>
    <row r="259" spans="1:13" x14ac:dyDescent="0.35">
      <c r="A259" s="352">
        <v>258</v>
      </c>
      <c r="B259" s="470" t="s">
        <v>1137</v>
      </c>
      <c r="C259" s="472"/>
      <c r="D259" s="472"/>
      <c r="E259" s="472"/>
      <c r="F259" s="472"/>
      <c r="G259" s="472"/>
      <c r="H259" s="472"/>
      <c r="I259" s="472"/>
      <c r="J259" s="472"/>
      <c r="K259" s="472"/>
      <c r="L259" s="472"/>
      <c r="M259" s="352" t="s">
        <v>18</v>
      </c>
    </row>
    <row r="260" spans="1:13" x14ac:dyDescent="0.35">
      <c r="A260" s="352">
        <v>259</v>
      </c>
      <c r="B260" s="470" t="s">
        <v>1138</v>
      </c>
      <c r="C260" s="472"/>
      <c r="D260" s="472"/>
      <c r="E260" s="472"/>
      <c r="F260" s="472"/>
      <c r="G260" s="472"/>
      <c r="H260" s="472"/>
      <c r="I260" s="472"/>
      <c r="J260" s="472"/>
      <c r="K260" s="472"/>
      <c r="L260" s="472"/>
      <c r="M260" s="352" t="s">
        <v>18</v>
      </c>
    </row>
    <row r="261" spans="1:13" x14ac:dyDescent="0.35">
      <c r="A261" s="352">
        <v>260</v>
      </c>
      <c r="B261" s="470" t="s">
        <v>1139</v>
      </c>
      <c r="C261" s="472"/>
      <c r="D261" s="472"/>
      <c r="E261" s="472"/>
      <c r="F261" s="472"/>
      <c r="G261" s="472"/>
      <c r="H261" s="472"/>
      <c r="I261" s="472"/>
      <c r="J261" s="472"/>
      <c r="K261" s="472"/>
      <c r="L261" s="472"/>
      <c r="M261" s="352" t="s">
        <v>18</v>
      </c>
    </row>
    <row r="262" spans="1:13" x14ac:dyDescent="0.35">
      <c r="A262" s="352">
        <v>261</v>
      </c>
      <c r="B262" s="470" t="s">
        <v>1140</v>
      </c>
      <c r="C262" s="472"/>
      <c r="D262" s="472"/>
      <c r="E262" s="472"/>
      <c r="F262" s="472"/>
      <c r="G262" s="472"/>
      <c r="H262" s="472"/>
      <c r="I262" s="472"/>
      <c r="J262" s="472"/>
      <c r="K262" s="472"/>
      <c r="L262" s="472"/>
      <c r="M262" s="352" t="s">
        <v>18</v>
      </c>
    </row>
    <row r="263" spans="1:13" x14ac:dyDescent="0.35">
      <c r="A263" s="352">
        <v>262</v>
      </c>
      <c r="B263" s="470" t="s">
        <v>1141</v>
      </c>
      <c r="C263" s="472"/>
      <c r="D263" s="472"/>
      <c r="E263" s="472"/>
      <c r="F263" s="472"/>
      <c r="G263" s="472"/>
      <c r="H263" s="472"/>
      <c r="I263" s="472"/>
      <c r="J263" s="472"/>
      <c r="K263" s="472"/>
      <c r="L263" s="472"/>
      <c r="M263" s="352" t="s">
        <v>18</v>
      </c>
    </row>
    <row r="264" spans="1:13" x14ac:dyDescent="0.35">
      <c r="A264" s="352">
        <v>263</v>
      </c>
      <c r="B264" s="470" t="s">
        <v>1142</v>
      </c>
      <c r="C264" s="472"/>
      <c r="D264" s="472"/>
      <c r="E264" s="472"/>
      <c r="F264" s="472"/>
      <c r="G264" s="472"/>
      <c r="H264" s="472"/>
      <c r="I264" s="472"/>
      <c r="J264" s="472"/>
      <c r="K264" s="472"/>
      <c r="L264" s="472"/>
      <c r="M264" s="352" t="s">
        <v>18</v>
      </c>
    </row>
    <row r="265" spans="1:13" x14ac:dyDescent="0.35">
      <c r="A265" s="352">
        <v>264</v>
      </c>
      <c r="B265" s="470" t="s">
        <v>1143</v>
      </c>
      <c r="C265" s="472"/>
      <c r="D265" s="472"/>
      <c r="E265" s="472"/>
      <c r="F265" s="472"/>
      <c r="G265" s="472"/>
      <c r="H265" s="472"/>
      <c r="I265" s="472"/>
      <c r="J265" s="472"/>
      <c r="K265" s="472"/>
      <c r="L265" s="472"/>
      <c r="M265" s="352" t="s">
        <v>18</v>
      </c>
    </row>
    <row r="266" spans="1:13" x14ac:dyDescent="0.35">
      <c r="A266" s="352">
        <v>265</v>
      </c>
      <c r="B266" s="470" t="s">
        <v>1144</v>
      </c>
      <c r="C266" s="472"/>
      <c r="D266" s="472"/>
      <c r="E266" s="472"/>
      <c r="F266" s="472"/>
      <c r="G266" s="472"/>
      <c r="H266" s="472"/>
      <c r="I266" s="472"/>
      <c r="J266" s="472"/>
      <c r="K266" s="472"/>
      <c r="L266" s="472"/>
      <c r="M266" s="352" t="s">
        <v>18</v>
      </c>
    </row>
    <row r="267" spans="1:13" x14ac:dyDescent="0.35">
      <c r="A267" s="352">
        <v>266</v>
      </c>
      <c r="B267" s="470" t="s">
        <v>1145</v>
      </c>
      <c r="C267" s="472"/>
      <c r="D267" s="472"/>
      <c r="E267" s="472"/>
      <c r="F267" s="472"/>
      <c r="G267" s="472"/>
      <c r="H267" s="472"/>
      <c r="I267" s="472"/>
      <c r="J267" s="472"/>
      <c r="K267" s="472"/>
      <c r="L267" s="472"/>
      <c r="M267" s="352" t="s">
        <v>18</v>
      </c>
    </row>
    <row r="268" spans="1:13" x14ac:dyDescent="0.35">
      <c r="A268" s="352">
        <v>267</v>
      </c>
      <c r="B268" s="501" t="s">
        <v>387</v>
      </c>
      <c r="C268" s="499">
        <v>6259</v>
      </c>
      <c r="D268" s="499">
        <v>678</v>
      </c>
      <c r="E268" s="499">
        <v>3003</v>
      </c>
      <c r="F268" s="499">
        <v>13040</v>
      </c>
      <c r="G268" s="423"/>
      <c r="H268" s="423"/>
      <c r="I268" s="423"/>
      <c r="J268" s="499">
        <v>446</v>
      </c>
      <c r="K268" s="499">
        <v>4427</v>
      </c>
      <c r="L268" s="499">
        <v>1386</v>
      </c>
      <c r="M268" s="352" t="s">
        <v>19</v>
      </c>
    </row>
    <row r="269" spans="1:13" x14ac:dyDescent="0.35">
      <c r="A269" s="352">
        <v>268</v>
      </c>
      <c r="B269" s="502" t="s">
        <v>388</v>
      </c>
      <c r="C269" s="499">
        <v>4532</v>
      </c>
      <c r="D269" s="499">
        <v>267</v>
      </c>
      <c r="E269" s="499">
        <v>895</v>
      </c>
      <c r="F269" s="499">
        <v>23275</v>
      </c>
      <c r="G269" s="423"/>
      <c r="H269" s="423"/>
      <c r="I269" s="423"/>
      <c r="J269" s="499">
        <v>725</v>
      </c>
      <c r="K269" s="499">
        <v>3347</v>
      </c>
      <c r="L269" s="499">
        <v>460</v>
      </c>
      <c r="M269" s="352" t="s">
        <v>19</v>
      </c>
    </row>
    <row r="270" spans="1:13" x14ac:dyDescent="0.35">
      <c r="A270" s="352">
        <v>269</v>
      </c>
      <c r="B270" s="502" t="s">
        <v>394</v>
      </c>
      <c r="C270" s="499">
        <v>1267</v>
      </c>
      <c r="D270" s="499">
        <v>531</v>
      </c>
      <c r="E270" s="499">
        <v>627</v>
      </c>
      <c r="F270" s="499">
        <v>6014</v>
      </c>
      <c r="G270" s="423"/>
      <c r="H270" s="423"/>
      <c r="I270" s="423"/>
      <c r="J270" s="499">
        <v>3</v>
      </c>
      <c r="K270" s="499">
        <v>1180</v>
      </c>
      <c r="L270" s="499">
        <v>84</v>
      </c>
      <c r="M270" s="352" t="s">
        <v>19</v>
      </c>
    </row>
    <row r="271" spans="1:13" x14ac:dyDescent="0.35">
      <c r="A271" s="352">
        <v>270</v>
      </c>
      <c r="B271" s="502" t="s">
        <v>393</v>
      </c>
      <c r="C271" s="499">
        <v>780</v>
      </c>
      <c r="D271" s="499">
        <v>328</v>
      </c>
      <c r="E271" s="499">
        <v>168</v>
      </c>
      <c r="F271" s="499">
        <v>2409</v>
      </c>
      <c r="G271" s="423"/>
      <c r="H271" s="423"/>
      <c r="I271" s="423"/>
      <c r="J271" s="499">
        <v>203</v>
      </c>
      <c r="K271" s="499">
        <v>513</v>
      </c>
      <c r="L271" s="499">
        <v>65</v>
      </c>
      <c r="M271" s="352" t="s">
        <v>19</v>
      </c>
    </row>
    <row r="272" spans="1:13" x14ac:dyDescent="0.35">
      <c r="A272" s="352">
        <v>271</v>
      </c>
      <c r="B272" s="502" t="s">
        <v>389</v>
      </c>
      <c r="C272" s="499">
        <v>455</v>
      </c>
      <c r="D272" s="499">
        <v>257</v>
      </c>
      <c r="E272" s="499">
        <v>78</v>
      </c>
      <c r="F272" s="499">
        <v>4212</v>
      </c>
      <c r="G272" s="423"/>
      <c r="H272" s="423"/>
      <c r="I272" s="423"/>
      <c r="J272" s="499">
        <v>4</v>
      </c>
      <c r="K272" s="499">
        <v>305</v>
      </c>
      <c r="L272" s="499">
        <v>147</v>
      </c>
      <c r="M272" s="352" t="s">
        <v>19</v>
      </c>
    </row>
    <row r="273" spans="1:13" x14ac:dyDescent="0.35">
      <c r="A273" s="352">
        <v>272</v>
      </c>
      <c r="B273" s="502" t="s">
        <v>390</v>
      </c>
      <c r="C273" s="499">
        <v>292</v>
      </c>
      <c r="D273" s="499">
        <v>502</v>
      </c>
      <c r="E273" s="499">
        <v>107</v>
      </c>
      <c r="F273" s="499">
        <v>1449</v>
      </c>
      <c r="G273" s="423"/>
      <c r="H273" s="423"/>
      <c r="I273" s="423"/>
      <c r="J273" s="499">
        <v>68</v>
      </c>
      <c r="K273" s="499">
        <v>213</v>
      </c>
      <c r="L273" s="499">
        <v>12</v>
      </c>
      <c r="M273" s="352" t="s">
        <v>19</v>
      </c>
    </row>
    <row r="274" spans="1:13" x14ac:dyDescent="0.35">
      <c r="A274" s="352">
        <v>273</v>
      </c>
      <c r="B274" s="502" t="s">
        <v>392</v>
      </c>
      <c r="C274" s="499">
        <v>251</v>
      </c>
      <c r="D274" s="499">
        <v>294</v>
      </c>
      <c r="E274" s="499">
        <v>63</v>
      </c>
      <c r="F274" s="499">
        <v>4874</v>
      </c>
      <c r="G274" s="423"/>
      <c r="H274" s="423"/>
      <c r="I274" s="423"/>
      <c r="J274" s="499">
        <v>11</v>
      </c>
      <c r="K274" s="499">
        <v>215</v>
      </c>
      <c r="L274" s="499">
        <v>25</v>
      </c>
      <c r="M274" s="352" t="s">
        <v>19</v>
      </c>
    </row>
    <row r="275" spans="1:13" x14ac:dyDescent="0.35">
      <c r="A275" s="352">
        <v>274</v>
      </c>
      <c r="B275" s="502" t="s">
        <v>391</v>
      </c>
      <c r="C275" s="499">
        <v>46</v>
      </c>
      <c r="D275" s="499">
        <v>521</v>
      </c>
      <c r="E275" s="499">
        <v>22</v>
      </c>
      <c r="F275" s="499">
        <v>226</v>
      </c>
      <c r="G275" s="423"/>
      <c r="H275" s="423"/>
      <c r="I275" s="423"/>
      <c r="J275" s="499">
        <v>1</v>
      </c>
      <c r="K275" s="499">
        <v>42</v>
      </c>
      <c r="L275" s="499">
        <v>3</v>
      </c>
      <c r="M275" s="352" t="s">
        <v>19</v>
      </c>
    </row>
    <row r="276" spans="1:13" x14ac:dyDescent="0.35">
      <c r="A276" s="352">
        <v>275</v>
      </c>
      <c r="B276" s="502" t="s">
        <v>395</v>
      </c>
      <c r="C276" s="500"/>
      <c r="D276" s="500"/>
      <c r="E276" s="500"/>
      <c r="F276" s="500"/>
      <c r="G276" s="423"/>
      <c r="H276" s="423"/>
      <c r="I276" s="423"/>
      <c r="J276" s="500"/>
      <c r="K276" s="500"/>
      <c r="L276" s="500"/>
      <c r="M276" s="352" t="s">
        <v>19</v>
      </c>
    </row>
    <row r="277" spans="1:13" x14ac:dyDescent="0.35">
      <c r="A277" s="352">
        <v>276</v>
      </c>
      <c r="B277" s="503" t="s">
        <v>1146</v>
      </c>
      <c r="C277" s="504">
        <v>538</v>
      </c>
      <c r="D277" s="504">
        <v>450</v>
      </c>
      <c r="E277" s="504">
        <v>180</v>
      </c>
      <c r="F277" s="504">
        <v>1043</v>
      </c>
      <c r="G277" s="505"/>
      <c r="H277" s="505"/>
      <c r="I277" s="505"/>
      <c r="J277" s="504">
        <v>109</v>
      </c>
      <c r="K277" s="504">
        <v>400</v>
      </c>
      <c r="L277" s="504">
        <v>29</v>
      </c>
      <c r="M277" s="352" t="s">
        <v>1343</v>
      </c>
    </row>
    <row r="278" spans="1:13" x14ac:dyDescent="0.35">
      <c r="A278" s="352">
        <v>277</v>
      </c>
      <c r="B278" s="503" t="s">
        <v>1153</v>
      </c>
      <c r="C278" s="504">
        <v>4510</v>
      </c>
      <c r="D278" s="504">
        <v>599</v>
      </c>
      <c r="E278" s="504">
        <v>1743</v>
      </c>
      <c r="F278" s="504">
        <v>460</v>
      </c>
      <c r="G278" s="505"/>
      <c r="H278" s="505"/>
      <c r="I278" s="505"/>
      <c r="J278" s="504">
        <v>1136</v>
      </c>
      <c r="K278" s="504">
        <v>2910</v>
      </c>
      <c r="L278" s="504">
        <v>465</v>
      </c>
      <c r="M278" s="352" t="s">
        <v>1343</v>
      </c>
    </row>
    <row r="279" spans="1:13" x14ac:dyDescent="0.35">
      <c r="A279" s="352">
        <v>278</v>
      </c>
      <c r="B279" s="503" t="s">
        <v>1148</v>
      </c>
      <c r="C279" s="504">
        <v>1955</v>
      </c>
      <c r="D279" s="504">
        <v>527</v>
      </c>
      <c r="E279" s="504">
        <v>490</v>
      </c>
      <c r="F279" s="504">
        <v>1690</v>
      </c>
      <c r="G279" s="505"/>
      <c r="H279" s="505"/>
      <c r="I279" s="505"/>
      <c r="J279" s="504">
        <v>662</v>
      </c>
      <c r="K279" s="504">
        <v>930</v>
      </c>
      <c r="L279" s="504">
        <v>363</v>
      </c>
      <c r="M279" s="352" t="s">
        <v>1343</v>
      </c>
    </row>
    <row r="280" spans="1:13" x14ac:dyDescent="0.35">
      <c r="A280" s="352">
        <v>279</v>
      </c>
      <c r="B280" s="503" t="s">
        <v>1147</v>
      </c>
      <c r="C280" s="504">
        <v>452</v>
      </c>
      <c r="D280" s="504">
        <v>117</v>
      </c>
      <c r="E280" s="504">
        <v>46</v>
      </c>
      <c r="F280" s="504">
        <v>266</v>
      </c>
      <c r="G280" s="505"/>
      <c r="H280" s="505"/>
      <c r="I280" s="505"/>
      <c r="J280" s="504">
        <v>44</v>
      </c>
      <c r="K280" s="504">
        <v>393</v>
      </c>
      <c r="L280" s="504">
        <v>14</v>
      </c>
      <c r="M280" s="352" t="s">
        <v>1343</v>
      </c>
    </row>
    <row r="281" spans="1:13" x14ac:dyDescent="0.35">
      <c r="A281" s="352">
        <v>280</v>
      </c>
      <c r="B281" s="503" t="s">
        <v>1150</v>
      </c>
      <c r="C281" s="504">
        <v>203</v>
      </c>
      <c r="D281" s="504">
        <v>280</v>
      </c>
      <c r="E281" s="504">
        <v>28</v>
      </c>
      <c r="F281" s="504">
        <v>358</v>
      </c>
      <c r="G281" s="505"/>
      <c r="H281" s="505"/>
      <c r="I281" s="505"/>
      <c r="J281" s="504">
        <v>71</v>
      </c>
      <c r="K281" s="504">
        <v>101</v>
      </c>
      <c r="L281" s="504">
        <v>32</v>
      </c>
      <c r="M281" s="352" t="s">
        <v>1343</v>
      </c>
    </row>
    <row r="282" spans="1:13" x14ac:dyDescent="0.35">
      <c r="A282" s="352">
        <v>281</v>
      </c>
      <c r="B282" s="503" t="s">
        <v>1151</v>
      </c>
      <c r="C282" s="504">
        <v>150</v>
      </c>
      <c r="D282" s="504">
        <v>240</v>
      </c>
      <c r="E282" s="504">
        <v>6</v>
      </c>
      <c r="F282" s="504">
        <v>246</v>
      </c>
      <c r="G282" s="505"/>
      <c r="H282" s="505"/>
      <c r="I282" s="505"/>
      <c r="J282" s="505"/>
      <c r="K282" s="504">
        <v>25</v>
      </c>
      <c r="L282" s="504">
        <v>125</v>
      </c>
      <c r="M282" s="352" t="s">
        <v>1343</v>
      </c>
    </row>
    <row r="283" spans="1:13" x14ac:dyDescent="0.35">
      <c r="A283" s="352">
        <v>282</v>
      </c>
      <c r="B283" s="503" t="s">
        <v>1152</v>
      </c>
      <c r="C283" s="504">
        <v>103</v>
      </c>
      <c r="D283" s="504">
        <v>149</v>
      </c>
      <c r="E283" s="504">
        <v>4</v>
      </c>
      <c r="F283" s="504">
        <v>253</v>
      </c>
      <c r="G283" s="505"/>
      <c r="H283" s="505"/>
      <c r="I283" s="505"/>
      <c r="J283" s="505"/>
      <c r="K283" s="504">
        <v>26</v>
      </c>
      <c r="L283" s="504">
        <v>77</v>
      </c>
      <c r="M283" s="352" t="s">
        <v>1343</v>
      </c>
    </row>
    <row r="284" spans="1:13" x14ac:dyDescent="0.35">
      <c r="A284" s="352">
        <v>283</v>
      </c>
      <c r="B284" s="503" t="s">
        <v>1149</v>
      </c>
      <c r="C284" s="504">
        <v>84</v>
      </c>
      <c r="D284" s="504">
        <v>195</v>
      </c>
      <c r="E284" s="504">
        <v>0</v>
      </c>
      <c r="F284" s="504">
        <v>49</v>
      </c>
      <c r="G284" s="505"/>
      <c r="H284" s="505"/>
      <c r="I284" s="505"/>
      <c r="J284" s="504">
        <v>69</v>
      </c>
      <c r="K284" s="504">
        <v>2</v>
      </c>
      <c r="L284" s="504">
        <v>13</v>
      </c>
      <c r="M284" s="352" t="s">
        <v>1343</v>
      </c>
    </row>
    <row r="285" spans="1:13" x14ac:dyDescent="0.35">
      <c r="A285" s="352">
        <v>284</v>
      </c>
      <c r="B285" s="503" t="s">
        <v>1154</v>
      </c>
      <c r="C285" s="505"/>
      <c r="D285" s="505"/>
      <c r="E285" s="505"/>
      <c r="F285" s="505"/>
      <c r="G285" s="505"/>
      <c r="H285" s="505"/>
      <c r="I285" s="505"/>
      <c r="J285" s="505"/>
      <c r="K285" s="505"/>
      <c r="L285" s="505"/>
      <c r="M285" s="352" t="s">
        <v>1343</v>
      </c>
    </row>
    <row r="286" spans="1:13" x14ac:dyDescent="0.35">
      <c r="A286" s="352">
        <v>285</v>
      </c>
      <c r="B286" s="503" t="s">
        <v>1155</v>
      </c>
      <c r="C286" s="505"/>
      <c r="D286" s="505"/>
      <c r="E286" s="505"/>
      <c r="F286" s="505"/>
      <c r="G286" s="505"/>
      <c r="H286" s="505"/>
      <c r="I286" s="505"/>
      <c r="J286" s="505"/>
      <c r="K286" s="505"/>
      <c r="L286" s="505"/>
      <c r="M286" s="352" t="s">
        <v>1343</v>
      </c>
    </row>
    <row r="287" spans="1:13" x14ac:dyDescent="0.35">
      <c r="A287" s="352">
        <v>286</v>
      </c>
      <c r="B287" s="506" t="s">
        <v>1156</v>
      </c>
      <c r="C287" s="507">
        <v>614</v>
      </c>
      <c r="D287" s="507">
        <v>501</v>
      </c>
      <c r="E287" s="507">
        <v>57</v>
      </c>
      <c r="F287" s="507">
        <v>701</v>
      </c>
      <c r="G287" s="508"/>
      <c r="H287" s="508"/>
      <c r="I287" s="508"/>
      <c r="J287" s="507">
        <v>388</v>
      </c>
      <c r="K287" s="507">
        <v>113</v>
      </c>
      <c r="L287" s="507">
        <v>113</v>
      </c>
      <c r="M287" s="352" t="s">
        <v>21</v>
      </c>
    </row>
    <row r="288" spans="1:13" x14ac:dyDescent="0.35">
      <c r="A288" s="352">
        <v>287</v>
      </c>
      <c r="B288" s="506" t="s">
        <v>1165</v>
      </c>
      <c r="C288" s="507">
        <v>22485</v>
      </c>
      <c r="D288" s="507">
        <v>661</v>
      </c>
      <c r="E288" s="507">
        <v>8034</v>
      </c>
      <c r="F288" s="507">
        <v>34588</v>
      </c>
      <c r="G288" s="509"/>
      <c r="H288" s="509"/>
      <c r="I288" s="509"/>
      <c r="J288" s="507">
        <v>7933</v>
      </c>
      <c r="K288" s="507">
        <v>12148</v>
      </c>
      <c r="L288" s="507">
        <v>2404</v>
      </c>
      <c r="M288" s="352" t="s">
        <v>21</v>
      </c>
    </row>
    <row r="289" spans="1:13" x14ac:dyDescent="0.35">
      <c r="A289" s="352">
        <v>288</v>
      </c>
      <c r="B289" s="506" t="s">
        <v>1166</v>
      </c>
      <c r="C289" s="507">
        <v>9614</v>
      </c>
      <c r="D289" s="507">
        <v>849</v>
      </c>
      <c r="E289" s="507">
        <v>4538</v>
      </c>
      <c r="F289" s="507">
        <v>14044</v>
      </c>
      <c r="G289" s="509"/>
      <c r="H289" s="509"/>
      <c r="I289" s="509"/>
      <c r="J289" s="507">
        <v>4256</v>
      </c>
      <c r="K289" s="507">
        <v>5345</v>
      </c>
      <c r="L289" s="507">
        <v>13</v>
      </c>
      <c r="M289" s="352" t="s">
        <v>21</v>
      </c>
    </row>
    <row r="290" spans="1:13" x14ac:dyDescent="0.35">
      <c r="A290" s="352">
        <v>289</v>
      </c>
      <c r="B290" s="506" t="s">
        <v>1164</v>
      </c>
      <c r="C290" s="507">
        <v>5916</v>
      </c>
      <c r="D290" s="507">
        <v>790</v>
      </c>
      <c r="E290" s="507">
        <v>2348</v>
      </c>
      <c r="F290" s="507">
        <v>8639</v>
      </c>
      <c r="G290" s="509"/>
      <c r="H290" s="509"/>
      <c r="I290" s="509"/>
      <c r="J290" s="507">
        <v>2902</v>
      </c>
      <c r="K290" s="507">
        <v>2971</v>
      </c>
      <c r="L290" s="507">
        <v>43</v>
      </c>
      <c r="M290" s="352" t="s">
        <v>21</v>
      </c>
    </row>
    <row r="291" spans="1:13" x14ac:dyDescent="0.35">
      <c r="A291" s="352">
        <v>290</v>
      </c>
      <c r="B291" s="506" t="s">
        <v>1174</v>
      </c>
      <c r="C291" s="507">
        <v>5689</v>
      </c>
      <c r="D291" s="507">
        <v>333</v>
      </c>
      <c r="E291" s="507">
        <v>1186</v>
      </c>
      <c r="F291" s="507">
        <v>13168</v>
      </c>
      <c r="G291" s="509"/>
      <c r="H291" s="509"/>
      <c r="I291" s="509"/>
      <c r="J291" s="507">
        <v>1995</v>
      </c>
      <c r="K291" s="507">
        <v>3560</v>
      </c>
      <c r="L291" s="507">
        <v>133</v>
      </c>
      <c r="M291" s="352" t="s">
        <v>21</v>
      </c>
    </row>
    <row r="292" spans="1:13" x14ac:dyDescent="0.35">
      <c r="A292" s="352">
        <v>291</v>
      </c>
      <c r="B292" s="506" t="s">
        <v>1168</v>
      </c>
      <c r="C292" s="507">
        <v>3280</v>
      </c>
      <c r="D292" s="507">
        <v>336</v>
      </c>
      <c r="E292" s="507">
        <v>449</v>
      </c>
      <c r="F292" s="507">
        <v>5324</v>
      </c>
      <c r="G292" s="509"/>
      <c r="H292" s="509"/>
      <c r="I292" s="509"/>
      <c r="J292" s="507">
        <v>1605</v>
      </c>
      <c r="K292" s="507">
        <v>1336</v>
      </c>
      <c r="L292" s="507">
        <v>339</v>
      </c>
      <c r="M292" s="352" t="s">
        <v>21</v>
      </c>
    </row>
    <row r="293" spans="1:13" x14ac:dyDescent="0.35">
      <c r="A293" s="352">
        <v>292</v>
      </c>
      <c r="B293" s="506" t="s">
        <v>1170</v>
      </c>
      <c r="C293" s="507">
        <v>2497</v>
      </c>
      <c r="D293" s="507">
        <v>377</v>
      </c>
      <c r="E293" s="507">
        <v>583</v>
      </c>
      <c r="F293" s="507">
        <v>3866</v>
      </c>
      <c r="G293" s="509"/>
      <c r="H293" s="509"/>
      <c r="I293" s="509"/>
      <c r="J293" s="507">
        <v>517</v>
      </c>
      <c r="K293" s="507">
        <v>1547</v>
      </c>
      <c r="L293" s="507">
        <v>433</v>
      </c>
      <c r="M293" s="352" t="s">
        <v>21</v>
      </c>
    </row>
    <row r="294" spans="1:13" x14ac:dyDescent="0.35">
      <c r="A294" s="352">
        <v>293</v>
      </c>
      <c r="B294" s="506" t="s">
        <v>1173</v>
      </c>
      <c r="C294" s="507">
        <v>2051</v>
      </c>
      <c r="D294" s="507">
        <v>523</v>
      </c>
      <c r="E294" s="507">
        <v>569</v>
      </c>
      <c r="F294" s="507">
        <v>3149</v>
      </c>
      <c r="G294" s="509"/>
      <c r="H294" s="509"/>
      <c r="I294" s="509"/>
      <c r="J294" s="507">
        <v>841</v>
      </c>
      <c r="K294" s="507">
        <v>1088</v>
      </c>
      <c r="L294" s="507">
        <v>122</v>
      </c>
      <c r="M294" s="352" t="s">
        <v>21</v>
      </c>
    </row>
    <row r="295" spans="1:13" x14ac:dyDescent="0.35">
      <c r="A295" s="352">
        <v>294</v>
      </c>
      <c r="B295" s="506" t="s">
        <v>1171</v>
      </c>
      <c r="C295" s="507">
        <v>1141</v>
      </c>
      <c r="D295" s="507">
        <v>231</v>
      </c>
      <c r="E295" s="507">
        <v>35</v>
      </c>
      <c r="F295" s="507">
        <v>1556</v>
      </c>
      <c r="G295" s="509"/>
      <c r="H295" s="509"/>
      <c r="I295" s="509"/>
      <c r="J295" s="507">
        <v>882</v>
      </c>
      <c r="K295" s="507">
        <v>153</v>
      </c>
      <c r="L295" s="507">
        <v>106</v>
      </c>
      <c r="M295" s="352" t="s">
        <v>21</v>
      </c>
    </row>
    <row r="296" spans="1:13" x14ac:dyDescent="0.35">
      <c r="A296" s="352">
        <v>295</v>
      </c>
      <c r="B296" s="506" t="s">
        <v>1167</v>
      </c>
      <c r="C296" s="507">
        <v>960</v>
      </c>
      <c r="D296" s="507">
        <v>431</v>
      </c>
      <c r="E296" s="507">
        <v>210</v>
      </c>
      <c r="F296" s="507">
        <v>1477</v>
      </c>
      <c r="G296" s="509"/>
      <c r="H296" s="509"/>
      <c r="I296" s="509"/>
      <c r="J296" s="507">
        <v>434</v>
      </c>
      <c r="K296" s="507">
        <v>486</v>
      </c>
      <c r="L296" s="507">
        <v>40</v>
      </c>
      <c r="M296" s="352" t="s">
        <v>21</v>
      </c>
    </row>
    <row r="297" spans="1:13" x14ac:dyDescent="0.35">
      <c r="A297" s="352">
        <v>296</v>
      </c>
      <c r="B297" s="506" t="s">
        <v>1163</v>
      </c>
      <c r="C297" s="507">
        <v>914</v>
      </c>
      <c r="D297" s="507">
        <v>322</v>
      </c>
      <c r="E297" s="507">
        <v>175</v>
      </c>
      <c r="F297" s="507">
        <v>1406</v>
      </c>
      <c r="G297" s="509"/>
      <c r="H297" s="509"/>
      <c r="I297" s="509"/>
      <c r="J297" s="507">
        <v>336</v>
      </c>
      <c r="K297" s="507">
        <v>544</v>
      </c>
      <c r="L297" s="507">
        <v>34</v>
      </c>
      <c r="M297" s="352" t="s">
        <v>21</v>
      </c>
    </row>
    <row r="298" spans="1:13" x14ac:dyDescent="0.35">
      <c r="A298" s="352">
        <v>297</v>
      </c>
      <c r="B298" s="506" t="s">
        <v>1162</v>
      </c>
      <c r="C298" s="507">
        <v>840</v>
      </c>
      <c r="D298" s="507">
        <v>218</v>
      </c>
      <c r="E298" s="507">
        <v>152</v>
      </c>
      <c r="F298" s="507">
        <v>1446</v>
      </c>
      <c r="G298" s="508"/>
      <c r="H298" s="508"/>
      <c r="I298" s="508"/>
      <c r="J298" s="507">
        <v>133</v>
      </c>
      <c r="K298" s="507">
        <v>696</v>
      </c>
      <c r="L298" s="507">
        <v>11</v>
      </c>
      <c r="M298" s="352" t="s">
        <v>21</v>
      </c>
    </row>
    <row r="299" spans="1:13" x14ac:dyDescent="0.35">
      <c r="A299" s="352">
        <v>298</v>
      </c>
      <c r="B299" s="506" t="s">
        <v>1157</v>
      </c>
      <c r="C299" s="507">
        <v>738</v>
      </c>
      <c r="D299" s="507">
        <v>443</v>
      </c>
      <c r="E299" s="507">
        <v>46</v>
      </c>
      <c r="F299" s="507">
        <v>1138</v>
      </c>
      <c r="G299" s="508"/>
      <c r="H299" s="508"/>
      <c r="I299" s="508"/>
      <c r="J299" s="507">
        <v>615</v>
      </c>
      <c r="K299" s="507">
        <v>103</v>
      </c>
      <c r="L299" s="507">
        <v>20</v>
      </c>
      <c r="M299" s="352" t="s">
        <v>21</v>
      </c>
    </row>
    <row r="300" spans="1:13" x14ac:dyDescent="0.35">
      <c r="A300" s="352">
        <v>299</v>
      </c>
      <c r="B300" s="506" t="s">
        <v>1176</v>
      </c>
      <c r="C300" s="507">
        <v>543</v>
      </c>
      <c r="D300" s="507">
        <v>230</v>
      </c>
      <c r="E300" s="507">
        <v>38</v>
      </c>
      <c r="F300" s="507">
        <v>835</v>
      </c>
      <c r="G300" s="509"/>
      <c r="H300" s="509"/>
      <c r="I300" s="509"/>
      <c r="J300" s="507">
        <v>259</v>
      </c>
      <c r="K300" s="507">
        <v>163</v>
      </c>
      <c r="L300" s="507">
        <v>121</v>
      </c>
      <c r="M300" s="352" t="s">
        <v>21</v>
      </c>
    </row>
    <row r="301" spans="1:13" x14ac:dyDescent="0.35">
      <c r="A301" s="352">
        <v>300</v>
      </c>
      <c r="B301" s="506" t="s">
        <v>1159</v>
      </c>
      <c r="C301" s="507">
        <v>467</v>
      </c>
      <c r="D301" s="507">
        <v>433</v>
      </c>
      <c r="E301" s="507">
        <v>53</v>
      </c>
      <c r="F301" s="507">
        <v>742</v>
      </c>
      <c r="G301" s="508"/>
      <c r="H301" s="508"/>
      <c r="I301" s="508"/>
      <c r="J301" s="507">
        <v>332</v>
      </c>
      <c r="K301" s="507">
        <v>123</v>
      </c>
      <c r="L301" s="507">
        <v>12</v>
      </c>
      <c r="M301" s="352" t="s">
        <v>21</v>
      </c>
    </row>
    <row r="302" spans="1:13" x14ac:dyDescent="0.35">
      <c r="A302" s="352">
        <v>301</v>
      </c>
      <c r="B302" s="506" t="s">
        <v>1172</v>
      </c>
      <c r="C302" s="507">
        <v>320</v>
      </c>
      <c r="D302" s="507">
        <v>860</v>
      </c>
      <c r="E302" s="507">
        <v>1090</v>
      </c>
      <c r="F302" s="507">
        <v>4359</v>
      </c>
      <c r="G302" s="509"/>
      <c r="H302" s="509"/>
      <c r="I302" s="509"/>
      <c r="J302" s="507">
        <v>1666</v>
      </c>
      <c r="K302" s="507">
        <v>1268</v>
      </c>
      <c r="L302" s="507">
        <v>266</v>
      </c>
      <c r="M302" s="352" t="s">
        <v>21</v>
      </c>
    </row>
    <row r="303" spans="1:13" x14ac:dyDescent="0.35">
      <c r="A303" s="352">
        <v>302</v>
      </c>
      <c r="B303" s="506" t="s">
        <v>1158</v>
      </c>
      <c r="C303" s="507">
        <v>248</v>
      </c>
      <c r="D303" s="507">
        <v>268</v>
      </c>
      <c r="E303" s="507">
        <v>47</v>
      </c>
      <c r="F303" s="507">
        <v>375</v>
      </c>
      <c r="G303" s="508"/>
      <c r="H303" s="508"/>
      <c r="I303" s="508"/>
      <c r="J303" s="507">
        <v>5</v>
      </c>
      <c r="K303" s="507">
        <v>174</v>
      </c>
      <c r="L303" s="507">
        <v>69</v>
      </c>
      <c r="M303" s="352" t="s">
        <v>21</v>
      </c>
    </row>
    <row r="304" spans="1:13" x14ac:dyDescent="0.35">
      <c r="A304" s="352">
        <v>303</v>
      </c>
      <c r="B304" s="506" t="s">
        <v>1160</v>
      </c>
      <c r="C304" s="507">
        <v>228</v>
      </c>
      <c r="D304" s="507">
        <v>391</v>
      </c>
      <c r="E304" s="507">
        <v>54</v>
      </c>
      <c r="F304" s="507">
        <v>212</v>
      </c>
      <c r="G304" s="508"/>
      <c r="H304" s="508"/>
      <c r="I304" s="508"/>
      <c r="J304" s="507">
        <v>61</v>
      </c>
      <c r="K304" s="507">
        <v>137</v>
      </c>
      <c r="L304" s="507">
        <v>30</v>
      </c>
      <c r="M304" s="352" t="s">
        <v>21</v>
      </c>
    </row>
    <row r="305" spans="1:13" x14ac:dyDescent="0.35">
      <c r="A305" s="352">
        <v>304</v>
      </c>
      <c r="B305" s="506" t="s">
        <v>1161</v>
      </c>
      <c r="C305" s="507">
        <v>3</v>
      </c>
      <c r="D305" s="507">
        <v>400</v>
      </c>
      <c r="E305" s="507">
        <v>0</v>
      </c>
      <c r="F305" s="507">
        <v>6</v>
      </c>
      <c r="G305" s="508"/>
      <c r="H305" s="508"/>
      <c r="I305" s="508"/>
      <c r="J305" s="507">
        <v>2</v>
      </c>
      <c r="K305" s="507">
        <v>1</v>
      </c>
      <c r="L305" s="509"/>
      <c r="M305" s="352" t="s">
        <v>21</v>
      </c>
    </row>
    <row r="306" spans="1:13" x14ac:dyDescent="0.35">
      <c r="A306" s="352">
        <v>305</v>
      </c>
      <c r="B306" s="506" t="s">
        <v>1169</v>
      </c>
      <c r="C306" s="509"/>
      <c r="D306" s="509"/>
      <c r="E306" s="509"/>
      <c r="F306" s="509"/>
      <c r="G306" s="509"/>
      <c r="H306" s="509"/>
      <c r="I306" s="509"/>
      <c r="J306" s="509"/>
      <c r="K306" s="509"/>
      <c r="L306" s="509"/>
      <c r="M306" s="352" t="s">
        <v>21</v>
      </c>
    </row>
    <row r="307" spans="1:13" x14ac:dyDescent="0.35">
      <c r="A307" s="352">
        <v>306</v>
      </c>
      <c r="B307" s="506" t="s">
        <v>1175</v>
      </c>
      <c r="C307" s="509"/>
      <c r="D307" s="509"/>
      <c r="E307" s="509"/>
      <c r="F307" s="509"/>
      <c r="G307" s="509"/>
      <c r="H307" s="509"/>
      <c r="I307" s="509"/>
      <c r="J307" s="509"/>
      <c r="K307" s="509"/>
      <c r="L307" s="509"/>
      <c r="M307" s="352" t="s">
        <v>21</v>
      </c>
    </row>
    <row r="308" spans="1:13" x14ac:dyDescent="0.35">
      <c r="A308" s="352">
        <v>307</v>
      </c>
      <c r="B308" s="506" t="s">
        <v>1177</v>
      </c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352" t="s">
        <v>21</v>
      </c>
    </row>
    <row r="309" spans="1:13" x14ac:dyDescent="0.35">
      <c r="A309" s="352">
        <v>308</v>
      </c>
      <c r="B309" s="510" t="s">
        <v>1178</v>
      </c>
      <c r="C309" s="511">
        <v>421</v>
      </c>
      <c r="D309" s="511">
        <v>165</v>
      </c>
      <c r="E309" s="511">
        <v>39</v>
      </c>
      <c r="F309" s="511">
        <v>1359</v>
      </c>
      <c r="G309" s="512"/>
      <c r="H309" s="512"/>
      <c r="I309" s="512"/>
      <c r="J309" s="511">
        <v>158</v>
      </c>
      <c r="K309" s="511">
        <v>236</v>
      </c>
      <c r="L309" s="511">
        <v>27</v>
      </c>
      <c r="M309" s="352" t="s">
        <v>22</v>
      </c>
    </row>
    <row r="310" spans="1:13" x14ac:dyDescent="0.35">
      <c r="A310" s="352">
        <v>309</v>
      </c>
      <c r="B310" s="510" t="s">
        <v>1182</v>
      </c>
      <c r="C310" s="511">
        <v>4786</v>
      </c>
      <c r="D310" s="511">
        <v>503</v>
      </c>
      <c r="E310" s="511">
        <v>1091</v>
      </c>
      <c r="F310" s="511">
        <v>3681</v>
      </c>
      <c r="G310" s="512"/>
      <c r="H310" s="512"/>
      <c r="I310" s="512"/>
      <c r="J310" s="511">
        <v>976</v>
      </c>
      <c r="K310" s="511">
        <v>2169</v>
      </c>
      <c r="L310" s="511">
        <v>1641</v>
      </c>
      <c r="M310" s="352" t="s">
        <v>22</v>
      </c>
    </row>
    <row r="311" spans="1:13" x14ac:dyDescent="0.35">
      <c r="A311" s="352">
        <v>310</v>
      </c>
      <c r="B311" s="510" t="s">
        <v>1179</v>
      </c>
      <c r="C311" s="511">
        <v>2041</v>
      </c>
      <c r="D311" s="511">
        <v>768</v>
      </c>
      <c r="E311" s="511">
        <v>644</v>
      </c>
      <c r="F311" s="511">
        <v>2836</v>
      </c>
      <c r="G311" s="512"/>
      <c r="H311" s="512"/>
      <c r="I311" s="512"/>
      <c r="J311" s="511">
        <v>754</v>
      </c>
      <c r="K311" s="511">
        <v>838</v>
      </c>
      <c r="L311" s="511">
        <v>449</v>
      </c>
      <c r="M311" s="352" t="s">
        <v>22</v>
      </c>
    </row>
    <row r="312" spans="1:13" x14ac:dyDescent="0.35">
      <c r="A312" s="352">
        <v>311</v>
      </c>
      <c r="B312" s="510" t="s">
        <v>1180</v>
      </c>
      <c r="C312" s="511">
        <v>1385</v>
      </c>
      <c r="D312" s="511">
        <v>427</v>
      </c>
      <c r="E312" s="511">
        <v>178</v>
      </c>
      <c r="F312" s="511">
        <v>766</v>
      </c>
      <c r="G312" s="512"/>
      <c r="H312" s="512"/>
      <c r="I312" s="512"/>
      <c r="J312" s="511">
        <v>521</v>
      </c>
      <c r="K312" s="511">
        <v>417</v>
      </c>
      <c r="L312" s="511">
        <v>447</v>
      </c>
      <c r="M312" s="352" t="s">
        <v>22</v>
      </c>
    </row>
    <row r="313" spans="1:13" x14ac:dyDescent="0.35">
      <c r="A313" s="352">
        <v>312</v>
      </c>
      <c r="B313" s="510" t="s">
        <v>1191</v>
      </c>
      <c r="C313" s="511">
        <v>802</v>
      </c>
      <c r="D313" s="511">
        <v>535</v>
      </c>
      <c r="E313" s="511">
        <v>190</v>
      </c>
      <c r="F313" s="511">
        <v>944</v>
      </c>
      <c r="G313" s="512"/>
      <c r="H313" s="512"/>
      <c r="I313" s="512"/>
      <c r="J313" s="511">
        <v>423</v>
      </c>
      <c r="K313" s="511">
        <v>355</v>
      </c>
      <c r="L313" s="511">
        <v>24</v>
      </c>
      <c r="M313" s="352" t="s">
        <v>22</v>
      </c>
    </row>
    <row r="314" spans="1:13" x14ac:dyDescent="0.35">
      <c r="A314" s="352">
        <v>313</v>
      </c>
      <c r="B314" s="510" t="s">
        <v>1181</v>
      </c>
      <c r="C314" s="511">
        <v>731</v>
      </c>
      <c r="D314" s="511">
        <v>492</v>
      </c>
      <c r="E314" s="511">
        <v>127</v>
      </c>
      <c r="F314" s="511">
        <v>1118</v>
      </c>
      <c r="G314" s="512"/>
      <c r="H314" s="512"/>
      <c r="I314" s="512"/>
      <c r="J314" s="511">
        <v>84</v>
      </c>
      <c r="K314" s="511">
        <v>258</v>
      </c>
      <c r="L314" s="511">
        <v>389</v>
      </c>
      <c r="M314" s="352" t="s">
        <v>22</v>
      </c>
    </row>
    <row r="315" spans="1:13" x14ac:dyDescent="0.35">
      <c r="A315" s="352">
        <v>314</v>
      </c>
      <c r="B315" s="510" t="s">
        <v>1189</v>
      </c>
      <c r="C315" s="511">
        <v>503</v>
      </c>
      <c r="D315" s="511">
        <v>411</v>
      </c>
      <c r="E315" s="511">
        <v>39</v>
      </c>
      <c r="F315" s="511">
        <v>302</v>
      </c>
      <c r="G315" s="512"/>
      <c r="H315" s="512"/>
      <c r="I315" s="512"/>
      <c r="J315" s="511">
        <v>326</v>
      </c>
      <c r="K315" s="511">
        <v>95</v>
      </c>
      <c r="L315" s="511">
        <v>82</v>
      </c>
      <c r="M315" s="352" t="s">
        <v>22</v>
      </c>
    </row>
    <row r="316" spans="1:13" x14ac:dyDescent="0.35">
      <c r="A316" s="352">
        <v>315</v>
      </c>
      <c r="B316" s="510" t="s">
        <v>1186</v>
      </c>
      <c r="C316" s="511">
        <v>348</v>
      </c>
      <c r="D316" s="511">
        <v>328</v>
      </c>
      <c r="E316" s="511">
        <v>64</v>
      </c>
      <c r="F316" s="511">
        <v>461</v>
      </c>
      <c r="G316" s="512"/>
      <c r="H316" s="512"/>
      <c r="I316" s="512"/>
      <c r="J316" s="511">
        <v>111</v>
      </c>
      <c r="K316" s="511">
        <v>195</v>
      </c>
      <c r="L316" s="511">
        <v>42</v>
      </c>
      <c r="M316" s="352" t="s">
        <v>22</v>
      </c>
    </row>
    <row r="317" spans="1:13" x14ac:dyDescent="0.35">
      <c r="A317" s="352">
        <v>316</v>
      </c>
      <c r="B317" s="510" t="s">
        <v>1183</v>
      </c>
      <c r="C317" s="511">
        <v>139</v>
      </c>
      <c r="D317" s="511">
        <v>278</v>
      </c>
      <c r="E317" s="511">
        <v>32</v>
      </c>
      <c r="F317" s="511">
        <v>126</v>
      </c>
      <c r="G317" s="512"/>
      <c r="H317" s="512"/>
      <c r="I317" s="512"/>
      <c r="J317" s="511">
        <v>16</v>
      </c>
      <c r="K317" s="511">
        <v>115</v>
      </c>
      <c r="L317" s="511">
        <v>8</v>
      </c>
      <c r="M317" s="352" t="s">
        <v>22</v>
      </c>
    </row>
    <row r="318" spans="1:13" x14ac:dyDescent="0.35">
      <c r="A318" s="352">
        <v>317</v>
      </c>
      <c r="B318" s="510" t="s">
        <v>1185</v>
      </c>
      <c r="C318" s="511">
        <v>119</v>
      </c>
      <c r="D318" s="511">
        <v>463</v>
      </c>
      <c r="E318" s="511">
        <v>25</v>
      </c>
      <c r="F318" s="511">
        <v>89</v>
      </c>
      <c r="G318" s="512"/>
      <c r="H318" s="512"/>
      <c r="I318" s="512"/>
      <c r="J318" s="511">
        <v>21</v>
      </c>
      <c r="K318" s="511">
        <v>54</v>
      </c>
      <c r="L318" s="511">
        <v>44</v>
      </c>
      <c r="M318" s="352" t="s">
        <v>22</v>
      </c>
    </row>
    <row r="319" spans="1:13" x14ac:dyDescent="0.35">
      <c r="A319" s="352">
        <v>318</v>
      </c>
      <c r="B319" s="510" t="s">
        <v>1184</v>
      </c>
      <c r="C319" s="511">
        <v>91</v>
      </c>
      <c r="D319" s="511">
        <v>250</v>
      </c>
      <c r="E319" s="511">
        <v>10</v>
      </c>
      <c r="F319" s="511">
        <v>284</v>
      </c>
      <c r="G319" s="512"/>
      <c r="H319" s="512"/>
      <c r="I319" s="512"/>
      <c r="J319" s="511">
        <v>30</v>
      </c>
      <c r="K319" s="511">
        <v>40</v>
      </c>
      <c r="L319" s="511">
        <v>21</v>
      </c>
      <c r="M319" s="352" t="s">
        <v>22</v>
      </c>
    </row>
    <row r="320" spans="1:13" x14ac:dyDescent="0.35">
      <c r="A320" s="352">
        <v>319</v>
      </c>
      <c r="B320" s="510" t="s">
        <v>1187</v>
      </c>
      <c r="C320" s="512"/>
      <c r="D320" s="512"/>
      <c r="E320" s="512"/>
      <c r="F320" s="512"/>
      <c r="G320" s="512"/>
      <c r="H320" s="512"/>
      <c r="I320" s="512"/>
      <c r="J320" s="512"/>
      <c r="K320" s="512"/>
      <c r="L320" s="512"/>
      <c r="M320" s="352" t="s">
        <v>22</v>
      </c>
    </row>
    <row r="321" spans="1:13" x14ac:dyDescent="0.35">
      <c r="A321" s="352">
        <v>320</v>
      </c>
      <c r="B321" s="510" t="s">
        <v>1188</v>
      </c>
      <c r="C321" s="512"/>
      <c r="D321" s="512"/>
      <c r="E321" s="512"/>
      <c r="F321" s="512"/>
      <c r="G321" s="512"/>
      <c r="H321" s="512"/>
      <c r="I321" s="512"/>
      <c r="J321" s="512"/>
      <c r="K321" s="512"/>
      <c r="L321" s="512"/>
      <c r="M321" s="352" t="s">
        <v>22</v>
      </c>
    </row>
    <row r="322" spans="1:13" x14ac:dyDescent="0.35">
      <c r="A322" s="352">
        <v>321</v>
      </c>
      <c r="B322" s="510" t="s">
        <v>1190</v>
      </c>
      <c r="C322" s="512"/>
      <c r="D322" s="512"/>
      <c r="E322" s="512"/>
      <c r="F322" s="512"/>
      <c r="G322" s="512"/>
      <c r="H322" s="512"/>
      <c r="I322" s="512"/>
      <c r="J322" s="512"/>
      <c r="K322" s="512"/>
      <c r="L322" s="512"/>
      <c r="M322" s="352" t="s">
        <v>22</v>
      </c>
    </row>
    <row r="323" spans="1:13" x14ac:dyDescent="0.35">
      <c r="A323" s="352">
        <v>322</v>
      </c>
      <c r="B323" s="513" t="s">
        <v>1192</v>
      </c>
      <c r="C323" s="514"/>
      <c r="D323" s="514"/>
      <c r="E323" s="514"/>
      <c r="F323" s="514"/>
      <c r="G323" s="514"/>
      <c r="H323" s="514"/>
      <c r="I323" s="514"/>
      <c r="J323" s="514"/>
      <c r="K323" s="514"/>
      <c r="L323" s="514"/>
      <c r="M323" s="352" t="s">
        <v>23</v>
      </c>
    </row>
    <row r="324" spans="1:13" x14ac:dyDescent="0.35">
      <c r="A324" s="352">
        <v>323</v>
      </c>
      <c r="B324" s="513" t="s">
        <v>1196</v>
      </c>
      <c r="C324" s="515">
        <v>1964</v>
      </c>
      <c r="D324" s="515">
        <v>938</v>
      </c>
      <c r="E324" s="515">
        <v>1334</v>
      </c>
      <c r="F324" s="515">
        <v>1075</v>
      </c>
      <c r="G324" s="514"/>
      <c r="H324" s="514"/>
      <c r="I324" s="514"/>
      <c r="J324" s="515">
        <v>521</v>
      </c>
      <c r="K324" s="515">
        <v>1423</v>
      </c>
      <c r="L324" s="515">
        <v>21</v>
      </c>
      <c r="M324" s="352" t="s">
        <v>23</v>
      </c>
    </row>
    <row r="325" spans="1:13" x14ac:dyDescent="0.35">
      <c r="A325" s="352">
        <v>324</v>
      </c>
      <c r="B325" s="513" t="s">
        <v>1195</v>
      </c>
      <c r="C325" s="515">
        <v>340</v>
      </c>
      <c r="D325" s="515">
        <v>1</v>
      </c>
      <c r="E325" s="515">
        <v>145</v>
      </c>
      <c r="F325" s="515">
        <v>511</v>
      </c>
      <c r="G325" s="514"/>
      <c r="H325" s="514"/>
      <c r="I325" s="514"/>
      <c r="J325" s="515">
        <v>193</v>
      </c>
      <c r="K325" s="515">
        <v>145</v>
      </c>
      <c r="L325" s="515">
        <v>2</v>
      </c>
      <c r="M325" s="352" t="s">
        <v>23</v>
      </c>
    </row>
    <row r="326" spans="1:13" x14ac:dyDescent="0.35">
      <c r="A326" s="352">
        <v>325</v>
      </c>
      <c r="B326" s="513" t="s">
        <v>1203</v>
      </c>
      <c r="C326" s="515">
        <v>218</v>
      </c>
      <c r="D326" s="515">
        <v>263</v>
      </c>
      <c r="E326" s="515">
        <v>13</v>
      </c>
      <c r="F326" s="515">
        <v>277</v>
      </c>
      <c r="G326" s="514"/>
      <c r="H326" s="514"/>
      <c r="I326" s="514"/>
      <c r="J326" s="515">
        <v>141</v>
      </c>
      <c r="K326" s="515">
        <v>51</v>
      </c>
      <c r="L326" s="515">
        <v>26</v>
      </c>
      <c r="M326" s="352" t="s">
        <v>23</v>
      </c>
    </row>
    <row r="327" spans="1:13" x14ac:dyDescent="0.35">
      <c r="A327" s="352">
        <v>326</v>
      </c>
      <c r="B327" s="513" t="s">
        <v>1204</v>
      </c>
      <c r="C327" s="515">
        <v>142</v>
      </c>
      <c r="D327" s="515">
        <v>108</v>
      </c>
      <c r="E327" s="515">
        <v>3</v>
      </c>
      <c r="F327" s="515">
        <v>89</v>
      </c>
      <c r="G327" s="514"/>
      <c r="H327" s="514"/>
      <c r="I327" s="514"/>
      <c r="J327" s="515">
        <v>114</v>
      </c>
      <c r="K327" s="515">
        <v>28</v>
      </c>
      <c r="L327" s="514"/>
      <c r="M327" s="352" t="s">
        <v>23</v>
      </c>
    </row>
    <row r="328" spans="1:13" x14ac:dyDescent="0.35">
      <c r="A328" s="352">
        <v>327</v>
      </c>
      <c r="B328" s="513" t="s">
        <v>1193</v>
      </c>
      <c r="C328" s="515">
        <v>102</v>
      </c>
      <c r="D328" s="515">
        <v>510</v>
      </c>
      <c r="E328" s="515">
        <v>1</v>
      </c>
      <c r="F328" s="515">
        <v>144</v>
      </c>
      <c r="G328" s="514"/>
      <c r="H328" s="514"/>
      <c r="I328" s="514"/>
      <c r="J328" s="515">
        <v>101</v>
      </c>
      <c r="K328" s="515">
        <v>1</v>
      </c>
      <c r="L328" s="514"/>
      <c r="M328" s="352" t="s">
        <v>23</v>
      </c>
    </row>
    <row r="329" spans="1:13" x14ac:dyDescent="0.35">
      <c r="A329" s="352">
        <v>328</v>
      </c>
      <c r="B329" s="513" t="s">
        <v>1197</v>
      </c>
      <c r="C329" s="515">
        <v>50</v>
      </c>
      <c r="D329" s="514"/>
      <c r="E329" s="514"/>
      <c r="F329" s="514"/>
      <c r="G329" s="514"/>
      <c r="H329" s="514"/>
      <c r="I329" s="514"/>
      <c r="J329" s="515">
        <v>50</v>
      </c>
      <c r="K329" s="514"/>
      <c r="L329" s="514"/>
      <c r="M329" s="352" t="s">
        <v>23</v>
      </c>
    </row>
    <row r="330" spans="1:13" x14ac:dyDescent="0.35">
      <c r="A330" s="352">
        <v>329</v>
      </c>
      <c r="B330" s="513" t="s">
        <v>1205</v>
      </c>
      <c r="C330" s="515">
        <v>16</v>
      </c>
      <c r="D330" s="514"/>
      <c r="E330" s="514"/>
      <c r="F330" s="515">
        <v>16</v>
      </c>
      <c r="G330" s="514"/>
      <c r="H330" s="514"/>
      <c r="I330" s="514"/>
      <c r="J330" s="515">
        <v>16</v>
      </c>
      <c r="K330" s="514"/>
      <c r="L330" s="514"/>
      <c r="M330" s="352" t="s">
        <v>23</v>
      </c>
    </row>
    <row r="331" spans="1:13" x14ac:dyDescent="0.35">
      <c r="A331" s="352">
        <v>330</v>
      </c>
      <c r="B331" s="513" t="s">
        <v>1198</v>
      </c>
      <c r="C331" s="515">
        <v>7</v>
      </c>
      <c r="D331" s="515">
        <v>600</v>
      </c>
      <c r="E331" s="515">
        <v>0</v>
      </c>
      <c r="F331" s="515">
        <v>20</v>
      </c>
      <c r="G331" s="514"/>
      <c r="H331" s="514"/>
      <c r="I331" s="514"/>
      <c r="J331" s="515">
        <v>7</v>
      </c>
      <c r="K331" s="515">
        <v>1</v>
      </c>
      <c r="L331" s="515">
        <v>0</v>
      </c>
      <c r="M331" s="352" t="s">
        <v>23</v>
      </c>
    </row>
    <row r="332" spans="1:13" x14ac:dyDescent="0.35">
      <c r="A332" s="352">
        <v>331</v>
      </c>
      <c r="B332" s="513" t="s">
        <v>1194</v>
      </c>
      <c r="C332" s="514"/>
      <c r="D332" s="514"/>
      <c r="E332" s="514"/>
      <c r="F332" s="514"/>
      <c r="G332" s="514"/>
      <c r="H332" s="514"/>
      <c r="I332" s="514"/>
      <c r="J332" s="514"/>
      <c r="K332" s="514"/>
      <c r="L332" s="514"/>
      <c r="M332" s="352" t="s">
        <v>23</v>
      </c>
    </row>
    <row r="333" spans="1:13" x14ac:dyDescent="0.35">
      <c r="A333" s="352">
        <v>332</v>
      </c>
      <c r="B333" s="513" t="s">
        <v>1199</v>
      </c>
      <c r="C333" s="514"/>
      <c r="D333" s="514"/>
      <c r="E333" s="514"/>
      <c r="F333" s="514"/>
      <c r="G333" s="514"/>
      <c r="H333" s="514"/>
      <c r="I333" s="514"/>
      <c r="J333" s="514"/>
      <c r="K333" s="514"/>
      <c r="L333" s="514"/>
      <c r="M333" s="352" t="s">
        <v>23</v>
      </c>
    </row>
    <row r="334" spans="1:13" x14ac:dyDescent="0.35">
      <c r="A334" s="352">
        <v>333</v>
      </c>
      <c r="B334" s="513" t="s">
        <v>1200</v>
      </c>
      <c r="C334" s="514"/>
      <c r="D334" s="514"/>
      <c r="E334" s="514"/>
      <c r="F334" s="514"/>
      <c r="G334" s="514"/>
      <c r="H334" s="514"/>
      <c r="I334" s="514"/>
      <c r="J334" s="514"/>
      <c r="K334" s="514"/>
      <c r="L334" s="514"/>
      <c r="M334" s="352" t="s">
        <v>23</v>
      </c>
    </row>
    <row r="335" spans="1:13" x14ac:dyDescent="0.35">
      <c r="A335" s="352">
        <v>334</v>
      </c>
      <c r="B335" s="513" t="s">
        <v>1201</v>
      </c>
      <c r="C335" s="514"/>
      <c r="D335" s="514"/>
      <c r="E335" s="514"/>
      <c r="F335" s="514"/>
      <c r="G335" s="514"/>
      <c r="H335" s="514"/>
      <c r="I335" s="514"/>
      <c r="J335" s="514"/>
      <c r="K335" s="514"/>
      <c r="L335" s="514"/>
      <c r="M335" s="352" t="s">
        <v>23</v>
      </c>
    </row>
    <row r="336" spans="1:13" x14ac:dyDescent="0.35">
      <c r="A336" s="352">
        <v>335</v>
      </c>
      <c r="B336" s="513" t="s">
        <v>1202</v>
      </c>
      <c r="C336" s="514"/>
      <c r="D336" s="514"/>
      <c r="E336" s="514"/>
      <c r="F336" s="514"/>
      <c r="G336" s="514"/>
      <c r="H336" s="514"/>
      <c r="I336" s="514"/>
      <c r="J336" s="514"/>
      <c r="K336" s="514"/>
      <c r="L336" s="514"/>
      <c r="M336" s="352" t="s">
        <v>23</v>
      </c>
    </row>
    <row r="337" spans="1:13" x14ac:dyDescent="0.35">
      <c r="A337" s="352">
        <v>336</v>
      </c>
      <c r="B337" s="516" t="s">
        <v>1206</v>
      </c>
      <c r="C337" s="517"/>
      <c r="D337" s="517"/>
      <c r="E337" s="517"/>
      <c r="F337" s="517"/>
      <c r="G337" s="517"/>
      <c r="H337" s="517"/>
      <c r="I337" s="517"/>
      <c r="J337" s="517"/>
      <c r="K337" s="517"/>
      <c r="L337" s="517"/>
      <c r="M337" s="352" t="s">
        <v>24</v>
      </c>
    </row>
    <row r="338" spans="1:13" x14ac:dyDescent="0.35">
      <c r="A338" s="352">
        <v>337</v>
      </c>
      <c r="B338" s="516" t="s">
        <v>1211</v>
      </c>
      <c r="C338" s="518">
        <v>236</v>
      </c>
      <c r="D338" s="518">
        <v>368</v>
      </c>
      <c r="E338" s="518">
        <v>43</v>
      </c>
      <c r="F338" s="518">
        <v>190</v>
      </c>
      <c r="G338" s="517"/>
      <c r="H338" s="517"/>
      <c r="I338" s="517"/>
      <c r="J338" s="518">
        <v>42</v>
      </c>
      <c r="K338" s="518">
        <v>117</v>
      </c>
      <c r="L338" s="518">
        <v>77</v>
      </c>
      <c r="M338" s="352" t="s">
        <v>24</v>
      </c>
    </row>
    <row r="339" spans="1:13" x14ac:dyDescent="0.35">
      <c r="A339" s="352">
        <v>338</v>
      </c>
      <c r="B339" s="516" t="s">
        <v>1207</v>
      </c>
      <c r="C339" s="518">
        <v>214</v>
      </c>
      <c r="D339" s="518">
        <v>414</v>
      </c>
      <c r="E339" s="518">
        <v>41</v>
      </c>
      <c r="F339" s="518">
        <v>431</v>
      </c>
      <c r="G339" s="517"/>
      <c r="H339" s="517"/>
      <c r="I339" s="517"/>
      <c r="J339" s="518">
        <v>108</v>
      </c>
      <c r="K339" s="518">
        <v>99</v>
      </c>
      <c r="L339" s="518">
        <v>7</v>
      </c>
      <c r="M339" s="352" t="s">
        <v>24</v>
      </c>
    </row>
    <row r="340" spans="1:13" x14ac:dyDescent="0.35">
      <c r="A340" s="352">
        <v>339</v>
      </c>
      <c r="B340" s="516" t="s">
        <v>1214</v>
      </c>
      <c r="C340" s="518">
        <v>141</v>
      </c>
      <c r="D340" s="518">
        <v>700</v>
      </c>
      <c r="E340" s="518">
        <v>35</v>
      </c>
      <c r="F340" s="518">
        <v>259</v>
      </c>
      <c r="G340" s="517"/>
      <c r="H340" s="517"/>
      <c r="I340" s="517"/>
      <c r="J340" s="518">
        <v>87</v>
      </c>
      <c r="K340" s="518">
        <v>50</v>
      </c>
      <c r="L340" s="518">
        <v>4</v>
      </c>
      <c r="M340" s="352" t="s">
        <v>24</v>
      </c>
    </row>
    <row r="341" spans="1:13" x14ac:dyDescent="0.35">
      <c r="A341" s="352">
        <v>340</v>
      </c>
      <c r="B341" s="516" t="s">
        <v>1208</v>
      </c>
      <c r="C341" s="518">
        <v>70</v>
      </c>
      <c r="D341" s="517"/>
      <c r="E341" s="517"/>
      <c r="F341" s="518">
        <v>67</v>
      </c>
      <c r="G341" s="517"/>
      <c r="H341" s="517"/>
      <c r="I341" s="517"/>
      <c r="J341" s="518">
        <v>70</v>
      </c>
      <c r="K341" s="517"/>
      <c r="L341" s="517"/>
      <c r="M341" s="352" t="s">
        <v>24</v>
      </c>
    </row>
    <row r="342" spans="1:13" x14ac:dyDescent="0.35">
      <c r="A342" s="352">
        <v>341</v>
      </c>
      <c r="B342" s="516" t="s">
        <v>1215</v>
      </c>
      <c r="C342" s="518">
        <v>31</v>
      </c>
      <c r="D342" s="518">
        <v>433</v>
      </c>
      <c r="E342" s="518">
        <v>4</v>
      </c>
      <c r="F342" s="518">
        <v>50</v>
      </c>
      <c r="G342" s="517"/>
      <c r="H342" s="517"/>
      <c r="I342" s="517"/>
      <c r="J342" s="518">
        <v>17</v>
      </c>
      <c r="K342" s="518">
        <v>10</v>
      </c>
      <c r="L342" s="518">
        <v>4</v>
      </c>
      <c r="M342" s="352" t="s">
        <v>24</v>
      </c>
    </row>
    <row r="343" spans="1:13" x14ac:dyDescent="0.35">
      <c r="A343" s="352">
        <v>342</v>
      </c>
      <c r="B343" s="516" t="s">
        <v>1216</v>
      </c>
      <c r="C343" s="518">
        <v>5</v>
      </c>
      <c r="D343" s="517"/>
      <c r="E343" s="517"/>
      <c r="F343" s="518">
        <v>5</v>
      </c>
      <c r="G343" s="517"/>
      <c r="H343" s="517"/>
      <c r="I343" s="517"/>
      <c r="J343" s="518">
        <v>5</v>
      </c>
      <c r="K343" s="517"/>
      <c r="L343" s="517"/>
      <c r="M343" s="352" t="s">
        <v>24</v>
      </c>
    </row>
    <row r="344" spans="1:13" x14ac:dyDescent="0.35">
      <c r="A344" s="352">
        <v>343</v>
      </c>
      <c r="B344" s="516" t="s">
        <v>1209</v>
      </c>
      <c r="C344" s="517"/>
      <c r="D344" s="517"/>
      <c r="E344" s="517"/>
      <c r="F344" s="517"/>
      <c r="G344" s="517"/>
      <c r="H344" s="517"/>
      <c r="I344" s="517"/>
      <c r="J344" s="517"/>
      <c r="K344" s="517"/>
      <c r="L344" s="517"/>
      <c r="M344" s="352" t="s">
        <v>24</v>
      </c>
    </row>
    <row r="345" spans="1:13" x14ac:dyDescent="0.35">
      <c r="A345" s="352">
        <v>344</v>
      </c>
      <c r="B345" s="516" t="s">
        <v>1210</v>
      </c>
      <c r="C345" s="517"/>
      <c r="D345" s="517"/>
      <c r="E345" s="517"/>
      <c r="F345" s="517"/>
      <c r="G345" s="517"/>
      <c r="H345" s="517"/>
      <c r="I345" s="517"/>
      <c r="J345" s="517"/>
      <c r="K345" s="517"/>
      <c r="L345" s="517"/>
      <c r="M345" s="352" t="s">
        <v>24</v>
      </c>
    </row>
    <row r="346" spans="1:13" x14ac:dyDescent="0.35">
      <c r="A346" s="352">
        <v>345</v>
      </c>
      <c r="B346" s="516" t="s">
        <v>1212</v>
      </c>
      <c r="C346" s="517"/>
      <c r="D346" s="517"/>
      <c r="E346" s="517"/>
      <c r="F346" s="517"/>
      <c r="G346" s="517"/>
      <c r="H346" s="517"/>
      <c r="I346" s="517"/>
      <c r="J346" s="517"/>
      <c r="K346" s="517"/>
      <c r="L346" s="517"/>
      <c r="M346" s="352" t="s">
        <v>24</v>
      </c>
    </row>
    <row r="347" spans="1:13" x14ac:dyDescent="0.35">
      <c r="A347" s="352">
        <v>346</v>
      </c>
      <c r="B347" s="516" t="s">
        <v>1213</v>
      </c>
      <c r="C347" s="517"/>
      <c r="D347" s="517"/>
      <c r="E347" s="517"/>
      <c r="F347" s="517"/>
      <c r="G347" s="517"/>
      <c r="H347" s="517"/>
      <c r="I347" s="517"/>
      <c r="J347" s="517"/>
      <c r="K347" s="517"/>
      <c r="L347" s="517"/>
      <c r="M347" s="352" t="s">
        <v>24</v>
      </c>
    </row>
    <row r="348" spans="1:13" x14ac:dyDescent="0.35">
      <c r="A348" s="352">
        <v>347</v>
      </c>
      <c r="B348" s="516" t="s">
        <v>1217</v>
      </c>
      <c r="C348" s="517"/>
      <c r="D348" s="517"/>
      <c r="E348" s="517"/>
      <c r="F348" s="517"/>
      <c r="G348" s="517"/>
      <c r="H348" s="517"/>
      <c r="I348" s="517"/>
      <c r="J348" s="517"/>
      <c r="K348" s="517"/>
      <c r="L348" s="517"/>
      <c r="M348" s="352" t="s">
        <v>24</v>
      </c>
    </row>
    <row r="349" spans="1:13" x14ac:dyDescent="0.35">
      <c r="A349" s="352">
        <v>348</v>
      </c>
      <c r="B349" s="516" t="s">
        <v>1218</v>
      </c>
      <c r="C349" s="517"/>
      <c r="D349" s="517"/>
      <c r="E349" s="517"/>
      <c r="F349" s="517"/>
      <c r="G349" s="517"/>
      <c r="H349" s="517"/>
      <c r="I349" s="517"/>
      <c r="J349" s="517"/>
      <c r="K349" s="517"/>
      <c r="L349" s="517"/>
      <c r="M349" s="352" t="s">
        <v>24</v>
      </c>
    </row>
    <row r="350" spans="1:13" x14ac:dyDescent="0.35">
      <c r="A350" s="352">
        <v>349</v>
      </c>
      <c r="B350" s="492" t="s">
        <v>1219</v>
      </c>
      <c r="C350" s="493">
        <v>125</v>
      </c>
      <c r="D350" s="493">
        <v>357</v>
      </c>
      <c r="E350" s="493">
        <v>5</v>
      </c>
      <c r="F350" s="493">
        <v>241</v>
      </c>
      <c r="G350" s="494"/>
      <c r="H350" s="494"/>
      <c r="I350" s="494"/>
      <c r="J350" s="494"/>
      <c r="K350" s="493">
        <v>14</v>
      </c>
      <c r="L350" s="493">
        <v>111</v>
      </c>
      <c r="M350" s="352" t="s">
        <v>25</v>
      </c>
    </row>
    <row r="351" spans="1:13" x14ac:dyDescent="0.35">
      <c r="A351" s="352">
        <v>350</v>
      </c>
      <c r="B351" s="492" t="s">
        <v>1222</v>
      </c>
      <c r="C351" s="493">
        <v>3415</v>
      </c>
      <c r="D351" s="493">
        <v>526</v>
      </c>
      <c r="E351" s="493">
        <v>1265</v>
      </c>
      <c r="F351" s="493">
        <v>1745</v>
      </c>
      <c r="G351" s="494"/>
      <c r="H351" s="494"/>
      <c r="I351" s="494"/>
      <c r="J351" s="493">
        <v>977</v>
      </c>
      <c r="K351" s="493">
        <v>2403</v>
      </c>
      <c r="L351" s="493">
        <v>35</v>
      </c>
      <c r="M351" s="352" t="s">
        <v>25</v>
      </c>
    </row>
    <row r="352" spans="1:13" x14ac:dyDescent="0.35">
      <c r="A352" s="352">
        <v>351</v>
      </c>
      <c r="B352" s="492" t="s">
        <v>1223</v>
      </c>
      <c r="C352" s="493">
        <v>1625</v>
      </c>
      <c r="D352" s="493">
        <v>794</v>
      </c>
      <c r="E352" s="493">
        <v>885</v>
      </c>
      <c r="F352" s="493">
        <v>1312</v>
      </c>
      <c r="G352" s="494"/>
      <c r="H352" s="494"/>
      <c r="I352" s="494"/>
      <c r="J352" s="493">
        <v>231</v>
      </c>
      <c r="K352" s="493">
        <v>1114</v>
      </c>
      <c r="L352" s="493">
        <v>280</v>
      </c>
      <c r="M352" s="352" t="s">
        <v>25</v>
      </c>
    </row>
    <row r="353" spans="1:13" x14ac:dyDescent="0.35">
      <c r="A353" s="352">
        <v>352</v>
      </c>
      <c r="B353" s="492" t="s">
        <v>1225</v>
      </c>
      <c r="C353" s="493">
        <v>1499</v>
      </c>
      <c r="D353" s="493">
        <v>440</v>
      </c>
      <c r="E353" s="493">
        <v>282</v>
      </c>
      <c r="F353" s="493">
        <v>224</v>
      </c>
      <c r="G353" s="494"/>
      <c r="H353" s="494"/>
      <c r="I353" s="494"/>
      <c r="J353" s="493">
        <v>839</v>
      </c>
      <c r="K353" s="493">
        <v>641</v>
      </c>
      <c r="L353" s="493">
        <v>19</v>
      </c>
      <c r="M353" s="352" t="s">
        <v>25</v>
      </c>
    </row>
    <row r="354" spans="1:13" x14ac:dyDescent="0.35">
      <c r="A354" s="352">
        <v>353</v>
      </c>
      <c r="B354" s="492" t="s">
        <v>1220</v>
      </c>
      <c r="C354" s="493">
        <v>517</v>
      </c>
      <c r="D354" s="493">
        <v>102</v>
      </c>
      <c r="E354" s="493">
        <v>17</v>
      </c>
      <c r="F354" s="493">
        <v>365</v>
      </c>
      <c r="G354" s="494"/>
      <c r="H354" s="494"/>
      <c r="I354" s="494"/>
      <c r="J354" s="493">
        <v>247</v>
      </c>
      <c r="K354" s="493">
        <v>167</v>
      </c>
      <c r="L354" s="493">
        <v>103</v>
      </c>
      <c r="M354" s="352" t="s">
        <v>25</v>
      </c>
    </row>
    <row r="355" spans="1:13" x14ac:dyDescent="0.35">
      <c r="A355" s="352">
        <v>354</v>
      </c>
      <c r="B355" s="492" t="s">
        <v>1221</v>
      </c>
      <c r="C355" s="493">
        <v>112</v>
      </c>
      <c r="D355" s="493">
        <v>909</v>
      </c>
      <c r="E355" s="493">
        <v>50</v>
      </c>
      <c r="F355" s="493">
        <v>132</v>
      </c>
      <c r="G355" s="494"/>
      <c r="H355" s="494"/>
      <c r="I355" s="494"/>
      <c r="J355" s="493">
        <v>43</v>
      </c>
      <c r="K355" s="493">
        <v>55</v>
      </c>
      <c r="L355" s="493">
        <v>14</v>
      </c>
      <c r="M355" s="352" t="s">
        <v>25</v>
      </c>
    </row>
    <row r="356" spans="1:13" x14ac:dyDescent="0.35">
      <c r="A356" s="352">
        <v>355</v>
      </c>
      <c r="B356" s="492" t="s">
        <v>1227</v>
      </c>
      <c r="C356" s="493">
        <v>20</v>
      </c>
      <c r="D356" s="493">
        <v>150</v>
      </c>
      <c r="E356" s="493">
        <v>3</v>
      </c>
      <c r="F356" s="493">
        <v>18</v>
      </c>
      <c r="G356" s="494"/>
      <c r="H356" s="494"/>
      <c r="I356" s="494"/>
      <c r="J356" s="494"/>
      <c r="K356" s="493">
        <v>20</v>
      </c>
      <c r="L356" s="494"/>
      <c r="M356" s="352" t="s">
        <v>25</v>
      </c>
    </row>
    <row r="357" spans="1:13" x14ac:dyDescent="0.35">
      <c r="A357" s="352">
        <v>356</v>
      </c>
      <c r="B357" s="492" t="s">
        <v>1224</v>
      </c>
      <c r="C357" s="493">
        <v>10</v>
      </c>
      <c r="D357" s="493">
        <v>300</v>
      </c>
      <c r="E357" s="493">
        <v>3</v>
      </c>
      <c r="F357" s="493">
        <v>11</v>
      </c>
      <c r="G357" s="494"/>
      <c r="H357" s="494"/>
      <c r="I357" s="494"/>
      <c r="J357" s="494"/>
      <c r="K357" s="493">
        <v>10</v>
      </c>
      <c r="L357" s="494"/>
      <c r="M357" s="352" t="s">
        <v>25</v>
      </c>
    </row>
    <row r="358" spans="1:13" x14ac:dyDescent="0.35">
      <c r="A358" s="352">
        <v>357</v>
      </c>
      <c r="B358" s="492" t="s">
        <v>1226</v>
      </c>
      <c r="C358" s="493">
        <v>5</v>
      </c>
      <c r="D358" s="493">
        <v>600</v>
      </c>
      <c r="E358" s="493">
        <v>3</v>
      </c>
      <c r="F358" s="493">
        <v>10</v>
      </c>
      <c r="G358" s="494"/>
      <c r="H358" s="494"/>
      <c r="I358" s="494"/>
      <c r="J358" s="494"/>
      <c r="K358" s="493">
        <v>5</v>
      </c>
      <c r="L358" s="494"/>
      <c r="M358" s="352" t="s">
        <v>25</v>
      </c>
    </row>
    <row r="359" spans="1:13" x14ac:dyDescent="0.35">
      <c r="A359" s="352">
        <v>358</v>
      </c>
      <c r="B359" s="492" t="s">
        <v>1228</v>
      </c>
      <c r="C359" s="494"/>
      <c r="D359" s="494"/>
      <c r="E359" s="494"/>
      <c r="F359" s="494"/>
      <c r="G359" s="494"/>
      <c r="H359" s="494"/>
      <c r="I359" s="494"/>
      <c r="J359" s="494"/>
      <c r="K359" s="494"/>
      <c r="L359" s="494"/>
      <c r="M359" s="352" t="s">
        <v>25</v>
      </c>
    </row>
    <row r="360" spans="1:13" x14ac:dyDescent="0.35">
      <c r="A360" s="352">
        <v>359</v>
      </c>
      <c r="B360" s="519" t="s">
        <v>1229</v>
      </c>
      <c r="C360" s="460">
        <v>836</v>
      </c>
      <c r="D360" s="460">
        <v>399</v>
      </c>
      <c r="E360" s="460">
        <v>168</v>
      </c>
      <c r="F360" s="460">
        <v>1260</v>
      </c>
      <c r="G360" s="461"/>
      <c r="H360" s="461"/>
      <c r="I360" s="461"/>
      <c r="J360" s="460">
        <v>230</v>
      </c>
      <c r="K360" s="460">
        <v>421</v>
      </c>
      <c r="L360" s="460">
        <v>185</v>
      </c>
      <c r="M360" s="352" t="s">
        <v>26</v>
      </c>
    </row>
    <row r="361" spans="1:13" x14ac:dyDescent="0.35">
      <c r="A361" s="352">
        <v>360</v>
      </c>
      <c r="B361" s="519" t="s">
        <v>1232</v>
      </c>
      <c r="C361" s="460">
        <v>1350</v>
      </c>
      <c r="D361" s="460">
        <v>628</v>
      </c>
      <c r="E361" s="460">
        <v>830</v>
      </c>
      <c r="F361" s="460">
        <v>562</v>
      </c>
      <c r="G361" s="461"/>
      <c r="H361" s="461"/>
      <c r="I361" s="461"/>
      <c r="J361" s="461"/>
      <c r="K361" s="460">
        <v>1321</v>
      </c>
      <c r="L361" s="460">
        <v>29</v>
      </c>
      <c r="M361" s="352" t="s">
        <v>26</v>
      </c>
    </row>
    <row r="362" spans="1:13" x14ac:dyDescent="0.35">
      <c r="A362" s="352">
        <v>361</v>
      </c>
      <c r="B362" s="519" t="s">
        <v>1230</v>
      </c>
      <c r="C362" s="460">
        <v>436</v>
      </c>
      <c r="D362" s="460">
        <v>320</v>
      </c>
      <c r="E362" s="460">
        <v>49</v>
      </c>
      <c r="F362" s="460">
        <v>458</v>
      </c>
      <c r="G362" s="461"/>
      <c r="H362" s="461"/>
      <c r="I362" s="461"/>
      <c r="J362" s="460">
        <v>133</v>
      </c>
      <c r="K362" s="460">
        <v>154</v>
      </c>
      <c r="L362" s="460">
        <v>149</v>
      </c>
      <c r="M362" s="352" t="s">
        <v>26</v>
      </c>
    </row>
    <row r="363" spans="1:13" x14ac:dyDescent="0.35">
      <c r="A363" s="352">
        <v>362</v>
      </c>
      <c r="B363" s="519" t="s">
        <v>1231</v>
      </c>
      <c r="C363" s="460">
        <v>0</v>
      </c>
      <c r="D363" s="461"/>
      <c r="E363" s="461"/>
      <c r="F363" s="460">
        <v>1</v>
      </c>
      <c r="G363" s="461"/>
      <c r="H363" s="461"/>
      <c r="I363" s="461"/>
      <c r="J363" s="461"/>
      <c r="K363" s="461"/>
      <c r="L363" s="460">
        <v>0</v>
      </c>
      <c r="M363" s="352" t="s">
        <v>26</v>
      </c>
    </row>
    <row r="364" spans="1:13" x14ac:dyDescent="0.35">
      <c r="A364" s="352">
        <v>363</v>
      </c>
      <c r="B364" s="519" t="s">
        <v>1233</v>
      </c>
      <c r="C364" s="461"/>
      <c r="D364" s="461"/>
      <c r="E364" s="461"/>
      <c r="F364" s="461"/>
      <c r="G364" s="461"/>
      <c r="H364" s="461"/>
      <c r="I364" s="461"/>
      <c r="J364" s="461"/>
      <c r="K364" s="461"/>
      <c r="L364" s="461"/>
      <c r="M364" s="352" t="s">
        <v>26</v>
      </c>
    </row>
    <row r="365" spans="1:13" x14ac:dyDescent="0.35">
      <c r="A365" s="352">
        <v>364</v>
      </c>
      <c r="B365" s="489" t="s">
        <v>1234</v>
      </c>
      <c r="C365" s="490">
        <v>5424</v>
      </c>
      <c r="D365" s="490">
        <v>858</v>
      </c>
      <c r="E365" s="490">
        <v>3761</v>
      </c>
      <c r="F365" s="490">
        <v>6131</v>
      </c>
      <c r="G365" s="491"/>
      <c r="H365" s="491"/>
      <c r="I365" s="491"/>
      <c r="J365" s="490">
        <v>1018</v>
      </c>
      <c r="K365" s="490">
        <v>4385</v>
      </c>
      <c r="L365" s="490">
        <v>20</v>
      </c>
      <c r="M365" s="352" t="s">
        <v>27</v>
      </c>
    </row>
    <row r="366" spans="1:13" x14ac:dyDescent="0.35">
      <c r="A366" s="352">
        <v>365</v>
      </c>
      <c r="B366" s="489" t="s">
        <v>1240</v>
      </c>
      <c r="C366" s="490">
        <v>5222</v>
      </c>
      <c r="D366" s="490">
        <v>397</v>
      </c>
      <c r="E366" s="490">
        <v>624</v>
      </c>
      <c r="F366" s="490">
        <v>7588</v>
      </c>
      <c r="G366" s="491"/>
      <c r="H366" s="491"/>
      <c r="I366" s="491"/>
      <c r="J366" s="490">
        <v>2313</v>
      </c>
      <c r="K366" s="490">
        <v>1571</v>
      </c>
      <c r="L366" s="490">
        <v>1338</v>
      </c>
      <c r="M366" s="352" t="s">
        <v>27</v>
      </c>
    </row>
    <row r="367" spans="1:13" x14ac:dyDescent="0.35">
      <c r="A367" s="352">
        <v>366</v>
      </c>
      <c r="B367" s="489" t="s">
        <v>1244</v>
      </c>
      <c r="C367" s="490">
        <v>2075</v>
      </c>
      <c r="D367" s="490">
        <v>678</v>
      </c>
      <c r="E367" s="490">
        <v>415</v>
      </c>
      <c r="F367" s="490">
        <v>1998</v>
      </c>
      <c r="G367" s="491"/>
      <c r="H367" s="491"/>
      <c r="I367" s="491"/>
      <c r="J367" s="490">
        <v>881</v>
      </c>
      <c r="K367" s="490">
        <v>611</v>
      </c>
      <c r="L367" s="490">
        <v>583</v>
      </c>
      <c r="M367" s="352" t="s">
        <v>27</v>
      </c>
    </row>
    <row r="368" spans="1:13" x14ac:dyDescent="0.35">
      <c r="A368" s="352">
        <v>367</v>
      </c>
      <c r="B368" s="489" t="s">
        <v>1243</v>
      </c>
      <c r="C368" s="490">
        <v>1830</v>
      </c>
      <c r="D368" s="490">
        <v>489</v>
      </c>
      <c r="E368" s="490">
        <v>452</v>
      </c>
      <c r="F368" s="490">
        <v>1981</v>
      </c>
      <c r="G368" s="491"/>
      <c r="H368" s="491"/>
      <c r="I368" s="491"/>
      <c r="J368" s="490">
        <v>718</v>
      </c>
      <c r="K368" s="490">
        <v>925</v>
      </c>
      <c r="L368" s="490">
        <v>187</v>
      </c>
      <c r="M368" s="352" t="s">
        <v>27</v>
      </c>
    </row>
    <row r="369" spans="1:13" x14ac:dyDescent="0.35">
      <c r="A369" s="352">
        <v>368</v>
      </c>
      <c r="B369" s="489" t="s">
        <v>1248</v>
      </c>
      <c r="C369" s="490">
        <v>683</v>
      </c>
      <c r="D369" s="490">
        <v>388</v>
      </c>
      <c r="E369" s="490">
        <v>146</v>
      </c>
      <c r="F369" s="490">
        <v>941</v>
      </c>
      <c r="G369" s="490"/>
      <c r="H369" s="490"/>
      <c r="I369" s="490"/>
      <c r="J369" s="490"/>
      <c r="K369" s="490"/>
      <c r="L369" s="490"/>
      <c r="M369" s="352" t="s">
        <v>27</v>
      </c>
    </row>
    <row r="370" spans="1:13" x14ac:dyDescent="0.35">
      <c r="A370" s="352">
        <v>369</v>
      </c>
      <c r="B370" s="489" t="s">
        <v>1238</v>
      </c>
      <c r="C370" s="490">
        <v>682</v>
      </c>
      <c r="D370" s="490">
        <v>815</v>
      </c>
      <c r="E370" s="490">
        <v>330</v>
      </c>
      <c r="F370" s="490">
        <v>673</v>
      </c>
      <c r="G370" s="491"/>
      <c r="H370" s="491"/>
      <c r="I370" s="491"/>
      <c r="J370" s="490">
        <v>245</v>
      </c>
      <c r="K370" s="490">
        <v>405</v>
      </c>
      <c r="L370" s="490">
        <v>32</v>
      </c>
      <c r="M370" s="352" t="s">
        <v>27</v>
      </c>
    </row>
    <row r="371" spans="1:13" x14ac:dyDescent="0.35">
      <c r="A371" s="352">
        <v>370</v>
      </c>
      <c r="B371" s="489" t="s">
        <v>1242</v>
      </c>
      <c r="C371" s="490">
        <v>420</v>
      </c>
      <c r="D371" s="490">
        <v>186</v>
      </c>
      <c r="E371" s="490">
        <v>20</v>
      </c>
      <c r="F371" s="490">
        <v>453</v>
      </c>
      <c r="G371" s="491"/>
      <c r="H371" s="491"/>
      <c r="I371" s="491"/>
      <c r="J371" s="490">
        <v>69</v>
      </c>
      <c r="K371" s="490">
        <v>109</v>
      </c>
      <c r="L371" s="490">
        <v>242</v>
      </c>
      <c r="M371" s="352" t="s">
        <v>27</v>
      </c>
    </row>
    <row r="372" spans="1:13" x14ac:dyDescent="0.35">
      <c r="A372" s="352">
        <v>371</v>
      </c>
      <c r="B372" s="489" t="s">
        <v>1239</v>
      </c>
      <c r="C372" s="490">
        <v>68</v>
      </c>
      <c r="D372" s="491"/>
      <c r="E372" s="491"/>
      <c r="F372" s="490">
        <v>24</v>
      </c>
      <c r="G372" s="491"/>
      <c r="H372" s="491"/>
      <c r="I372" s="491"/>
      <c r="J372" s="491"/>
      <c r="K372" s="490">
        <v>48</v>
      </c>
      <c r="L372" s="490">
        <v>20</v>
      </c>
      <c r="M372" s="352" t="s">
        <v>27</v>
      </c>
    </row>
    <row r="373" spans="1:13" x14ac:dyDescent="0.35">
      <c r="A373" s="352">
        <v>372</v>
      </c>
      <c r="B373" s="489" t="s">
        <v>1235</v>
      </c>
      <c r="C373" s="490">
        <v>47</v>
      </c>
      <c r="D373" s="490">
        <v>800</v>
      </c>
      <c r="E373" s="490">
        <v>11</v>
      </c>
      <c r="F373" s="490">
        <v>103</v>
      </c>
      <c r="G373" s="491"/>
      <c r="H373" s="491"/>
      <c r="I373" s="491"/>
      <c r="J373" s="491"/>
      <c r="K373" s="490">
        <v>14</v>
      </c>
      <c r="L373" s="490">
        <v>33</v>
      </c>
      <c r="M373" s="352" t="s">
        <v>27</v>
      </c>
    </row>
    <row r="374" spans="1:13" x14ac:dyDescent="0.35">
      <c r="A374" s="352">
        <v>373</v>
      </c>
      <c r="B374" s="489" t="s">
        <v>1246</v>
      </c>
      <c r="C374" s="490">
        <v>34</v>
      </c>
      <c r="D374" s="491"/>
      <c r="E374" s="491"/>
      <c r="F374" s="490">
        <v>12</v>
      </c>
      <c r="G374" s="491"/>
      <c r="H374" s="491"/>
      <c r="I374" s="491"/>
      <c r="J374" s="490">
        <v>12</v>
      </c>
      <c r="K374" s="490">
        <v>6</v>
      </c>
      <c r="L374" s="490">
        <v>16</v>
      </c>
      <c r="M374" s="352" t="s">
        <v>27</v>
      </c>
    </row>
    <row r="375" spans="1:13" x14ac:dyDescent="0.35">
      <c r="A375" s="352">
        <v>374</v>
      </c>
      <c r="B375" s="489" t="s">
        <v>1236</v>
      </c>
      <c r="C375" s="491"/>
      <c r="D375" s="491"/>
      <c r="E375" s="491"/>
      <c r="F375" s="491"/>
      <c r="G375" s="491"/>
      <c r="H375" s="491"/>
      <c r="I375" s="491"/>
      <c r="J375" s="491"/>
      <c r="K375" s="491"/>
      <c r="L375" s="491"/>
      <c r="M375" s="352" t="s">
        <v>27</v>
      </c>
    </row>
    <row r="376" spans="1:13" x14ac:dyDescent="0.35">
      <c r="A376" s="352">
        <v>375</v>
      </c>
      <c r="B376" s="489" t="s">
        <v>1237</v>
      </c>
      <c r="C376" s="491"/>
      <c r="D376" s="491"/>
      <c r="E376" s="491"/>
      <c r="F376" s="491"/>
      <c r="G376" s="491"/>
      <c r="H376" s="491"/>
      <c r="I376" s="491"/>
      <c r="J376" s="491"/>
      <c r="K376" s="491"/>
      <c r="L376" s="491"/>
      <c r="M376" s="352" t="s">
        <v>27</v>
      </c>
    </row>
    <row r="377" spans="1:13" x14ac:dyDescent="0.35">
      <c r="A377" s="352">
        <v>376</v>
      </c>
      <c r="B377" s="489" t="s">
        <v>1241</v>
      </c>
      <c r="C377" s="491"/>
      <c r="D377" s="491"/>
      <c r="E377" s="491"/>
      <c r="F377" s="491"/>
      <c r="G377" s="491"/>
      <c r="H377" s="491"/>
      <c r="I377" s="491"/>
      <c r="J377" s="491"/>
      <c r="K377" s="491"/>
      <c r="L377" s="491"/>
      <c r="M377" s="352" t="s">
        <v>27</v>
      </c>
    </row>
    <row r="378" spans="1:13" x14ac:dyDescent="0.35">
      <c r="A378" s="352">
        <v>377</v>
      </c>
      <c r="B378" s="489" t="s">
        <v>1245</v>
      </c>
      <c r="C378" s="491"/>
      <c r="D378" s="491"/>
      <c r="E378" s="491"/>
      <c r="F378" s="491"/>
      <c r="G378" s="491"/>
      <c r="H378" s="491"/>
      <c r="I378" s="491"/>
      <c r="J378" s="491"/>
      <c r="K378" s="491"/>
      <c r="L378" s="491"/>
      <c r="M378" s="352" t="s">
        <v>27</v>
      </c>
    </row>
    <row r="379" spans="1:13" x14ac:dyDescent="0.35">
      <c r="A379" s="352">
        <v>378</v>
      </c>
      <c r="B379" s="489" t="s">
        <v>1247</v>
      </c>
      <c r="C379" s="491"/>
      <c r="D379" s="491"/>
      <c r="E379" s="491"/>
      <c r="F379" s="491"/>
      <c r="G379" s="491"/>
      <c r="H379" s="491"/>
      <c r="I379" s="491"/>
      <c r="J379" s="491"/>
      <c r="K379" s="491"/>
      <c r="L379" s="491"/>
      <c r="M379" s="352" t="s">
        <v>27</v>
      </c>
    </row>
    <row r="380" spans="1:13" x14ac:dyDescent="0.35">
      <c r="A380" s="352">
        <v>379</v>
      </c>
      <c r="B380" s="486" t="s">
        <v>1249</v>
      </c>
      <c r="C380" s="487">
        <v>4047</v>
      </c>
      <c r="D380" s="487">
        <v>592</v>
      </c>
      <c r="E380" s="487">
        <v>462</v>
      </c>
      <c r="F380" s="487">
        <v>3343</v>
      </c>
      <c r="G380" s="488"/>
      <c r="H380" s="488"/>
      <c r="I380" s="488"/>
      <c r="J380" s="487">
        <v>3042</v>
      </c>
      <c r="K380" s="487">
        <v>781</v>
      </c>
      <c r="L380" s="487">
        <v>224</v>
      </c>
      <c r="M380" s="352" t="s">
        <v>28</v>
      </c>
    </row>
    <row r="381" spans="1:13" x14ac:dyDescent="0.35">
      <c r="A381" s="352">
        <v>380</v>
      </c>
      <c r="B381" s="486" t="s">
        <v>1251</v>
      </c>
      <c r="C381" s="487">
        <v>4864</v>
      </c>
      <c r="D381" s="487">
        <v>1098</v>
      </c>
      <c r="E381" s="487">
        <v>3351</v>
      </c>
      <c r="F381" s="487">
        <v>5021</v>
      </c>
      <c r="G381" s="488"/>
      <c r="H381" s="488"/>
      <c r="I381" s="488"/>
      <c r="J381" s="487">
        <v>934</v>
      </c>
      <c r="K381" s="487">
        <v>3053</v>
      </c>
      <c r="L381" s="487">
        <v>877</v>
      </c>
      <c r="M381" s="352" t="s">
        <v>28</v>
      </c>
    </row>
    <row r="382" spans="1:13" x14ac:dyDescent="0.35">
      <c r="A382" s="352">
        <v>381</v>
      </c>
      <c r="B382" s="486" t="s">
        <v>1252</v>
      </c>
      <c r="C382" s="487">
        <v>2439</v>
      </c>
      <c r="D382" s="487">
        <v>241</v>
      </c>
      <c r="E382" s="487">
        <v>183</v>
      </c>
      <c r="F382" s="487">
        <v>3517</v>
      </c>
      <c r="G382" s="488"/>
      <c r="H382" s="488"/>
      <c r="I382" s="488"/>
      <c r="J382" s="487">
        <v>1366</v>
      </c>
      <c r="K382" s="487">
        <v>758</v>
      </c>
      <c r="L382" s="487">
        <v>315</v>
      </c>
      <c r="M382" s="352" t="s">
        <v>28</v>
      </c>
    </row>
    <row r="383" spans="1:13" x14ac:dyDescent="0.35">
      <c r="A383" s="352">
        <v>382</v>
      </c>
      <c r="B383" s="486" t="s">
        <v>1253</v>
      </c>
      <c r="C383" s="487">
        <v>1345</v>
      </c>
      <c r="D383" s="487">
        <v>324</v>
      </c>
      <c r="E383" s="487">
        <v>112</v>
      </c>
      <c r="F383" s="487">
        <v>1139</v>
      </c>
      <c r="G383" s="488"/>
      <c r="H383" s="488"/>
      <c r="I383" s="488"/>
      <c r="J383" s="487">
        <v>582</v>
      </c>
      <c r="K383" s="487">
        <v>345</v>
      </c>
      <c r="L383" s="487">
        <v>419</v>
      </c>
      <c r="M383" s="352" t="s">
        <v>28</v>
      </c>
    </row>
    <row r="384" spans="1:13" x14ac:dyDescent="0.35">
      <c r="A384" s="352">
        <v>383</v>
      </c>
      <c r="B384" s="486" t="s">
        <v>1250</v>
      </c>
      <c r="C384" s="487">
        <v>170</v>
      </c>
      <c r="D384" s="487">
        <v>549</v>
      </c>
      <c r="E384" s="487">
        <v>320</v>
      </c>
      <c r="F384" s="487">
        <v>1874</v>
      </c>
      <c r="G384" s="488"/>
      <c r="H384" s="488"/>
      <c r="I384" s="488"/>
      <c r="J384" s="487">
        <v>652</v>
      </c>
      <c r="K384" s="487">
        <v>583</v>
      </c>
      <c r="L384" s="487">
        <v>465</v>
      </c>
      <c r="M384" s="352" t="s">
        <v>28</v>
      </c>
    </row>
    <row r="385" spans="1:13" x14ac:dyDescent="0.35">
      <c r="A385" s="352">
        <v>384</v>
      </c>
      <c r="B385" s="520" t="s">
        <v>1254</v>
      </c>
      <c r="C385" s="521"/>
      <c r="D385" s="521"/>
      <c r="E385" s="521"/>
      <c r="F385" s="521"/>
      <c r="G385" s="521"/>
      <c r="H385" s="521"/>
      <c r="I385" s="521"/>
      <c r="J385" s="521"/>
      <c r="K385" s="521"/>
      <c r="L385" s="521"/>
      <c r="M385" s="352" t="s">
        <v>28</v>
      </c>
    </row>
    <row r="386" spans="1:13" x14ac:dyDescent="0.35">
      <c r="A386" s="352">
        <v>385</v>
      </c>
      <c r="B386" s="470" t="s">
        <v>1255</v>
      </c>
      <c r="C386" s="471">
        <v>6530</v>
      </c>
      <c r="D386" s="471">
        <v>93</v>
      </c>
      <c r="E386" s="471">
        <v>278</v>
      </c>
      <c r="F386" s="471">
        <v>4366</v>
      </c>
      <c r="G386" s="472"/>
      <c r="H386" s="472"/>
      <c r="I386" s="472"/>
      <c r="J386" s="471">
        <v>1220</v>
      </c>
      <c r="K386" s="471">
        <v>2995</v>
      </c>
      <c r="L386" s="471">
        <v>2315</v>
      </c>
      <c r="M386" s="352" t="s">
        <v>29</v>
      </c>
    </row>
    <row r="387" spans="1:13" x14ac:dyDescent="0.35">
      <c r="A387" s="352">
        <v>386</v>
      </c>
      <c r="B387" s="470" t="s">
        <v>1261</v>
      </c>
      <c r="C387" s="471">
        <v>67440</v>
      </c>
      <c r="D387" s="471">
        <v>610</v>
      </c>
      <c r="E387" s="471">
        <v>25319</v>
      </c>
      <c r="F387" s="471">
        <v>37640</v>
      </c>
      <c r="G387" s="472"/>
      <c r="H387" s="472"/>
      <c r="I387" s="472"/>
      <c r="J387" s="471">
        <v>9167</v>
      </c>
      <c r="K387" s="471">
        <v>41482</v>
      </c>
      <c r="L387" s="471">
        <v>16791</v>
      </c>
      <c r="M387" s="352" t="s">
        <v>29</v>
      </c>
    </row>
    <row r="388" spans="1:13" x14ac:dyDescent="0.35">
      <c r="A388" s="352">
        <v>387</v>
      </c>
      <c r="B388" s="470" t="s">
        <v>1256</v>
      </c>
      <c r="C388" s="471">
        <v>45928</v>
      </c>
      <c r="D388" s="471">
        <v>628</v>
      </c>
      <c r="E388" s="471">
        <v>15517</v>
      </c>
      <c r="F388" s="471">
        <v>19490</v>
      </c>
      <c r="G388" s="472"/>
      <c r="H388" s="472"/>
      <c r="I388" s="472"/>
      <c r="J388" s="471">
        <v>7375</v>
      </c>
      <c r="K388" s="471">
        <v>24726</v>
      </c>
      <c r="L388" s="471">
        <v>13827</v>
      </c>
      <c r="M388" s="352" t="s">
        <v>29</v>
      </c>
    </row>
    <row r="389" spans="1:13" x14ac:dyDescent="0.35">
      <c r="A389" s="352">
        <v>388</v>
      </c>
      <c r="B389" s="470" t="s">
        <v>1258</v>
      </c>
      <c r="C389" s="471">
        <v>38839</v>
      </c>
      <c r="D389" s="471">
        <v>813</v>
      </c>
      <c r="E389" s="471">
        <v>23740</v>
      </c>
      <c r="F389" s="471">
        <v>37184</v>
      </c>
      <c r="G389" s="472"/>
      <c r="H389" s="472"/>
      <c r="I389" s="472"/>
      <c r="J389" s="471">
        <v>6032</v>
      </c>
      <c r="K389" s="471">
        <v>29217</v>
      </c>
      <c r="L389" s="471">
        <v>3590</v>
      </c>
      <c r="M389" s="352" t="s">
        <v>29</v>
      </c>
    </row>
    <row r="390" spans="1:13" x14ac:dyDescent="0.35">
      <c r="A390" s="352">
        <v>389</v>
      </c>
      <c r="B390" s="470" t="s">
        <v>1259</v>
      </c>
      <c r="C390" s="471">
        <v>30595</v>
      </c>
      <c r="D390" s="471">
        <v>718</v>
      </c>
      <c r="E390" s="471">
        <v>17880</v>
      </c>
      <c r="F390" s="471">
        <v>23929</v>
      </c>
      <c r="G390" s="472"/>
      <c r="H390" s="472"/>
      <c r="I390" s="472"/>
      <c r="J390" s="471">
        <v>1578</v>
      </c>
      <c r="K390" s="471">
        <v>24901</v>
      </c>
      <c r="L390" s="471">
        <v>4116</v>
      </c>
      <c r="M390" s="352" t="s">
        <v>29</v>
      </c>
    </row>
    <row r="391" spans="1:13" x14ac:dyDescent="0.35">
      <c r="A391" s="352">
        <v>390</v>
      </c>
      <c r="B391" s="470" t="s">
        <v>1262</v>
      </c>
      <c r="C391" s="471">
        <v>27885</v>
      </c>
      <c r="D391" s="471">
        <v>986</v>
      </c>
      <c r="E391" s="471">
        <v>19366</v>
      </c>
      <c r="F391" s="471">
        <v>11483</v>
      </c>
      <c r="G391" s="472"/>
      <c r="H391" s="472"/>
      <c r="I391" s="472"/>
      <c r="J391" s="471">
        <v>6161</v>
      </c>
      <c r="K391" s="471">
        <v>19650</v>
      </c>
      <c r="L391" s="471">
        <v>2074</v>
      </c>
      <c r="M391" s="352" t="s">
        <v>29</v>
      </c>
    </row>
    <row r="392" spans="1:13" x14ac:dyDescent="0.35">
      <c r="A392" s="352">
        <v>391</v>
      </c>
      <c r="B392" s="470" t="s">
        <v>1331</v>
      </c>
      <c r="C392" s="471">
        <v>21154</v>
      </c>
      <c r="D392" s="471">
        <v>587</v>
      </c>
      <c r="E392" s="471">
        <v>8887</v>
      </c>
      <c r="F392" s="471">
        <v>15021</v>
      </c>
      <c r="G392" s="472"/>
      <c r="H392" s="472"/>
      <c r="I392" s="472"/>
      <c r="J392" s="471">
        <v>144</v>
      </c>
      <c r="K392" s="471">
        <v>15150</v>
      </c>
      <c r="L392" s="471">
        <v>5860</v>
      </c>
      <c r="M392" s="352" t="s">
        <v>29</v>
      </c>
    </row>
    <row r="393" spans="1:13" x14ac:dyDescent="0.35">
      <c r="A393" s="352">
        <v>392</v>
      </c>
      <c r="B393" s="470" t="s">
        <v>1264</v>
      </c>
      <c r="C393" s="471">
        <v>14549</v>
      </c>
      <c r="D393" s="471">
        <v>537</v>
      </c>
      <c r="E393" s="471">
        <v>5711</v>
      </c>
      <c r="F393" s="471">
        <v>7217</v>
      </c>
      <c r="G393" s="472"/>
      <c r="H393" s="472"/>
      <c r="I393" s="472"/>
      <c r="J393" s="471">
        <v>1204</v>
      </c>
      <c r="K393" s="471">
        <v>10626</v>
      </c>
      <c r="L393" s="471">
        <v>2720</v>
      </c>
      <c r="M393" s="352" t="s">
        <v>29</v>
      </c>
    </row>
    <row r="394" spans="1:13" x14ac:dyDescent="0.35">
      <c r="A394" s="352">
        <v>393</v>
      </c>
      <c r="B394" s="470" t="s">
        <v>1332</v>
      </c>
      <c r="C394" s="471">
        <v>11981</v>
      </c>
      <c r="D394" s="471">
        <v>662</v>
      </c>
      <c r="E394" s="471">
        <v>520</v>
      </c>
      <c r="F394" s="471">
        <v>6366</v>
      </c>
      <c r="G394" s="472"/>
      <c r="H394" s="472"/>
      <c r="I394" s="472"/>
      <c r="J394" s="471">
        <v>2889</v>
      </c>
      <c r="K394" s="471">
        <v>7850</v>
      </c>
      <c r="L394" s="471">
        <v>1242</v>
      </c>
      <c r="M394" s="352" t="s">
        <v>29</v>
      </c>
    </row>
    <row r="395" spans="1:13" x14ac:dyDescent="0.35">
      <c r="A395" s="352">
        <v>394</v>
      </c>
      <c r="B395" s="470" t="s">
        <v>1260</v>
      </c>
      <c r="C395" s="471">
        <v>7631</v>
      </c>
      <c r="D395" s="471">
        <v>835</v>
      </c>
      <c r="E395" s="471">
        <v>3681</v>
      </c>
      <c r="F395" s="471">
        <v>6780</v>
      </c>
      <c r="G395" s="472"/>
      <c r="H395" s="472"/>
      <c r="I395" s="472"/>
      <c r="J395" s="471">
        <v>2135</v>
      </c>
      <c r="K395" s="471">
        <v>4408</v>
      </c>
      <c r="L395" s="471">
        <v>1088</v>
      </c>
      <c r="M395" s="352" t="s">
        <v>29</v>
      </c>
    </row>
    <row r="396" spans="1:13" x14ac:dyDescent="0.35">
      <c r="A396" s="352">
        <v>395</v>
      </c>
      <c r="B396" s="470" t="s">
        <v>1257</v>
      </c>
      <c r="C396" s="471">
        <v>5781</v>
      </c>
      <c r="D396" s="471">
        <v>522</v>
      </c>
      <c r="E396" s="471">
        <v>2420</v>
      </c>
      <c r="F396" s="471">
        <v>5004</v>
      </c>
      <c r="G396" s="472"/>
      <c r="H396" s="472"/>
      <c r="I396" s="472"/>
      <c r="J396" s="471">
        <v>867</v>
      </c>
      <c r="K396" s="471">
        <v>4635</v>
      </c>
      <c r="L396" s="471">
        <v>279</v>
      </c>
      <c r="M396" s="352" t="s">
        <v>29</v>
      </c>
    </row>
    <row r="397" spans="1:13" x14ac:dyDescent="0.35">
      <c r="A397" s="352">
        <v>396</v>
      </c>
      <c r="B397" s="470" t="s">
        <v>1263</v>
      </c>
      <c r="C397" s="471">
        <v>757</v>
      </c>
      <c r="D397" s="471">
        <v>193</v>
      </c>
      <c r="E397" s="471">
        <v>103</v>
      </c>
      <c r="F397" s="471">
        <v>688</v>
      </c>
      <c r="G397" s="472"/>
      <c r="H397" s="472"/>
      <c r="I397" s="472"/>
      <c r="J397" s="471">
        <v>139</v>
      </c>
      <c r="K397" s="471">
        <v>536</v>
      </c>
      <c r="L397" s="471">
        <v>82</v>
      </c>
      <c r="M397" s="352" t="s">
        <v>29</v>
      </c>
    </row>
    <row r="398" spans="1:13" x14ac:dyDescent="0.35">
      <c r="A398" s="352">
        <v>397</v>
      </c>
      <c r="B398" s="522" t="s">
        <v>1265</v>
      </c>
      <c r="C398" s="523">
        <v>227</v>
      </c>
      <c r="D398" s="523">
        <v>608</v>
      </c>
      <c r="E398" s="523">
        <v>52</v>
      </c>
      <c r="F398" s="523">
        <v>169</v>
      </c>
      <c r="G398" s="524"/>
      <c r="H398" s="524"/>
      <c r="I398" s="524"/>
      <c r="J398" s="523">
        <v>45</v>
      </c>
      <c r="K398" s="523">
        <v>86</v>
      </c>
      <c r="L398" s="523">
        <v>96</v>
      </c>
      <c r="M398" s="352" t="s">
        <v>29</v>
      </c>
    </row>
    <row r="399" spans="1:13" x14ac:dyDescent="0.35">
      <c r="A399" s="352">
        <v>398</v>
      </c>
      <c r="B399" s="498" t="s">
        <v>1266</v>
      </c>
      <c r="C399" s="499">
        <v>591</v>
      </c>
      <c r="D399" s="499">
        <v>355</v>
      </c>
      <c r="E399" s="499">
        <v>165</v>
      </c>
      <c r="F399" s="499">
        <v>1283</v>
      </c>
      <c r="G399" s="500"/>
      <c r="H399" s="500"/>
      <c r="I399" s="500"/>
      <c r="J399" s="499">
        <v>25</v>
      </c>
      <c r="K399" s="499">
        <v>465</v>
      </c>
      <c r="L399" s="499">
        <v>101</v>
      </c>
      <c r="M399" s="352" t="s">
        <v>30</v>
      </c>
    </row>
    <row r="400" spans="1:13" x14ac:dyDescent="0.35">
      <c r="A400" s="352">
        <v>399</v>
      </c>
      <c r="B400" s="498" t="s">
        <v>1284</v>
      </c>
      <c r="C400" s="499">
        <v>40508</v>
      </c>
      <c r="D400" s="499">
        <v>1005</v>
      </c>
      <c r="E400" s="499">
        <v>28103</v>
      </c>
      <c r="F400" s="499">
        <v>29179</v>
      </c>
      <c r="G400" s="500"/>
      <c r="H400" s="500"/>
      <c r="I400" s="500"/>
      <c r="J400" s="499">
        <v>8312</v>
      </c>
      <c r="K400" s="499">
        <v>27954</v>
      </c>
      <c r="L400" s="499">
        <v>4242</v>
      </c>
      <c r="M400" s="352" t="s">
        <v>30</v>
      </c>
    </row>
    <row r="401" spans="1:13" x14ac:dyDescent="0.35">
      <c r="A401" s="352">
        <v>400</v>
      </c>
      <c r="B401" s="498" t="s">
        <v>1282</v>
      </c>
      <c r="C401" s="499">
        <v>33897</v>
      </c>
      <c r="D401" s="499">
        <v>922</v>
      </c>
      <c r="E401" s="499">
        <v>23701</v>
      </c>
      <c r="F401" s="499">
        <v>27796</v>
      </c>
      <c r="G401" s="500"/>
      <c r="H401" s="500"/>
      <c r="I401" s="500"/>
      <c r="J401" s="499">
        <v>2645</v>
      </c>
      <c r="K401" s="499">
        <v>25713</v>
      </c>
      <c r="L401" s="499">
        <v>5539</v>
      </c>
      <c r="M401" s="352" t="s">
        <v>30</v>
      </c>
    </row>
    <row r="402" spans="1:13" x14ac:dyDescent="0.35">
      <c r="A402" s="352">
        <v>401</v>
      </c>
      <c r="B402" s="498" t="s">
        <v>1280</v>
      </c>
      <c r="C402" s="499">
        <v>19585</v>
      </c>
      <c r="D402" s="499">
        <v>871</v>
      </c>
      <c r="E402" s="499">
        <v>11067</v>
      </c>
      <c r="F402" s="499">
        <v>2120</v>
      </c>
      <c r="G402" s="500"/>
      <c r="H402" s="500"/>
      <c r="I402" s="500"/>
      <c r="J402" s="499">
        <v>1267</v>
      </c>
      <c r="K402" s="499">
        <v>12704</v>
      </c>
      <c r="L402" s="499">
        <v>5614</v>
      </c>
      <c r="M402" s="352" t="s">
        <v>30</v>
      </c>
    </row>
    <row r="403" spans="1:13" x14ac:dyDescent="0.35">
      <c r="A403" s="352">
        <v>402</v>
      </c>
      <c r="B403" s="498" t="s">
        <v>1276</v>
      </c>
      <c r="C403" s="499">
        <v>18280</v>
      </c>
      <c r="D403" s="499">
        <v>573</v>
      </c>
      <c r="E403" s="499">
        <v>8606</v>
      </c>
      <c r="F403" s="499">
        <v>26915</v>
      </c>
      <c r="G403" s="500"/>
      <c r="H403" s="500"/>
      <c r="I403" s="500"/>
      <c r="J403" s="499">
        <v>1856</v>
      </c>
      <c r="K403" s="499">
        <v>15020</v>
      </c>
      <c r="L403" s="499">
        <v>1404</v>
      </c>
      <c r="M403" s="352" t="s">
        <v>30</v>
      </c>
    </row>
    <row r="404" spans="1:13" x14ac:dyDescent="0.35">
      <c r="A404" s="352">
        <v>403</v>
      </c>
      <c r="B404" s="498" t="s">
        <v>1278</v>
      </c>
      <c r="C404" s="499">
        <v>15134</v>
      </c>
      <c r="D404" s="499">
        <v>762</v>
      </c>
      <c r="E404" s="499">
        <v>1050</v>
      </c>
      <c r="F404" s="499">
        <v>23658</v>
      </c>
      <c r="G404" s="500"/>
      <c r="H404" s="500"/>
      <c r="I404" s="500"/>
      <c r="J404" s="499">
        <v>324</v>
      </c>
      <c r="K404" s="499">
        <v>13774</v>
      </c>
      <c r="L404" s="499">
        <v>1036</v>
      </c>
      <c r="M404" s="352" t="s">
        <v>30</v>
      </c>
    </row>
    <row r="405" spans="1:13" x14ac:dyDescent="0.35">
      <c r="A405" s="352">
        <v>404</v>
      </c>
      <c r="B405" s="498" t="s">
        <v>1285</v>
      </c>
      <c r="C405" s="499">
        <v>13792</v>
      </c>
      <c r="D405" s="499">
        <v>1005</v>
      </c>
      <c r="E405" s="499">
        <v>6055</v>
      </c>
      <c r="F405" s="499">
        <v>9660</v>
      </c>
      <c r="G405" s="500"/>
      <c r="H405" s="500"/>
      <c r="I405" s="500"/>
      <c r="J405" s="499">
        <v>2295</v>
      </c>
      <c r="K405" s="499">
        <v>6024</v>
      </c>
      <c r="L405" s="499">
        <v>5473</v>
      </c>
      <c r="M405" s="352" t="s">
        <v>30</v>
      </c>
    </row>
    <row r="406" spans="1:13" x14ac:dyDescent="0.35">
      <c r="A406" s="352">
        <v>405</v>
      </c>
      <c r="B406" s="498" t="s">
        <v>1277</v>
      </c>
      <c r="C406" s="499">
        <v>13552</v>
      </c>
      <c r="D406" s="499">
        <v>510</v>
      </c>
      <c r="E406" s="499">
        <v>4625</v>
      </c>
      <c r="F406" s="499">
        <v>20818</v>
      </c>
      <c r="G406" s="500"/>
      <c r="H406" s="500"/>
      <c r="I406" s="500"/>
      <c r="J406" s="499">
        <v>1669</v>
      </c>
      <c r="K406" s="499">
        <v>9063</v>
      </c>
      <c r="L406" s="499">
        <v>2820</v>
      </c>
      <c r="M406" s="352" t="s">
        <v>30</v>
      </c>
    </row>
    <row r="407" spans="1:13" x14ac:dyDescent="0.35">
      <c r="A407" s="352">
        <v>406</v>
      </c>
      <c r="B407" s="498" t="s">
        <v>1267</v>
      </c>
      <c r="C407" s="499">
        <v>7643</v>
      </c>
      <c r="D407" s="499">
        <v>825</v>
      </c>
      <c r="E407" s="499">
        <v>4313</v>
      </c>
      <c r="F407" s="499">
        <v>10956</v>
      </c>
      <c r="G407" s="500"/>
      <c r="H407" s="500"/>
      <c r="I407" s="500"/>
      <c r="J407" s="499">
        <v>1917</v>
      </c>
      <c r="K407" s="499">
        <v>5225</v>
      </c>
      <c r="L407" s="499">
        <v>501</v>
      </c>
      <c r="M407" s="352" t="s">
        <v>30</v>
      </c>
    </row>
    <row r="408" spans="1:13" x14ac:dyDescent="0.35">
      <c r="A408" s="352">
        <v>407</v>
      </c>
      <c r="B408" s="498" t="s">
        <v>1279</v>
      </c>
      <c r="C408" s="499">
        <v>7345</v>
      </c>
      <c r="D408" s="499">
        <v>811</v>
      </c>
      <c r="E408" s="499">
        <v>4948</v>
      </c>
      <c r="F408" s="499">
        <v>5524</v>
      </c>
      <c r="G408" s="500"/>
      <c r="H408" s="500"/>
      <c r="I408" s="500"/>
      <c r="J408" s="499">
        <v>391</v>
      </c>
      <c r="K408" s="499">
        <v>6099</v>
      </c>
      <c r="L408" s="499">
        <v>855</v>
      </c>
      <c r="M408" s="352" t="s">
        <v>30</v>
      </c>
    </row>
    <row r="409" spans="1:13" x14ac:dyDescent="0.35">
      <c r="A409" s="352">
        <v>408</v>
      </c>
      <c r="B409" s="498" t="s">
        <v>1281</v>
      </c>
      <c r="C409" s="499">
        <v>6509</v>
      </c>
      <c r="D409" s="499">
        <v>616</v>
      </c>
      <c r="E409" s="499">
        <v>2124</v>
      </c>
      <c r="F409" s="499">
        <v>5730</v>
      </c>
      <c r="G409" s="500"/>
      <c r="H409" s="500"/>
      <c r="I409" s="500"/>
      <c r="J409" s="499">
        <v>66</v>
      </c>
      <c r="K409" s="499">
        <v>3449</v>
      </c>
      <c r="L409" s="499">
        <v>2994</v>
      </c>
      <c r="M409" s="352" t="s">
        <v>30</v>
      </c>
    </row>
    <row r="410" spans="1:13" x14ac:dyDescent="0.35">
      <c r="A410" s="352">
        <v>409</v>
      </c>
      <c r="B410" s="498" t="s">
        <v>1268</v>
      </c>
      <c r="C410" s="499">
        <v>5404</v>
      </c>
      <c r="D410" s="499">
        <v>712</v>
      </c>
      <c r="E410" s="499">
        <v>3371</v>
      </c>
      <c r="F410" s="499">
        <v>6432</v>
      </c>
      <c r="G410" s="500"/>
      <c r="H410" s="500"/>
      <c r="I410" s="500"/>
      <c r="J410" s="499">
        <v>627</v>
      </c>
      <c r="K410" s="499">
        <v>4736</v>
      </c>
      <c r="L410" s="499">
        <v>41</v>
      </c>
      <c r="M410" s="352" t="s">
        <v>30</v>
      </c>
    </row>
    <row r="411" spans="1:13" x14ac:dyDescent="0.35">
      <c r="A411" s="352">
        <v>410</v>
      </c>
      <c r="B411" s="498" t="s">
        <v>1272</v>
      </c>
      <c r="C411" s="499">
        <v>4315</v>
      </c>
      <c r="D411" s="499">
        <v>88</v>
      </c>
      <c r="E411" s="499">
        <v>270</v>
      </c>
      <c r="F411" s="499">
        <v>10064</v>
      </c>
      <c r="G411" s="500"/>
      <c r="H411" s="500"/>
      <c r="I411" s="500"/>
      <c r="J411" s="499">
        <v>555</v>
      </c>
      <c r="K411" s="499">
        <v>3076</v>
      </c>
      <c r="L411" s="499">
        <v>684</v>
      </c>
      <c r="M411" s="352" t="s">
        <v>30</v>
      </c>
    </row>
    <row r="412" spans="1:13" x14ac:dyDescent="0.35">
      <c r="A412" s="352">
        <v>411</v>
      </c>
      <c r="B412" s="498" t="s">
        <v>1283</v>
      </c>
      <c r="C412" s="499">
        <v>4126</v>
      </c>
      <c r="D412" s="499">
        <v>511</v>
      </c>
      <c r="E412" s="499">
        <v>1304</v>
      </c>
      <c r="F412" s="499">
        <v>14074</v>
      </c>
      <c r="G412" s="500"/>
      <c r="H412" s="500"/>
      <c r="I412" s="500"/>
      <c r="J412" s="499">
        <v>468</v>
      </c>
      <c r="K412" s="499">
        <v>2554</v>
      </c>
      <c r="L412" s="499">
        <v>1104</v>
      </c>
      <c r="M412" s="352" t="s">
        <v>30</v>
      </c>
    </row>
    <row r="413" spans="1:13" x14ac:dyDescent="0.35">
      <c r="A413" s="352">
        <v>412</v>
      </c>
      <c r="B413" s="498" t="s">
        <v>1271</v>
      </c>
      <c r="C413" s="499">
        <v>3510</v>
      </c>
      <c r="D413" s="499">
        <v>667</v>
      </c>
      <c r="E413" s="499">
        <v>1541</v>
      </c>
      <c r="F413" s="499">
        <v>7044</v>
      </c>
      <c r="G413" s="500"/>
      <c r="H413" s="500"/>
      <c r="I413" s="500"/>
      <c r="J413" s="499">
        <v>116</v>
      </c>
      <c r="K413" s="499">
        <v>2310</v>
      </c>
      <c r="L413" s="499">
        <v>1084</v>
      </c>
      <c r="M413" s="352" t="s">
        <v>30</v>
      </c>
    </row>
    <row r="414" spans="1:13" x14ac:dyDescent="0.35">
      <c r="A414" s="352">
        <v>413</v>
      </c>
      <c r="B414" s="498" t="s">
        <v>1289</v>
      </c>
      <c r="C414" s="499">
        <v>2604</v>
      </c>
      <c r="D414" s="499">
        <v>704</v>
      </c>
      <c r="E414" s="499">
        <v>1297</v>
      </c>
      <c r="F414" s="499">
        <v>2258</v>
      </c>
      <c r="G414" s="500"/>
      <c r="H414" s="500"/>
      <c r="I414" s="500"/>
      <c r="J414" s="499">
        <v>306</v>
      </c>
      <c r="K414" s="499">
        <v>1843</v>
      </c>
      <c r="L414" s="499">
        <v>455</v>
      </c>
      <c r="M414" s="352" t="s">
        <v>30</v>
      </c>
    </row>
    <row r="415" spans="1:13" x14ac:dyDescent="0.35">
      <c r="A415" s="352">
        <v>414</v>
      </c>
      <c r="B415" s="498" t="s">
        <v>1273</v>
      </c>
      <c r="C415" s="499">
        <v>1624</v>
      </c>
      <c r="D415" s="499">
        <v>528</v>
      </c>
      <c r="E415" s="499">
        <v>596</v>
      </c>
      <c r="F415" s="499">
        <v>1772</v>
      </c>
      <c r="G415" s="500"/>
      <c r="H415" s="500"/>
      <c r="I415" s="500"/>
      <c r="J415" s="499">
        <v>128</v>
      </c>
      <c r="K415" s="499">
        <v>1128</v>
      </c>
      <c r="L415" s="499">
        <v>368</v>
      </c>
      <c r="M415" s="352" t="s">
        <v>30</v>
      </c>
    </row>
    <row r="416" spans="1:13" x14ac:dyDescent="0.35">
      <c r="A416" s="352">
        <v>415</v>
      </c>
      <c r="B416" s="498" t="s">
        <v>1286</v>
      </c>
      <c r="C416" s="499">
        <v>1548</v>
      </c>
      <c r="D416" s="499">
        <v>355</v>
      </c>
      <c r="E416" s="499">
        <v>406</v>
      </c>
      <c r="F416" s="499">
        <v>4550</v>
      </c>
      <c r="G416" s="500"/>
      <c r="H416" s="500"/>
      <c r="I416" s="500"/>
      <c r="J416" s="500"/>
      <c r="K416" s="499">
        <v>1144</v>
      </c>
      <c r="L416" s="499">
        <v>404</v>
      </c>
      <c r="M416" s="352" t="s">
        <v>30</v>
      </c>
    </row>
    <row r="417" spans="1:13" x14ac:dyDescent="0.35">
      <c r="A417" s="352">
        <v>416</v>
      </c>
      <c r="B417" s="498" t="s">
        <v>1275</v>
      </c>
      <c r="C417" s="499">
        <v>761</v>
      </c>
      <c r="D417" s="499">
        <v>501</v>
      </c>
      <c r="E417" s="499">
        <v>273</v>
      </c>
      <c r="F417" s="499">
        <v>1554</v>
      </c>
      <c r="G417" s="500"/>
      <c r="H417" s="500"/>
      <c r="I417" s="500"/>
      <c r="J417" s="499">
        <v>40</v>
      </c>
      <c r="K417" s="499">
        <v>545</v>
      </c>
      <c r="L417" s="499">
        <v>176</v>
      </c>
      <c r="M417" s="352" t="s">
        <v>30</v>
      </c>
    </row>
    <row r="418" spans="1:13" x14ac:dyDescent="0.35">
      <c r="A418" s="352">
        <v>417</v>
      </c>
      <c r="B418" s="498" t="s">
        <v>1274</v>
      </c>
      <c r="C418" s="499">
        <v>308</v>
      </c>
      <c r="D418" s="499">
        <v>400</v>
      </c>
      <c r="E418" s="499">
        <v>62</v>
      </c>
      <c r="F418" s="499">
        <v>711</v>
      </c>
      <c r="G418" s="500"/>
      <c r="H418" s="500"/>
      <c r="I418" s="500"/>
      <c r="J418" s="499">
        <v>112</v>
      </c>
      <c r="K418" s="499">
        <v>155</v>
      </c>
      <c r="L418" s="499">
        <v>41</v>
      </c>
      <c r="M418" s="352" t="s">
        <v>30</v>
      </c>
    </row>
    <row r="419" spans="1:13" x14ac:dyDescent="0.35">
      <c r="A419" s="352">
        <v>418</v>
      </c>
      <c r="B419" s="498" t="s">
        <v>1269</v>
      </c>
      <c r="C419" s="499">
        <v>153</v>
      </c>
      <c r="D419" s="499">
        <v>398</v>
      </c>
      <c r="E419" s="499">
        <v>33</v>
      </c>
      <c r="F419" s="499">
        <v>431</v>
      </c>
      <c r="G419" s="500"/>
      <c r="H419" s="500"/>
      <c r="I419" s="500"/>
      <c r="J419" s="499">
        <v>50</v>
      </c>
      <c r="K419" s="499">
        <v>83</v>
      </c>
      <c r="L419" s="499">
        <v>20</v>
      </c>
      <c r="M419" s="352" t="s">
        <v>30</v>
      </c>
    </row>
    <row r="420" spans="1:13" x14ac:dyDescent="0.35">
      <c r="A420" s="352">
        <v>419</v>
      </c>
      <c r="B420" s="498" t="s">
        <v>1270</v>
      </c>
      <c r="C420" s="499">
        <v>27</v>
      </c>
      <c r="D420" s="499">
        <v>300</v>
      </c>
      <c r="E420" s="499">
        <v>6</v>
      </c>
      <c r="F420" s="499">
        <v>133</v>
      </c>
      <c r="G420" s="500"/>
      <c r="H420" s="500"/>
      <c r="I420" s="500"/>
      <c r="J420" s="500"/>
      <c r="K420" s="499">
        <v>20</v>
      </c>
      <c r="L420" s="499">
        <v>7</v>
      </c>
      <c r="M420" s="352" t="s">
        <v>30</v>
      </c>
    </row>
    <row r="421" spans="1:13" x14ac:dyDescent="0.35">
      <c r="A421" s="352">
        <v>420</v>
      </c>
      <c r="B421" s="498" t="s">
        <v>1287</v>
      </c>
      <c r="C421" s="500"/>
      <c r="D421" s="500"/>
      <c r="E421" s="500"/>
      <c r="F421" s="500"/>
      <c r="G421" s="500"/>
      <c r="H421" s="500"/>
      <c r="I421" s="500"/>
      <c r="J421" s="500"/>
      <c r="K421" s="500"/>
      <c r="L421" s="500"/>
      <c r="M421" s="352" t="s">
        <v>30</v>
      </c>
    </row>
    <row r="422" spans="1:13" x14ac:dyDescent="0.35">
      <c r="A422" s="352">
        <v>421</v>
      </c>
      <c r="B422" s="498" t="s">
        <v>1288</v>
      </c>
      <c r="C422" s="500"/>
      <c r="D422" s="500"/>
      <c r="E422" s="500"/>
      <c r="F422" s="500"/>
      <c r="G422" s="500"/>
      <c r="H422" s="500"/>
      <c r="I422" s="500"/>
      <c r="J422" s="500"/>
      <c r="K422" s="500"/>
      <c r="L422" s="500"/>
      <c r="M422" s="352" t="s">
        <v>30</v>
      </c>
    </row>
    <row r="423" spans="1:13" x14ac:dyDescent="0.35">
      <c r="A423" s="352">
        <v>422</v>
      </c>
      <c r="B423" s="525" t="s">
        <v>1290</v>
      </c>
      <c r="C423" s="526">
        <v>13159</v>
      </c>
      <c r="D423" s="526">
        <v>905</v>
      </c>
      <c r="E423" s="526">
        <v>8128</v>
      </c>
      <c r="F423" s="526">
        <v>11626</v>
      </c>
      <c r="G423" s="527"/>
      <c r="H423" s="527"/>
      <c r="I423" s="527"/>
      <c r="J423" s="526">
        <v>1955</v>
      </c>
      <c r="K423" s="526">
        <v>8984</v>
      </c>
      <c r="L423" s="526">
        <v>2220</v>
      </c>
      <c r="M423" s="352" t="s">
        <v>31</v>
      </c>
    </row>
    <row r="424" spans="1:13" x14ac:dyDescent="0.35">
      <c r="A424" s="352">
        <v>423</v>
      </c>
      <c r="B424" s="525" t="s">
        <v>1291</v>
      </c>
      <c r="C424" s="526">
        <v>48930</v>
      </c>
      <c r="D424" s="526">
        <v>901</v>
      </c>
      <c r="E424" s="526">
        <v>33438</v>
      </c>
      <c r="F424" s="526">
        <v>46554</v>
      </c>
      <c r="G424" s="527"/>
      <c r="H424" s="527"/>
      <c r="I424" s="527"/>
      <c r="J424" s="526">
        <v>7291</v>
      </c>
      <c r="K424" s="526">
        <v>37109</v>
      </c>
      <c r="L424" s="526">
        <v>4530</v>
      </c>
      <c r="M424" s="352" t="s">
        <v>31</v>
      </c>
    </row>
    <row r="425" spans="1:13" x14ac:dyDescent="0.35">
      <c r="A425" s="352">
        <v>424</v>
      </c>
      <c r="B425" s="525" t="s">
        <v>1293</v>
      </c>
      <c r="C425" s="526">
        <v>39681</v>
      </c>
      <c r="D425" s="526">
        <v>660</v>
      </c>
      <c r="E425" s="526">
        <v>10411</v>
      </c>
      <c r="F425" s="526">
        <v>32521</v>
      </c>
      <c r="G425" s="527"/>
      <c r="H425" s="527"/>
      <c r="I425" s="527"/>
      <c r="J425" s="526">
        <v>3757</v>
      </c>
      <c r="K425" s="526">
        <v>15764</v>
      </c>
      <c r="L425" s="526">
        <v>20160</v>
      </c>
      <c r="M425" s="352" t="s">
        <v>31</v>
      </c>
    </row>
    <row r="426" spans="1:13" x14ac:dyDescent="0.35">
      <c r="A426" s="352">
        <v>425</v>
      </c>
      <c r="B426" s="525" t="s">
        <v>1292</v>
      </c>
      <c r="C426" s="526">
        <v>14959</v>
      </c>
      <c r="D426" s="526">
        <v>660</v>
      </c>
      <c r="E426" s="526">
        <v>7231</v>
      </c>
      <c r="F426" s="526">
        <v>14754</v>
      </c>
      <c r="G426" s="527"/>
      <c r="H426" s="527"/>
      <c r="I426" s="527"/>
      <c r="J426" s="526">
        <v>428</v>
      </c>
      <c r="K426" s="526">
        <v>10949</v>
      </c>
      <c r="L426" s="526">
        <v>3582</v>
      </c>
      <c r="M426" s="352" t="s">
        <v>31</v>
      </c>
    </row>
    <row r="427" spans="1:13" ht="13" customHeight="1" x14ac:dyDescent="0.35">
      <c r="A427" s="352">
        <v>426</v>
      </c>
      <c r="B427" s="530" t="s">
        <v>908</v>
      </c>
      <c r="C427" s="526">
        <v>14851</v>
      </c>
      <c r="D427" s="526">
        <v>700</v>
      </c>
      <c r="E427" s="526">
        <v>6529</v>
      </c>
      <c r="F427" s="526">
        <v>17020</v>
      </c>
      <c r="G427" s="526"/>
      <c r="H427" s="526"/>
      <c r="I427" s="526"/>
      <c r="J427" s="526">
        <v>2822</v>
      </c>
      <c r="K427" s="526">
        <v>9325</v>
      </c>
      <c r="L427" s="526">
        <v>2704</v>
      </c>
      <c r="M427" s="352" t="s">
        <v>31</v>
      </c>
    </row>
    <row r="428" spans="1:13" x14ac:dyDescent="0.35">
      <c r="A428" s="352">
        <v>427</v>
      </c>
      <c r="B428" s="528" t="s">
        <v>907</v>
      </c>
      <c r="C428" s="529">
        <v>12802</v>
      </c>
      <c r="D428" s="529">
        <v>729</v>
      </c>
      <c r="E428" s="529">
        <v>5637</v>
      </c>
      <c r="F428" s="529">
        <v>12151</v>
      </c>
      <c r="G428" s="529"/>
      <c r="H428" s="529"/>
      <c r="I428" s="529"/>
      <c r="J428" s="529">
        <v>1613</v>
      </c>
      <c r="K428" s="529">
        <v>7732</v>
      </c>
      <c r="L428" s="526">
        <v>3457</v>
      </c>
      <c r="M428" s="352" t="s">
        <v>31</v>
      </c>
    </row>
    <row r="429" spans="1:13" x14ac:dyDescent="0.35">
      <c r="A429" s="352">
        <v>428</v>
      </c>
      <c r="B429" s="531" t="s">
        <v>538</v>
      </c>
      <c r="C429" s="532">
        <v>2714</v>
      </c>
      <c r="D429" s="532">
        <v>203</v>
      </c>
      <c r="E429" s="532">
        <v>338</v>
      </c>
      <c r="F429" s="532">
        <v>3679</v>
      </c>
      <c r="G429" s="533"/>
      <c r="H429" s="533"/>
      <c r="I429" s="533"/>
      <c r="J429" s="532">
        <v>231</v>
      </c>
      <c r="K429" s="532">
        <v>1665</v>
      </c>
      <c r="L429" s="532">
        <v>818</v>
      </c>
      <c r="M429" s="352" t="s">
        <v>32</v>
      </c>
    </row>
    <row r="430" spans="1:13" x14ac:dyDescent="0.35">
      <c r="A430" s="352">
        <v>429</v>
      </c>
      <c r="B430" s="531" t="s">
        <v>544</v>
      </c>
      <c r="C430" s="532">
        <v>78970</v>
      </c>
      <c r="D430" s="532">
        <v>719</v>
      </c>
      <c r="E430" s="532">
        <v>47833</v>
      </c>
      <c r="F430" s="532">
        <v>28784</v>
      </c>
      <c r="G430" s="533"/>
      <c r="H430" s="533"/>
      <c r="I430" s="533"/>
      <c r="J430" s="532">
        <v>10630</v>
      </c>
      <c r="K430" s="532">
        <v>66505</v>
      </c>
      <c r="L430" s="532">
        <v>1835</v>
      </c>
      <c r="M430" s="352" t="s">
        <v>32</v>
      </c>
    </row>
    <row r="431" spans="1:13" x14ac:dyDescent="0.35">
      <c r="A431" s="352">
        <v>430</v>
      </c>
      <c r="B431" s="531" t="s">
        <v>547</v>
      </c>
      <c r="C431" s="532">
        <v>63694</v>
      </c>
      <c r="D431" s="532">
        <v>635</v>
      </c>
      <c r="E431" s="532">
        <v>28355</v>
      </c>
      <c r="F431" s="532">
        <v>26666</v>
      </c>
      <c r="G431" s="533"/>
      <c r="H431" s="533"/>
      <c r="I431" s="533"/>
      <c r="J431" s="532">
        <v>7921</v>
      </c>
      <c r="K431" s="532">
        <v>44627</v>
      </c>
      <c r="L431" s="532">
        <v>11146</v>
      </c>
      <c r="M431" s="352" t="s">
        <v>32</v>
      </c>
    </row>
    <row r="432" spans="1:13" x14ac:dyDescent="0.35">
      <c r="A432" s="352">
        <v>431</v>
      </c>
      <c r="B432" s="531" t="s">
        <v>536</v>
      </c>
      <c r="C432" s="532">
        <v>29449</v>
      </c>
      <c r="D432" s="532">
        <v>564</v>
      </c>
      <c r="E432" s="532">
        <v>9595</v>
      </c>
      <c r="F432" s="532">
        <v>20924</v>
      </c>
      <c r="G432" s="533"/>
      <c r="H432" s="533"/>
      <c r="I432" s="533"/>
      <c r="J432" s="532">
        <v>5595</v>
      </c>
      <c r="K432" s="532">
        <v>17013</v>
      </c>
      <c r="L432" s="532">
        <v>6841</v>
      </c>
      <c r="M432" s="352" t="s">
        <v>32</v>
      </c>
    </row>
    <row r="433" spans="1:13" x14ac:dyDescent="0.35">
      <c r="A433" s="352">
        <v>432</v>
      </c>
      <c r="B433" s="531" t="s">
        <v>910</v>
      </c>
      <c r="C433" s="532">
        <v>20191</v>
      </c>
      <c r="D433" s="532">
        <v>574</v>
      </c>
      <c r="E433" s="532">
        <v>8422</v>
      </c>
      <c r="F433" s="532">
        <v>23985</v>
      </c>
      <c r="G433" s="533"/>
      <c r="H433" s="533"/>
      <c r="I433" s="533"/>
      <c r="J433" s="532">
        <v>5062</v>
      </c>
      <c r="K433" s="532">
        <v>14682</v>
      </c>
      <c r="L433" s="532">
        <v>447</v>
      </c>
      <c r="M433" s="352" t="s">
        <v>32</v>
      </c>
    </row>
    <row r="434" spans="1:13" x14ac:dyDescent="0.35">
      <c r="A434" s="352">
        <v>433</v>
      </c>
      <c r="B434" s="531" t="s">
        <v>535</v>
      </c>
      <c r="C434" s="532">
        <v>15762</v>
      </c>
      <c r="D434" s="532">
        <v>829</v>
      </c>
      <c r="E434" s="532">
        <v>10377</v>
      </c>
      <c r="F434" s="532">
        <v>17690</v>
      </c>
      <c r="G434" s="533"/>
      <c r="H434" s="533"/>
      <c r="I434" s="533"/>
      <c r="J434" s="532">
        <v>2264</v>
      </c>
      <c r="K434" s="532">
        <v>12510</v>
      </c>
      <c r="L434" s="532">
        <v>988</v>
      </c>
      <c r="M434" s="352" t="s">
        <v>32</v>
      </c>
    </row>
    <row r="435" spans="1:13" x14ac:dyDescent="0.35">
      <c r="A435" s="352">
        <v>434</v>
      </c>
      <c r="B435" s="531" t="s">
        <v>911</v>
      </c>
      <c r="C435" s="532">
        <v>10159</v>
      </c>
      <c r="D435" s="532">
        <v>494</v>
      </c>
      <c r="E435" s="532">
        <v>3023</v>
      </c>
      <c r="F435" s="532">
        <v>5346</v>
      </c>
      <c r="G435" s="533"/>
      <c r="H435" s="533"/>
      <c r="I435" s="533"/>
      <c r="J435" s="532">
        <v>2988</v>
      </c>
      <c r="K435" s="532">
        <v>6120</v>
      </c>
      <c r="L435" s="532">
        <v>1051</v>
      </c>
      <c r="M435" s="352" t="s">
        <v>32</v>
      </c>
    </row>
    <row r="436" spans="1:13" x14ac:dyDescent="0.35">
      <c r="A436" s="352">
        <v>435</v>
      </c>
      <c r="B436" s="531" t="s">
        <v>909</v>
      </c>
      <c r="C436" s="532">
        <v>9516</v>
      </c>
      <c r="D436" s="532">
        <v>609</v>
      </c>
      <c r="E436" s="532">
        <v>3355</v>
      </c>
      <c r="F436" s="532">
        <v>12274</v>
      </c>
      <c r="G436" s="533"/>
      <c r="H436" s="533"/>
      <c r="I436" s="533"/>
      <c r="J436" s="532">
        <v>157</v>
      </c>
      <c r="K436" s="532">
        <v>5513</v>
      </c>
      <c r="L436" s="532">
        <v>3846</v>
      </c>
      <c r="M436" s="352" t="s">
        <v>32</v>
      </c>
    </row>
    <row r="437" spans="1:13" x14ac:dyDescent="0.35">
      <c r="A437" s="352">
        <v>436</v>
      </c>
      <c r="B437" s="531" t="s">
        <v>626</v>
      </c>
      <c r="C437" s="532">
        <v>5757</v>
      </c>
      <c r="D437" s="532">
        <v>636</v>
      </c>
      <c r="E437" s="532">
        <v>2910</v>
      </c>
      <c r="F437" s="532">
        <v>8126</v>
      </c>
      <c r="G437" s="533"/>
      <c r="H437" s="533"/>
      <c r="I437" s="533"/>
      <c r="J437" s="532">
        <v>716</v>
      </c>
      <c r="K437" s="532">
        <v>4579</v>
      </c>
      <c r="L437" s="532">
        <v>462</v>
      </c>
      <c r="M437" s="352" t="s">
        <v>32</v>
      </c>
    </row>
    <row r="438" spans="1:13" x14ac:dyDescent="0.35">
      <c r="A438" s="352">
        <v>437</v>
      </c>
      <c r="B438" s="531" t="s">
        <v>545</v>
      </c>
      <c r="C438" s="532">
        <v>3989</v>
      </c>
      <c r="D438" s="532">
        <v>216</v>
      </c>
      <c r="E438" s="532">
        <v>553</v>
      </c>
      <c r="F438" s="532">
        <v>4511</v>
      </c>
      <c r="G438" s="533"/>
      <c r="H438" s="533"/>
      <c r="I438" s="533"/>
      <c r="J438" s="532">
        <v>1089</v>
      </c>
      <c r="K438" s="532">
        <v>2561</v>
      </c>
      <c r="L438" s="532">
        <v>339</v>
      </c>
      <c r="M438" s="352" t="s">
        <v>32</v>
      </c>
    </row>
    <row r="439" spans="1:13" x14ac:dyDescent="0.35">
      <c r="A439" s="352">
        <v>438</v>
      </c>
      <c r="B439" s="531" t="s">
        <v>548</v>
      </c>
      <c r="C439" s="532">
        <v>3341</v>
      </c>
      <c r="D439" s="532">
        <v>111</v>
      </c>
      <c r="E439" s="532">
        <v>95</v>
      </c>
      <c r="F439" s="532">
        <v>2115</v>
      </c>
      <c r="G439" s="533"/>
      <c r="H439" s="533"/>
      <c r="I439" s="533"/>
      <c r="J439" s="532">
        <v>42</v>
      </c>
      <c r="K439" s="532">
        <v>858</v>
      </c>
      <c r="L439" s="532">
        <v>2441</v>
      </c>
      <c r="M439" s="352" t="s">
        <v>32</v>
      </c>
    </row>
    <row r="440" spans="1:13" x14ac:dyDescent="0.35">
      <c r="A440" s="352">
        <v>439</v>
      </c>
      <c r="B440" s="531" t="s">
        <v>546</v>
      </c>
      <c r="C440" s="532">
        <v>2325</v>
      </c>
      <c r="D440" s="532">
        <v>114</v>
      </c>
      <c r="E440" s="532">
        <v>80</v>
      </c>
      <c r="F440" s="532">
        <v>3508</v>
      </c>
      <c r="G440" s="533"/>
      <c r="H440" s="533"/>
      <c r="I440" s="533"/>
      <c r="J440" s="532">
        <v>125</v>
      </c>
      <c r="K440" s="532">
        <v>699</v>
      </c>
      <c r="L440" s="532">
        <v>1501</v>
      </c>
      <c r="M440" s="352" t="s">
        <v>32</v>
      </c>
    </row>
    <row r="441" spans="1:13" x14ac:dyDescent="0.35">
      <c r="A441" s="352">
        <v>440</v>
      </c>
      <c r="B441" s="531" t="s">
        <v>1333</v>
      </c>
      <c r="C441" s="532">
        <v>161</v>
      </c>
      <c r="D441" s="532">
        <v>352</v>
      </c>
      <c r="E441" s="532">
        <v>45</v>
      </c>
      <c r="F441" s="532">
        <v>306</v>
      </c>
      <c r="G441" s="533"/>
      <c r="H441" s="533"/>
      <c r="I441" s="533"/>
      <c r="J441" s="532">
        <v>10</v>
      </c>
      <c r="K441" s="532">
        <v>128</v>
      </c>
      <c r="L441" s="532">
        <v>23</v>
      </c>
      <c r="M441" s="352" t="s">
        <v>32</v>
      </c>
    </row>
    <row r="442" spans="1:13" x14ac:dyDescent="0.35">
      <c r="A442" s="352">
        <v>441</v>
      </c>
      <c r="B442" s="531" t="s">
        <v>913</v>
      </c>
      <c r="C442" s="532">
        <v>139</v>
      </c>
      <c r="D442" s="532">
        <v>270</v>
      </c>
      <c r="E442" s="532">
        <v>27</v>
      </c>
      <c r="F442" s="532">
        <v>354</v>
      </c>
      <c r="G442" s="533"/>
      <c r="H442" s="533"/>
      <c r="I442" s="533"/>
      <c r="J442" s="532">
        <v>27</v>
      </c>
      <c r="K442" s="532">
        <v>100</v>
      </c>
      <c r="L442" s="532">
        <v>12</v>
      </c>
      <c r="M442" s="352" t="s">
        <v>32</v>
      </c>
    </row>
    <row r="443" spans="1:13" x14ac:dyDescent="0.35">
      <c r="A443" s="352">
        <v>442</v>
      </c>
      <c r="B443" s="531" t="s">
        <v>628</v>
      </c>
      <c r="C443" s="532">
        <v>68</v>
      </c>
      <c r="D443" s="532">
        <v>182</v>
      </c>
      <c r="E443" s="532">
        <v>4</v>
      </c>
      <c r="F443" s="532">
        <v>91</v>
      </c>
      <c r="G443" s="533"/>
      <c r="H443" s="533"/>
      <c r="I443" s="533"/>
      <c r="J443" s="532">
        <v>28</v>
      </c>
      <c r="K443" s="532">
        <v>22</v>
      </c>
      <c r="L443" s="532">
        <v>18</v>
      </c>
      <c r="M443" s="352" t="s">
        <v>32</v>
      </c>
    </row>
    <row r="444" spans="1:13" x14ac:dyDescent="0.35">
      <c r="A444" s="352">
        <v>443</v>
      </c>
      <c r="B444" s="531" t="s">
        <v>627</v>
      </c>
      <c r="C444" s="532">
        <v>41</v>
      </c>
      <c r="D444" s="532">
        <v>300</v>
      </c>
      <c r="E444" s="532">
        <v>3</v>
      </c>
      <c r="F444" s="532">
        <v>41</v>
      </c>
      <c r="G444" s="533"/>
      <c r="H444" s="533"/>
      <c r="I444" s="533"/>
      <c r="J444" s="532">
        <v>2</v>
      </c>
      <c r="K444" s="532">
        <v>10</v>
      </c>
      <c r="L444" s="532">
        <v>29</v>
      </c>
      <c r="M444" s="352" t="s">
        <v>32</v>
      </c>
    </row>
    <row r="445" spans="1:13" x14ac:dyDescent="0.35">
      <c r="A445" s="352">
        <v>444</v>
      </c>
      <c r="B445" s="531" t="s">
        <v>912</v>
      </c>
      <c r="C445" s="532">
        <v>20</v>
      </c>
      <c r="D445" s="532">
        <v>571</v>
      </c>
      <c r="E445" s="532">
        <v>8</v>
      </c>
      <c r="F445" s="532">
        <v>113</v>
      </c>
      <c r="G445" s="533"/>
      <c r="H445" s="533"/>
      <c r="I445" s="533"/>
      <c r="J445" s="533"/>
      <c r="K445" s="532">
        <v>14</v>
      </c>
      <c r="L445" s="532">
        <v>6</v>
      </c>
      <c r="M445" s="352" t="s">
        <v>32</v>
      </c>
    </row>
    <row r="446" spans="1:13" x14ac:dyDescent="0.35">
      <c r="A446" s="352">
        <v>445</v>
      </c>
      <c r="B446" s="534" t="s">
        <v>549</v>
      </c>
      <c r="C446" s="496">
        <v>38</v>
      </c>
      <c r="D446" s="496">
        <v>278</v>
      </c>
      <c r="E446" s="496">
        <v>6</v>
      </c>
      <c r="F446" s="496">
        <v>115</v>
      </c>
      <c r="G446" s="497"/>
      <c r="H446" s="497"/>
      <c r="I446" s="497"/>
      <c r="J446" s="496">
        <v>11</v>
      </c>
      <c r="K446" s="496">
        <v>22</v>
      </c>
      <c r="L446" s="496">
        <v>4</v>
      </c>
      <c r="M446" s="352" t="s">
        <v>33</v>
      </c>
    </row>
    <row r="447" spans="1:13" x14ac:dyDescent="0.35">
      <c r="A447" s="352">
        <v>446</v>
      </c>
      <c r="B447" s="534" t="s">
        <v>554</v>
      </c>
      <c r="C447" s="496">
        <v>8153</v>
      </c>
      <c r="D447" s="496">
        <v>591</v>
      </c>
      <c r="E447" s="496">
        <v>3</v>
      </c>
      <c r="F447" s="496">
        <v>12741</v>
      </c>
      <c r="G447" s="497"/>
      <c r="H447" s="497"/>
      <c r="I447" s="497"/>
      <c r="J447" s="496">
        <v>1198</v>
      </c>
      <c r="K447" s="496">
        <v>5078</v>
      </c>
      <c r="L447" s="496">
        <v>1877</v>
      </c>
      <c r="M447" s="352" t="s">
        <v>33</v>
      </c>
    </row>
    <row r="448" spans="1:13" x14ac:dyDescent="0.35">
      <c r="A448" s="352">
        <v>447</v>
      </c>
      <c r="B448" s="534" t="s">
        <v>556</v>
      </c>
      <c r="C448" s="496">
        <v>5286</v>
      </c>
      <c r="D448" s="496">
        <v>780</v>
      </c>
      <c r="E448" s="496">
        <v>2882</v>
      </c>
      <c r="F448" s="496">
        <v>8067</v>
      </c>
      <c r="G448" s="497"/>
      <c r="H448" s="497"/>
      <c r="I448" s="497"/>
      <c r="J448" s="496">
        <v>1080</v>
      </c>
      <c r="K448" s="496">
        <v>3695</v>
      </c>
      <c r="L448" s="496">
        <v>510</v>
      </c>
      <c r="M448" s="352" t="s">
        <v>33</v>
      </c>
    </row>
    <row r="449" spans="1:13" x14ac:dyDescent="0.35">
      <c r="A449" s="352">
        <v>448</v>
      </c>
      <c r="B449" s="534" t="s">
        <v>557</v>
      </c>
      <c r="C449" s="496">
        <v>5234</v>
      </c>
      <c r="D449" s="496">
        <v>212</v>
      </c>
      <c r="E449" s="496">
        <v>540</v>
      </c>
      <c r="F449" s="496">
        <v>3915</v>
      </c>
      <c r="G449" s="497"/>
      <c r="H449" s="497"/>
      <c r="I449" s="497"/>
      <c r="J449" s="496">
        <v>2587</v>
      </c>
      <c r="K449" s="496">
        <v>2547</v>
      </c>
      <c r="L449" s="496">
        <v>100</v>
      </c>
      <c r="M449" s="352" t="s">
        <v>33</v>
      </c>
    </row>
    <row r="450" spans="1:13" x14ac:dyDescent="0.35">
      <c r="A450" s="352">
        <v>449</v>
      </c>
      <c r="B450" s="534" t="s">
        <v>558</v>
      </c>
      <c r="C450" s="496">
        <v>4066</v>
      </c>
      <c r="D450" s="496">
        <v>498</v>
      </c>
      <c r="E450" s="496">
        <v>1345</v>
      </c>
      <c r="F450" s="496">
        <v>2771</v>
      </c>
      <c r="G450" s="497"/>
      <c r="H450" s="497"/>
      <c r="I450" s="497"/>
      <c r="J450" s="496">
        <v>787</v>
      </c>
      <c r="K450" s="496">
        <v>2702</v>
      </c>
      <c r="L450" s="496">
        <v>577</v>
      </c>
      <c r="M450" s="352" t="s">
        <v>33</v>
      </c>
    </row>
    <row r="451" spans="1:13" x14ac:dyDescent="0.35">
      <c r="A451" s="352">
        <v>450</v>
      </c>
      <c r="B451" s="534" t="s">
        <v>914</v>
      </c>
      <c r="C451" s="496">
        <v>1006</v>
      </c>
      <c r="D451" s="496">
        <v>520</v>
      </c>
      <c r="E451" s="496">
        <v>382</v>
      </c>
      <c r="F451" s="496">
        <v>4583</v>
      </c>
      <c r="G451" s="497"/>
      <c r="H451" s="497"/>
      <c r="I451" s="497"/>
      <c r="J451" s="496">
        <v>151</v>
      </c>
      <c r="K451" s="496">
        <v>736</v>
      </c>
      <c r="L451" s="496">
        <v>119</v>
      </c>
      <c r="M451" s="352" t="s">
        <v>33</v>
      </c>
    </row>
    <row r="452" spans="1:13" x14ac:dyDescent="0.35">
      <c r="A452" s="352">
        <v>451</v>
      </c>
      <c r="B452" s="373" t="s">
        <v>559</v>
      </c>
      <c r="C452" s="439">
        <v>188</v>
      </c>
      <c r="D452" s="439">
        <v>750</v>
      </c>
      <c r="E452" s="439">
        <v>42</v>
      </c>
      <c r="F452" s="439">
        <v>258</v>
      </c>
      <c r="G452" s="496"/>
      <c r="H452" s="496"/>
      <c r="I452" s="496"/>
      <c r="J452" s="496">
        <v>51</v>
      </c>
      <c r="K452" s="496">
        <v>57</v>
      </c>
      <c r="L452" s="496">
        <v>81</v>
      </c>
      <c r="M452" s="352" t="s">
        <v>33</v>
      </c>
    </row>
    <row r="453" spans="1:13" x14ac:dyDescent="0.35">
      <c r="A453" s="352">
        <v>452</v>
      </c>
      <c r="B453" s="534" t="s">
        <v>550</v>
      </c>
      <c r="C453" s="496">
        <v>71</v>
      </c>
      <c r="D453" s="496">
        <v>459</v>
      </c>
      <c r="E453" s="496">
        <v>15</v>
      </c>
      <c r="F453" s="496">
        <v>109</v>
      </c>
      <c r="G453" s="497"/>
      <c r="H453" s="497"/>
      <c r="I453" s="497"/>
      <c r="J453" s="496">
        <v>20</v>
      </c>
      <c r="K453" s="496">
        <v>32</v>
      </c>
      <c r="L453" s="496">
        <v>19</v>
      </c>
      <c r="M453" s="352" t="s">
        <v>33</v>
      </c>
    </row>
    <row r="454" spans="1:13" x14ac:dyDescent="0.35">
      <c r="A454" s="352">
        <v>453</v>
      </c>
      <c r="B454" s="534" t="s">
        <v>551</v>
      </c>
      <c r="C454" s="496">
        <v>3</v>
      </c>
      <c r="D454" s="496">
        <v>753</v>
      </c>
      <c r="E454" s="496">
        <v>1</v>
      </c>
      <c r="F454" s="496">
        <v>27</v>
      </c>
      <c r="G454" s="497"/>
      <c r="H454" s="497"/>
      <c r="I454" s="497"/>
      <c r="J454" s="496">
        <v>0</v>
      </c>
      <c r="K454" s="496">
        <v>2</v>
      </c>
      <c r="L454" s="496">
        <v>1</v>
      </c>
      <c r="M454" s="352" t="s">
        <v>33</v>
      </c>
    </row>
    <row r="455" spans="1:13" x14ac:dyDescent="0.35">
      <c r="A455" s="352">
        <v>454</v>
      </c>
      <c r="B455" s="534" t="s">
        <v>553</v>
      </c>
      <c r="C455" s="496">
        <v>1</v>
      </c>
      <c r="D455" s="496">
        <v>667</v>
      </c>
      <c r="E455" s="496">
        <v>0</v>
      </c>
      <c r="F455" s="496">
        <v>10</v>
      </c>
      <c r="G455" s="497"/>
      <c r="H455" s="497"/>
      <c r="I455" s="497"/>
      <c r="J455" s="496">
        <v>0</v>
      </c>
      <c r="K455" s="496">
        <v>1</v>
      </c>
      <c r="L455" s="497"/>
      <c r="M455" s="352" t="s">
        <v>33</v>
      </c>
    </row>
    <row r="456" spans="1:13" x14ac:dyDescent="0.35">
      <c r="A456" s="352">
        <v>455</v>
      </c>
      <c r="B456" s="373" t="s">
        <v>552</v>
      </c>
      <c r="C456" s="439"/>
      <c r="D456" s="439"/>
      <c r="E456" s="439"/>
      <c r="F456" s="439"/>
      <c r="G456" s="496"/>
      <c r="H456" s="496"/>
      <c r="I456" s="496"/>
      <c r="J456" s="496"/>
      <c r="K456" s="496"/>
      <c r="L456" s="496"/>
      <c r="M456" s="352" t="s">
        <v>33</v>
      </c>
    </row>
    <row r="457" spans="1:13" x14ac:dyDescent="0.35">
      <c r="A457" s="352">
        <v>456</v>
      </c>
      <c r="B457" s="503" t="s">
        <v>564</v>
      </c>
      <c r="C457" s="535">
        <v>4355</v>
      </c>
      <c r="D457" s="535">
        <v>710</v>
      </c>
      <c r="E457" s="535">
        <v>1847</v>
      </c>
      <c r="F457" s="535">
        <v>2889</v>
      </c>
      <c r="G457" s="505"/>
      <c r="H457" s="505"/>
      <c r="I457" s="505"/>
      <c r="J457" s="535">
        <v>1524</v>
      </c>
      <c r="K457" s="535">
        <v>2602</v>
      </c>
      <c r="L457" s="535">
        <v>229</v>
      </c>
      <c r="M457" s="352" t="s">
        <v>34</v>
      </c>
    </row>
    <row r="458" spans="1:13" x14ac:dyDescent="0.35">
      <c r="A458" s="352">
        <v>457</v>
      </c>
      <c r="B458" s="503" t="s">
        <v>560</v>
      </c>
      <c r="C458" s="535">
        <v>5298</v>
      </c>
      <c r="D458" s="535">
        <v>424</v>
      </c>
      <c r="E458" s="535">
        <v>1017</v>
      </c>
      <c r="F458" s="535">
        <v>5328</v>
      </c>
      <c r="G458" s="505"/>
      <c r="H458" s="505"/>
      <c r="I458" s="505"/>
      <c r="J458" s="535">
        <v>165</v>
      </c>
      <c r="K458" s="535">
        <v>2398</v>
      </c>
      <c r="L458" s="535">
        <v>2735</v>
      </c>
      <c r="M458" s="352" t="s">
        <v>34</v>
      </c>
    </row>
    <row r="459" spans="1:13" x14ac:dyDescent="0.35">
      <c r="A459" s="352">
        <v>458</v>
      </c>
      <c r="B459" s="503" t="s">
        <v>562</v>
      </c>
      <c r="C459" s="535">
        <v>3920</v>
      </c>
      <c r="D459" s="535">
        <v>1248</v>
      </c>
      <c r="E459" s="535">
        <v>2195</v>
      </c>
      <c r="F459" s="535">
        <v>3458</v>
      </c>
      <c r="G459" s="505"/>
      <c r="H459" s="505"/>
      <c r="I459" s="505"/>
      <c r="J459" s="535">
        <v>1630</v>
      </c>
      <c r="K459" s="535">
        <v>1759</v>
      </c>
      <c r="L459" s="535">
        <v>531</v>
      </c>
      <c r="M459" s="352" t="s">
        <v>34</v>
      </c>
    </row>
    <row r="460" spans="1:13" x14ac:dyDescent="0.35">
      <c r="A460" s="352">
        <v>459</v>
      </c>
      <c r="B460" s="503" t="s">
        <v>916</v>
      </c>
      <c r="C460" s="535">
        <v>3769</v>
      </c>
      <c r="D460" s="535">
        <v>1078</v>
      </c>
      <c r="E460" s="535">
        <v>2850</v>
      </c>
      <c r="F460" s="535">
        <v>1385</v>
      </c>
      <c r="G460" s="505"/>
      <c r="H460" s="505"/>
      <c r="I460" s="505"/>
      <c r="J460" s="535">
        <v>845</v>
      </c>
      <c r="K460" s="535">
        <v>2644</v>
      </c>
      <c r="L460" s="535">
        <v>280</v>
      </c>
      <c r="M460" s="352" t="s">
        <v>34</v>
      </c>
    </row>
    <row r="461" spans="1:13" x14ac:dyDescent="0.35">
      <c r="A461" s="352">
        <v>460</v>
      </c>
      <c r="B461" s="503" t="s">
        <v>565</v>
      </c>
      <c r="C461" s="535">
        <v>3239</v>
      </c>
      <c r="D461" s="535">
        <v>207</v>
      </c>
      <c r="E461" s="535">
        <v>406</v>
      </c>
      <c r="F461" s="535">
        <v>2678</v>
      </c>
      <c r="G461" s="505"/>
      <c r="H461" s="505"/>
      <c r="I461" s="505"/>
      <c r="J461" s="535">
        <v>913</v>
      </c>
      <c r="K461" s="535">
        <v>1964</v>
      </c>
      <c r="L461" s="535">
        <v>362</v>
      </c>
      <c r="M461" s="352" t="s">
        <v>34</v>
      </c>
    </row>
    <row r="462" spans="1:13" x14ac:dyDescent="0.35">
      <c r="A462" s="352">
        <v>461</v>
      </c>
      <c r="B462" s="503" t="s">
        <v>566</v>
      </c>
      <c r="C462" s="535">
        <v>2073</v>
      </c>
      <c r="D462" s="535">
        <v>850</v>
      </c>
      <c r="E462" s="535">
        <v>952</v>
      </c>
      <c r="F462" s="535">
        <v>2350</v>
      </c>
      <c r="G462" s="505"/>
      <c r="H462" s="505"/>
      <c r="I462" s="505"/>
      <c r="J462" s="535">
        <v>299</v>
      </c>
      <c r="K462" s="535">
        <v>1120</v>
      </c>
      <c r="L462" s="535">
        <v>654</v>
      </c>
      <c r="M462" s="352" t="s">
        <v>34</v>
      </c>
    </row>
    <row r="463" spans="1:13" x14ac:dyDescent="0.35">
      <c r="A463" s="352">
        <v>462</v>
      </c>
      <c r="B463" s="503" t="s">
        <v>563</v>
      </c>
      <c r="C463" s="535">
        <v>446</v>
      </c>
      <c r="D463" s="535">
        <v>40</v>
      </c>
      <c r="E463" s="535">
        <v>9</v>
      </c>
      <c r="F463" s="535">
        <v>228</v>
      </c>
      <c r="G463" s="505"/>
      <c r="H463" s="505"/>
      <c r="I463" s="505"/>
      <c r="J463" s="535">
        <v>156</v>
      </c>
      <c r="K463" s="535">
        <v>223</v>
      </c>
      <c r="L463" s="535">
        <v>67</v>
      </c>
      <c r="M463" s="352" t="s">
        <v>34</v>
      </c>
    </row>
    <row r="464" spans="1:13" x14ac:dyDescent="0.35">
      <c r="A464" s="352">
        <v>463</v>
      </c>
      <c r="B464" s="503" t="s">
        <v>567</v>
      </c>
      <c r="C464" s="535">
        <v>413</v>
      </c>
      <c r="D464" s="535">
        <v>193</v>
      </c>
      <c r="E464" s="535">
        <v>69</v>
      </c>
      <c r="F464" s="535">
        <v>757</v>
      </c>
      <c r="G464" s="505"/>
      <c r="H464" s="505"/>
      <c r="I464" s="505"/>
      <c r="J464" s="535">
        <v>56</v>
      </c>
      <c r="K464" s="535">
        <v>357</v>
      </c>
      <c r="L464" s="505"/>
      <c r="M464" s="352" t="s">
        <v>34</v>
      </c>
    </row>
    <row r="465" spans="1:13" x14ac:dyDescent="0.35">
      <c r="A465" s="352">
        <v>464</v>
      </c>
      <c r="B465" s="503" t="s">
        <v>915</v>
      </c>
      <c r="C465" s="505"/>
      <c r="D465" s="505"/>
      <c r="E465" s="505"/>
      <c r="F465" s="505"/>
      <c r="G465" s="505"/>
      <c r="H465" s="505"/>
      <c r="I465" s="505"/>
      <c r="J465" s="505"/>
      <c r="K465" s="505"/>
      <c r="L465" s="505"/>
      <c r="M465" s="352" t="s">
        <v>34</v>
      </c>
    </row>
    <row r="466" spans="1:13" x14ac:dyDescent="0.35">
      <c r="A466" s="352">
        <v>465</v>
      </c>
      <c r="B466" s="503" t="s">
        <v>568</v>
      </c>
      <c r="C466" s="505"/>
      <c r="D466" s="505"/>
      <c r="E466" s="505"/>
      <c r="F466" s="505"/>
      <c r="G466" s="505"/>
      <c r="H466" s="505"/>
      <c r="I466" s="505"/>
      <c r="J466" s="505"/>
      <c r="K466" s="505"/>
      <c r="L466" s="505"/>
      <c r="M466" s="352" t="s">
        <v>34</v>
      </c>
    </row>
    <row r="467" spans="1:13" x14ac:dyDescent="0.35">
      <c r="A467" s="352">
        <v>466</v>
      </c>
      <c r="B467" s="536" t="s">
        <v>570</v>
      </c>
      <c r="C467" s="445">
        <v>14232</v>
      </c>
      <c r="D467" s="445">
        <v>799</v>
      </c>
      <c r="E467" s="445">
        <v>5463</v>
      </c>
      <c r="F467" s="445">
        <v>14452</v>
      </c>
      <c r="G467" s="446"/>
      <c r="H467" s="446"/>
      <c r="I467" s="446"/>
      <c r="J467" s="445">
        <v>6275</v>
      </c>
      <c r="K467" s="445">
        <v>6834</v>
      </c>
      <c r="L467" s="445">
        <v>1123</v>
      </c>
      <c r="M467" s="352" t="s">
        <v>35</v>
      </c>
    </row>
    <row r="468" spans="1:13" x14ac:dyDescent="0.35">
      <c r="A468" s="352">
        <v>467</v>
      </c>
      <c r="B468" s="536" t="s">
        <v>918</v>
      </c>
      <c r="C468" s="445">
        <v>7974</v>
      </c>
      <c r="D468" s="445">
        <v>363</v>
      </c>
      <c r="E468" s="445">
        <v>1870</v>
      </c>
      <c r="F468" s="445">
        <v>9611</v>
      </c>
      <c r="G468" s="446"/>
      <c r="H468" s="446"/>
      <c r="I468" s="446"/>
      <c r="J468" s="445">
        <v>1492</v>
      </c>
      <c r="K468" s="445">
        <v>5158</v>
      </c>
      <c r="L468" s="445">
        <v>1324</v>
      </c>
      <c r="M468" s="352" t="s">
        <v>35</v>
      </c>
    </row>
    <row r="469" spans="1:13" x14ac:dyDescent="0.35">
      <c r="A469" s="352">
        <v>468</v>
      </c>
      <c r="B469" s="536" t="s">
        <v>572</v>
      </c>
      <c r="C469" s="445">
        <v>3711</v>
      </c>
      <c r="D469" s="445">
        <v>713</v>
      </c>
      <c r="E469" s="445">
        <v>937</v>
      </c>
      <c r="F469" s="445">
        <v>3540</v>
      </c>
      <c r="G469" s="446"/>
      <c r="H469" s="446"/>
      <c r="I469" s="446"/>
      <c r="J469" s="445">
        <v>1012</v>
      </c>
      <c r="K469" s="445">
        <v>1314</v>
      </c>
      <c r="L469" s="445">
        <v>1385</v>
      </c>
      <c r="M469" s="352" t="s">
        <v>35</v>
      </c>
    </row>
    <row r="470" spans="1:13" x14ac:dyDescent="0.35">
      <c r="A470" s="352">
        <v>469</v>
      </c>
      <c r="B470" s="536" t="s">
        <v>579</v>
      </c>
      <c r="C470" s="445">
        <v>3029</v>
      </c>
      <c r="D470" s="445">
        <v>551</v>
      </c>
      <c r="E470" s="445">
        <v>793</v>
      </c>
      <c r="F470" s="445">
        <v>4435</v>
      </c>
      <c r="G470" s="446"/>
      <c r="H470" s="446"/>
      <c r="I470" s="446"/>
      <c r="J470" s="445">
        <v>378</v>
      </c>
      <c r="K470" s="445">
        <v>1440</v>
      </c>
      <c r="L470" s="445">
        <v>1211</v>
      </c>
      <c r="M470" s="352" t="s">
        <v>35</v>
      </c>
    </row>
    <row r="471" spans="1:13" x14ac:dyDescent="0.35">
      <c r="A471" s="352">
        <v>470</v>
      </c>
      <c r="B471" s="536" t="s">
        <v>577</v>
      </c>
      <c r="C471" s="445">
        <v>2075</v>
      </c>
      <c r="D471" s="445">
        <v>638</v>
      </c>
      <c r="E471" s="445">
        <v>372</v>
      </c>
      <c r="F471" s="445">
        <v>2671</v>
      </c>
      <c r="G471" s="446"/>
      <c r="H471" s="446"/>
      <c r="I471" s="446"/>
      <c r="J471" s="445">
        <v>689</v>
      </c>
      <c r="K471" s="445">
        <v>583</v>
      </c>
      <c r="L471" s="445">
        <v>803</v>
      </c>
      <c r="M471" s="352" t="s">
        <v>35</v>
      </c>
    </row>
    <row r="472" spans="1:13" x14ac:dyDescent="0.35">
      <c r="A472" s="352">
        <v>471</v>
      </c>
      <c r="B472" s="536" t="s">
        <v>582</v>
      </c>
      <c r="C472" s="445">
        <v>1213</v>
      </c>
      <c r="D472" s="445">
        <v>712</v>
      </c>
      <c r="E472" s="445">
        <v>472</v>
      </c>
      <c r="F472" s="445">
        <v>871</v>
      </c>
      <c r="G472" s="446"/>
      <c r="H472" s="446"/>
      <c r="I472" s="446"/>
      <c r="J472" s="445">
        <v>375</v>
      </c>
      <c r="K472" s="445">
        <v>663</v>
      </c>
      <c r="L472" s="445">
        <v>175</v>
      </c>
      <c r="M472" s="352" t="s">
        <v>35</v>
      </c>
    </row>
    <row r="473" spans="1:13" x14ac:dyDescent="0.35">
      <c r="A473" s="352">
        <v>472</v>
      </c>
      <c r="B473" s="444" t="s">
        <v>1294</v>
      </c>
      <c r="C473" s="445">
        <v>990</v>
      </c>
      <c r="D473" s="445">
        <v>457</v>
      </c>
      <c r="E473" s="445">
        <v>384</v>
      </c>
      <c r="F473" s="445">
        <v>1250</v>
      </c>
      <c r="G473" s="446"/>
      <c r="H473" s="446"/>
      <c r="I473" s="446"/>
      <c r="J473" s="445">
        <v>65</v>
      </c>
      <c r="K473" s="445">
        <v>840</v>
      </c>
      <c r="L473" s="445">
        <v>85</v>
      </c>
      <c r="M473" s="352" t="s">
        <v>35</v>
      </c>
    </row>
    <row r="474" spans="1:13" x14ac:dyDescent="0.35">
      <c r="A474" s="352">
        <v>473</v>
      </c>
      <c r="B474" s="536" t="s">
        <v>580</v>
      </c>
      <c r="C474" s="445">
        <v>373</v>
      </c>
      <c r="D474" s="445">
        <v>276</v>
      </c>
      <c r="E474" s="445">
        <v>53</v>
      </c>
      <c r="F474" s="445">
        <v>260</v>
      </c>
      <c r="G474" s="446"/>
      <c r="H474" s="446"/>
      <c r="I474" s="446"/>
      <c r="J474" s="445">
        <v>141</v>
      </c>
      <c r="K474" s="445">
        <v>192</v>
      </c>
      <c r="L474" s="445">
        <v>40</v>
      </c>
      <c r="M474" s="352" t="s">
        <v>35</v>
      </c>
    </row>
    <row r="475" spans="1:13" x14ac:dyDescent="0.35">
      <c r="A475" s="352">
        <v>474</v>
      </c>
      <c r="B475" s="444" t="s">
        <v>1295</v>
      </c>
      <c r="C475" s="445">
        <v>211</v>
      </c>
      <c r="D475" s="445">
        <v>418</v>
      </c>
      <c r="E475" s="445">
        <v>28</v>
      </c>
      <c r="F475" s="445">
        <v>301</v>
      </c>
      <c r="G475" s="446"/>
      <c r="H475" s="446"/>
      <c r="I475" s="446"/>
      <c r="J475" s="445">
        <v>94</v>
      </c>
      <c r="K475" s="445">
        <v>67</v>
      </c>
      <c r="L475" s="445">
        <v>50</v>
      </c>
      <c r="M475" s="352" t="s">
        <v>35</v>
      </c>
    </row>
    <row r="476" spans="1:13" x14ac:dyDescent="0.35">
      <c r="A476" s="352">
        <v>475</v>
      </c>
      <c r="B476" s="536" t="s">
        <v>583</v>
      </c>
      <c r="C476" s="445">
        <v>84</v>
      </c>
      <c r="D476" s="445">
        <v>386</v>
      </c>
      <c r="E476" s="445">
        <v>17</v>
      </c>
      <c r="F476" s="445">
        <v>78</v>
      </c>
      <c r="G476" s="446"/>
      <c r="H476" s="446"/>
      <c r="I476" s="446"/>
      <c r="J476" s="445">
        <v>29</v>
      </c>
      <c r="K476" s="445">
        <v>44</v>
      </c>
      <c r="L476" s="445">
        <v>11</v>
      </c>
      <c r="M476" s="352" t="s">
        <v>35</v>
      </c>
    </row>
    <row r="477" spans="1:13" x14ac:dyDescent="0.35">
      <c r="A477" s="352">
        <v>476</v>
      </c>
      <c r="B477" s="536" t="s">
        <v>575</v>
      </c>
      <c r="C477" s="445">
        <v>47</v>
      </c>
      <c r="D477" s="445">
        <v>216</v>
      </c>
      <c r="E477" s="445">
        <v>8</v>
      </c>
      <c r="F477" s="445">
        <v>64</v>
      </c>
      <c r="G477" s="446"/>
      <c r="H477" s="446"/>
      <c r="I477" s="446"/>
      <c r="J477" s="446"/>
      <c r="K477" s="445">
        <v>37</v>
      </c>
      <c r="L477" s="445">
        <v>10</v>
      </c>
      <c r="M477" s="352" t="s">
        <v>35</v>
      </c>
    </row>
    <row r="478" spans="1:13" x14ac:dyDescent="0.35">
      <c r="A478" s="352">
        <v>477</v>
      </c>
      <c r="B478" s="536" t="s">
        <v>917</v>
      </c>
      <c r="C478" s="445">
        <v>40</v>
      </c>
      <c r="D478" s="445">
        <v>364</v>
      </c>
      <c r="E478" s="445">
        <v>4</v>
      </c>
      <c r="F478" s="445">
        <v>58</v>
      </c>
      <c r="G478" s="446"/>
      <c r="H478" s="446"/>
      <c r="I478" s="446"/>
      <c r="J478" s="445">
        <v>19</v>
      </c>
      <c r="K478" s="445">
        <v>11</v>
      </c>
      <c r="L478" s="445">
        <v>10</v>
      </c>
      <c r="M478" s="352" t="s">
        <v>35</v>
      </c>
    </row>
    <row r="479" spans="1:13" x14ac:dyDescent="0.35">
      <c r="A479" s="352">
        <v>478</v>
      </c>
      <c r="B479" s="536" t="s">
        <v>629</v>
      </c>
      <c r="C479" s="445">
        <v>25</v>
      </c>
      <c r="D479" s="445">
        <v>400</v>
      </c>
      <c r="E479" s="445">
        <v>6</v>
      </c>
      <c r="F479" s="445">
        <v>64</v>
      </c>
      <c r="G479" s="446"/>
      <c r="H479" s="446"/>
      <c r="I479" s="446"/>
      <c r="J479" s="445">
        <v>10</v>
      </c>
      <c r="K479" s="445">
        <v>15</v>
      </c>
      <c r="L479" s="446"/>
      <c r="M479" s="352" t="s">
        <v>35</v>
      </c>
    </row>
    <row r="480" spans="1:13" x14ac:dyDescent="0.35">
      <c r="A480" s="352">
        <v>479</v>
      </c>
      <c r="B480" s="536" t="s">
        <v>581</v>
      </c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352" t="s">
        <v>35</v>
      </c>
    </row>
    <row r="481" spans="1:13" x14ac:dyDescent="0.35">
      <c r="A481" s="352">
        <v>480</v>
      </c>
      <c r="B481" s="536" t="s">
        <v>576</v>
      </c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352" t="s">
        <v>35</v>
      </c>
    </row>
    <row r="482" spans="1:13" x14ac:dyDescent="0.35">
      <c r="A482" s="352">
        <v>481</v>
      </c>
      <c r="B482" s="357" t="s">
        <v>1334</v>
      </c>
      <c r="C482" s="537">
        <v>112</v>
      </c>
      <c r="D482" s="537">
        <v>323</v>
      </c>
      <c r="E482" s="537">
        <v>10</v>
      </c>
      <c r="F482" s="537">
        <v>153</v>
      </c>
      <c r="G482" s="426"/>
      <c r="H482" s="426"/>
      <c r="I482" s="426"/>
      <c r="J482" s="426"/>
      <c r="K482" s="537">
        <v>31</v>
      </c>
      <c r="L482" s="537">
        <v>81</v>
      </c>
      <c r="M482" s="352" t="s">
        <v>36</v>
      </c>
    </row>
    <row r="483" spans="1:13" x14ac:dyDescent="0.35">
      <c r="A483" s="352">
        <v>482</v>
      </c>
      <c r="B483" s="357" t="s">
        <v>1299</v>
      </c>
      <c r="C483" s="537">
        <v>4127</v>
      </c>
      <c r="D483" s="537">
        <v>238</v>
      </c>
      <c r="E483" s="537">
        <v>700</v>
      </c>
      <c r="F483" s="537">
        <v>2493</v>
      </c>
      <c r="G483" s="426"/>
      <c r="H483" s="426"/>
      <c r="I483" s="426"/>
      <c r="J483" s="537">
        <v>170</v>
      </c>
      <c r="K483" s="537">
        <v>2945</v>
      </c>
      <c r="L483" s="537">
        <v>1012</v>
      </c>
      <c r="M483" s="352" t="s">
        <v>36</v>
      </c>
    </row>
    <row r="484" spans="1:13" x14ac:dyDescent="0.35">
      <c r="A484" s="352">
        <v>483</v>
      </c>
      <c r="B484" s="357" t="s">
        <v>1305</v>
      </c>
      <c r="C484" s="537">
        <v>3503</v>
      </c>
      <c r="D484" s="537">
        <v>343</v>
      </c>
      <c r="E484" s="537">
        <v>415</v>
      </c>
      <c r="F484" s="537">
        <v>2111</v>
      </c>
      <c r="G484" s="426"/>
      <c r="H484" s="426"/>
      <c r="I484" s="426"/>
      <c r="J484" s="537">
        <v>15</v>
      </c>
      <c r="K484" s="537">
        <v>1209</v>
      </c>
      <c r="L484" s="537">
        <v>2279</v>
      </c>
      <c r="M484" s="352" t="s">
        <v>36</v>
      </c>
    </row>
    <row r="485" spans="1:13" x14ac:dyDescent="0.35">
      <c r="A485" s="352">
        <v>484</v>
      </c>
      <c r="B485" s="357" t="s">
        <v>1301</v>
      </c>
      <c r="C485" s="537">
        <v>1226</v>
      </c>
      <c r="D485" s="537">
        <v>720</v>
      </c>
      <c r="E485" s="537">
        <v>510</v>
      </c>
      <c r="F485" s="537">
        <v>1141</v>
      </c>
      <c r="G485" s="426"/>
      <c r="H485" s="426"/>
      <c r="I485" s="426"/>
      <c r="J485" s="537">
        <v>50</v>
      </c>
      <c r="K485" s="537">
        <v>708</v>
      </c>
      <c r="L485" s="537">
        <v>468</v>
      </c>
      <c r="M485" s="352" t="s">
        <v>36</v>
      </c>
    </row>
    <row r="486" spans="1:13" x14ac:dyDescent="0.35">
      <c r="A486" s="352">
        <v>485</v>
      </c>
      <c r="B486" s="357" t="s">
        <v>1303</v>
      </c>
      <c r="C486" s="537">
        <v>1022</v>
      </c>
      <c r="D486" s="537">
        <v>798</v>
      </c>
      <c r="E486" s="537">
        <v>415</v>
      </c>
      <c r="F486" s="537">
        <v>281</v>
      </c>
      <c r="G486" s="426"/>
      <c r="H486" s="426"/>
      <c r="I486" s="426"/>
      <c r="J486" s="426"/>
      <c r="K486" s="537">
        <v>520</v>
      </c>
      <c r="L486" s="537">
        <v>502</v>
      </c>
      <c r="M486" s="352" t="s">
        <v>36</v>
      </c>
    </row>
    <row r="487" spans="1:13" x14ac:dyDescent="0.35">
      <c r="A487" s="352">
        <v>486</v>
      </c>
      <c r="B487" s="357" t="s">
        <v>1302</v>
      </c>
      <c r="C487" s="537">
        <v>968</v>
      </c>
      <c r="D487" s="537">
        <v>577</v>
      </c>
      <c r="E487" s="537">
        <v>300</v>
      </c>
      <c r="F487" s="537">
        <v>903</v>
      </c>
      <c r="G487" s="426"/>
      <c r="H487" s="426"/>
      <c r="I487" s="426"/>
      <c r="J487" s="426"/>
      <c r="K487" s="537">
        <v>520</v>
      </c>
      <c r="L487" s="537">
        <v>448</v>
      </c>
      <c r="M487" s="352" t="s">
        <v>36</v>
      </c>
    </row>
    <row r="488" spans="1:13" x14ac:dyDescent="0.35">
      <c r="A488" s="352">
        <v>487</v>
      </c>
      <c r="B488" s="357" t="s">
        <v>1300</v>
      </c>
      <c r="C488" s="537">
        <v>967</v>
      </c>
      <c r="D488" s="537">
        <v>447</v>
      </c>
      <c r="E488" s="537">
        <v>200</v>
      </c>
      <c r="F488" s="537">
        <v>1235</v>
      </c>
      <c r="G488" s="426"/>
      <c r="H488" s="426"/>
      <c r="I488" s="426"/>
      <c r="J488" s="426"/>
      <c r="K488" s="537">
        <v>447</v>
      </c>
      <c r="L488" s="537">
        <v>520</v>
      </c>
      <c r="M488" s="352" t="s">
        <v>36</v>
      </c>
    </row>
    <row r="489" spans="1:13" x14ac:dyDescent="0.35">
      <c r="A489" s="352">
        <v>488</v>
      </c>
      <c r="B489" s="357" t="s">
        <v>1297</v>
      </c>
      <c r="C489" s="537">
        <v>890</v>
      </c>
      <c r="D489" s="537">
        <v>116</v>
      </c>
      <c r="E489" s="537">
        <v>25</v>
      </c>
      <c r="F489" s="537">
        <v>300</v>
      </c>
      <c r="G489" s="426"/>
      <c r="H489" s="426"/>
      <c r="I489" s="426"/>
      <c r="J489" s="426"/>
      <c r="K489" s="537">
        <v>215</v>
      </c>
      <c r="L489" s="537">
        <v>675</v>
      </c>
      <c r="M489" s="352" t="s">
        <v>36</v>
      </c>
    </row>
    <row r="490" spans="1:13" x14ac:dyDescent="0.35">
      <c r="A490" s="352">
        <v>489</v>
      </c>
      <c r="B490" s="357" t="s">
        <v>1298</v>
      </c>
      <c r="C490" s="537">
        <v>293</v>
      </c>
      <c r="D490" s="537">
        <v>1277</v>
      </c>
      <c r="E490" s="537">
        <v>60</v>
      </c>
      <c r="F490" s="537">
        <v>350</v>
      </c>
      <c r="G490" s="426"/>
      <c r="H490" s="426"/>
      <c r="I490" s="426"/>
      <c r="J490" s="426"/>
      <c r="K490" s="537">
        <v>47</v>
      </c>
      <c r="L490" s="537">
        <v>246</v>
      </c>
      <c r="M490" s="352" t="s">
        <v>36</v>
      </c>
    </row>
    <row r="491" spans="1:13" x14ac:dyDescent="0.35">
      <c r="A491" s="352">
        <v>490</v>
      </c>
      <c r="B491" s="357" t="s">
        <v>1296</v>
      </c>
      <c r="C491" s="537">
        <v>79</v>
      </c>
      <c r="D491" s="537">
        <v>103</v>
      </c>
      <c r="E491" s="537">
        <v>6</v>
      </c>
      <c r="F491" s="537">
        <v>226</v>
      </c>
      <c r="G491" s="426"/>
      <c r="H491" s="426"/>
      <c r="I491" s="426"/>
      <c r="J491" s="426"/>
      <c r="K491" s="537">
        <v>58</v>
      </c>
      <c r="L491" s="537">
        <v>21</v>
      </c>
      <c r="M491" s="352" t="s">
        <v>36</v>
      </c>
    </row>
    <row r="492" spans="1:13" x14ac:dyDescent="0.35">
      <c r="A492" s="352">
        <v>491</v>
      </c>
      <c r="B492" s="357" t="s">
        <v>1307</v>
      </c>
      <c r="C492" s="537">
        <v>37</v>
      </c>
      <c r="D492" s="537">
        <v>235</v>
      </c>
      <c r="E492" s="537">
        <v>8</v>
      </c>
      <c r="F492" s="537">
        <v>37</v>
      </c>
      <c r="G492" s="426"/>
      <c r="H492" s="426"/>
      <c r="I492" s="426"/>
      <c r="J492" s="426"/>
      <c r="K492" s="537">
        <v>34</v>
      </c>
      <c r="L492" s="537">
        <v>3</v>
      </c>
      <c r="M492" s="352" t="s">
        <v>36</v>
      </c>
    </row>
    <row r="493" spans="1:13" x14ac:dyDescent="0.35">
      <c r="A493" s="352">
        <v>492</v>
      </c>
      <c r="B493" s="357" t="s">
        <v>1304</v>
      </c>
      <c r="C493" s="537">
        <v>18</v>
      </c>
      <c r="D493" s="537">
        <v>375</v>
      </c>
      <c r="E493" s="537">
        <v>6</v>
      </c>
      <c r="F493" s="537">
        <v>15</v>
      </c>
      <c r="G493" s="426"/>
      <c r="H493" s="426"/>
      <c r="I493" s="426"/>
      <c r="J493" s="426"/>
      <c r="K493" s="537">
        <v>16</v>
      </c>
      <c r="L493" s="537">
        <v>2</v>
      </c>
      <c r="M493" s="352" t="s">
        <v>36</v>
      </c>
    </row>
    <row r="494" spans="1:13" x14ac:dyDescent="0.35">
      <c r="A494" s="352">
        <v>493</v>
      </c>
      <c r="B494" s="357" t="s">
        <v>1306</v>
      </c>
      <c r="C494" s="426"/>
      <c r="D494" s="426"/>
      <c r="E494" s="426"/>
      <c r="F494" s="426"/>
      <c r="G494" s="426"/>
      <c r="H494" s="426"/>
      <c r="I494" s="426"/>
      <c r="J494" s="426"/>
      <c r="K494" s="426"/>
      <c r="L494" s="426"/>
      <c r="M494" s="352" t="s">
        <v>36</v>
      </c>
    </row>
  </sheetData>
  <sortState xmlns:xlrd2="http://schemas.microsoft.com/office/spreadsheetml/2017/richdata2" ref="B483:L494">
    <sortCondition descending="1" ref="C483:C494"/>
    <sortCondition descending="1" ref="E483:E494"/>
    <sortCondition descending="1" ref="K483:K49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03D1-B70E-4B2C-8555-EB619C0B7175}">
  <dimension ref="A1:L36"/>
  <sheetViews>
    <sheetView zoomScale="70" zoomScaleNormal="70" workbookViewId="0">
      <selection activeCell="G10" sqref="G10"/>
    </sheetView>
  </sheetViews>
  <sheetFormatPr defaultRowHeight="14.5" x14ac:dyDescent="0.35"/>
  <cols>
    <col min="2" max="2" width="23.54296875" customWidth="1"/>
    <col min="3" max="3" width="15.54296875" customWidth="1"/>
    <col min="4" max="4" width="17" customWidth="1"/>
    <col min="5" max="5" width="14.1796875" customWidth="1"/>
    <col min="6" max="6" width="17.54296875" customWidth="1"/>
    <col min="7" max="7" width="24.453125" customWidth="1"/>
    <col min="8" max="8" width="29" customWidth="1"/>
    <col min="9" max="9" width="26" customWidth="1"/>
    <col min="10" max="10" width="19.1796875" customWidth="1"/>
    <col min="11" max="11" width="15.54296875" customWidth="1"/>
    <col min="12" max="12" width="18.81640625" customWidth="1"/>
  </cols>
  <sheetData>
    <row r="1" spans="1:12" ht="45.65" customHeight="1" x14ac:dyDescent="0.35">
      <c r="A1" s="1" t="s">
        <v>0</v>
      </c>
      <c r="B1" s="1" t="s">
        <v>1</v>
      </c>
      <c r="C1" s="25" t="s">
        <v>55</v>
      </c>
      <c r="D1" s="25" t="s">
        <v>56</v>
      </c>
      <c r="E1" s="26" t="s">
        <v>57</v>
      </c>
      <c r="F1" s="110" t="s">
        <v>95</v>
      </c>
      <c r="G1" s="97" t="s">
        <v>99</v>
      </c>
      <c r="H1" s="97" t="s">
        <v>100</v>
      </c>
      <c r="I1" s="97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95" t="s">
        <v>2</v>
      </c>
      <c r="C2" s="765">
        <v>99395</v>
      </c>
      <c r="D2" s="770">
        <v>720</v>
      </c>
      <c r="E2" s="770">
        <v>41648</v>
      </c>
      <c r="F2" s="766">
        <v>127072</v>
      </c>
      <c r="G2" s="765">
        <v>99395</v>
      </c>
      <c r="H2" s="766"/>
      <c r="I2" s="766"/>
      <c r="J2" s="766">
        <v>27597</v>
      </c>
      <c r="K2" s="766">
        <v>57825</v>
      </c>
      <c r="L2" s="766">
        <v>13937</v>
      </c>
    </row>
    <row r="3" spans="1:12" x14ac:dyDescent="0.35">
      <c r="A3" s="4">
        <v>2</v>
      </c>
      <c r="B3" s="96" t="s">
        <v>3</v>
      </c>
      <c r="C3" s="765">
        <v>54598</v>
      </c>
      <c r="D3" s="770">
        <v>969</v>
      </c>
      <c r="E3" s="770">
        <v>35775</v>
      </c>
      <c r="F3" s="766">
        <v>79298</v>
      </c>
      <c r="G3" s="766">
        <v>54412</v>
      </c>
      <c r="H3" s="766"/>
      <c r="I3" s="766">
        <v>186</v>
      </c>
      <c r="J3" s="766">
        <v>12765</v>
      </c>
      <c r="K3" s="766">
        <v>36750</v>
      </c>
      <c r="L3" s="766">
        <v>4897</v>
      </c>
    </row>
    <row r="4" spans="1:12" x14ac:dyDescent="0.35">
      <c r="A4" s="4">
        <v>3</v>
      </c>
      <c r="B4" s="96" t="s">
        <v>4</v>
      </c>
      <c r="C4" s="765">
        <v>79288</v>
      </c>
      <c r="D4" s="770">
        <v>809</v>
      </c>
      <c r="E4" s="770">
        <v>43593</v>
      </c>
      <c r="F4" s="766">
        <v>83896</v>
      </c>
      <c r="G4" s="766">
        <v>78491</v>
      </c>
      <c r="H4" s="766"/>
      <c r="I4" s="766">
        <v>347</v>
      </c>
      <c r="J4" s="766">
        <v>12524</v>
      </c>
      <c r="K4" s="766">
        <v>53862</v>
      </c>
      <c r="L4" s="766">
        <v>12878</v>
      </c>
    </row>
    <row r="5" spans="1:12" x14ac:dyDescent="0.35">
      <c r="A5" s="4">
        <v>4</v>
      </c>
      <c r="B5" s="96" t="s">
        <v>5</v>
      </c>
      <c r="C5" s="765">
        <v>3662</v>
      </c>
      <c r="D5" s="770">
        <v>452</v>
      </c>
      <c r="E5" s="770">
        <v>967</v>
      </c>
      <c r="F5" s="766">
        <v>11108</v>
      </c>
      <c r="G5" s="766">
        <v>3662</v>
      </c>
      <c r="H5" s="766"/>
      <c r="I5" s="766"/>
      <c r="J5" s="766">
        <v>835</v>
      </c>
      <c r="K5" s="766">
        <v>2141</v>
      </c>
      <c r="L5" s="766">
        <v>687</v>
      </c>
    </row>
    <row r="6" spans="1:12" x14ac:dyDescent="0.35">
      <c r="A6" s="4">
        <v>5</v>
      </c>
      <c r="B6" s="96" t="s">
        <v>6</v>
      </c>
      <c r="C6" s="765">
        <v>38</v>
      </c>
      <c r="D6" s="770">
        <v>935</v>
      </c>
      <c r="E6" s="770">
        <v>6</v>
      </c>
      <c r="F6" s="766">
        <v>247</v>
      </c>
      <c r="G6" s="766">
        <v>38</v>
      </c>
      <c r="H6" s="766"/>
      <c r="I6" s="766"/>
      <c r="J6" s="766">
        <v>26</v>
      </c>
      <c r="K6" s="766">
        <v>7</v>
      </c>
      <c r="L6" s="766">
        <v>6</v>
      </c>
    </row>
    <row r="7" spans="1:12" x14ac:dyDescent="0.35">
      <c r="A7" s="4">
        <v>6</v>
      </c>
      <c r="B7" s="96" t="s">
        <v>7</v>
      </c>
      <c r="C7" s="765">
        <v>2745</v>
      </c>
      <c r="D7" s="770">
        <v>591</v>
      </c>
      <c r="E7" s="770">
        <v>925</v>
      </c>
      <c r="F7" s="766">
        <v>6167</v>
      </c>
      <c r="G7" s="766">
        <v>2745</v>
      </c>
      <c r="H7" s="766"/>
      <c r="I7" s="766"/>
      <c r="J7" s="766">
        <v>795</v>
      </c>
      <c r="K7" s="766">
        <v>1565</v>
      </c>
      <c r="L7" s="766">
        <v>385</v>
      </c>
    </row>
    <row r="8" spans="1:12" x14ac:dyDescent="0.35">
      <c r="A8" s="4">
        <v>7</v>
      </c>
      <c r="B8" s="96" t="s">
        <v>8</v>
      </c>
      <c r="C8" s="765">
        <v>10445</v>
      </c>
      <c r="D8" s="770">
        <v>705</v>
      </c>
      <c r="E8" s="770">
        <v>3969</v>
      </c>
      <c r="F8" s="766">
        <v>11542</v>
      </c>
      <c r="G8" s="766">
        <v>10445</v>
      </c>
      <c r="H8" s="766"/>
      <c r="I8" s="766"/>
      <c r="J8" s="766">
        <v>4214</v>
      </c>
      <c r="K8" s="766">
        <v>5632</v>
      </c>
      <c r="L8" s="766">
        <v>600</v>
      </c>
    </row>
    <row r="9" spans="1:12" x14ac:dyDescent="0.35">
      <c r="A9" s="4">
        <v>8</v>
      </c>
      <c r="B9" s="96" t="s">
        <v>9</v>
      </c>
      <c r="C9" s="765">
        <v>705</v>
      </c>
      <c r="D9" s="770">
        <v>720</v>
      </c>
      <c r="E9" s="770">
        <v>333</v>
      </c>
      <c r="F9" s="766">
        <v>814</v>
      </c>
      <c r="G9" s="766">
        <v>705</v>
      </c>
      <c r="H9" s="766"/>
      <c r="I9" s="766"/>
      <c r="J9" s="766">
        <v>195</v>
      </c>
      <c r="K9" s="766">
        <v>463</v>
      </c>
      <c r="L9" s="766">
        <v>47</v>
      </c>
    </row>
    <row r="10" spans="1:12" x14ac:dyDescent="0.35">
      <c r="A10" s="4">
        <v>9</v>
      </c>
      <c r="B10" s="96" t="s">
        <v>10</v>
      </c>
      <c r="C10" s="765">
        <v>7059</v>
      </c>
      <c r="D10" s="770">
        <v>684</v>
      </c>
      <c r="E10" s="770">
        <v>3774</v>
      </c>
      <c r="F10" s="766">
        <v>10537</v>
      </c>
      <c r="G10" s="766">
        <v>7059</v>
      </c>
      <c r="H10" s="766"/>
      <c r="I10" s="766"/>
      <c r="J10" s="766">
        <v>1029</v>
      </c>
      <c r="K10" s="766">
        <v>5519</v>
      </c>
      <c r="L10" s="766">
        <v>511</v>
      </c>
    </row>
    <row r="11" spans="1:12" x14ac:dyDescent="0.35">
      <c r="A11" s="4">
        <v>10</v>
      </c>
      <c r="B11" s="96" t="s">
        <v>11</v>
      </c>
      <c r="C11" s="765">
        <v>78990</v>
      </c>
      <c r="D11" s="770">
        <v>896</v>
      </c>
      <c r="E11" s="770">
        <v>57510</v>
      </c>
      <c r="F11" s="766">
        <v>140873</v>
      </c>
      <c r="G11" s="766">
        <v>78711</v>
      </c>
      <c r="H11" s="766"/>
      <c r="I11" s="766">
        <v>279</v>
      </c>
      <c r="J11" s="766">
        <v>6762</v>
      </c>
      <c r="K11" s="766">
        <v>64193</v>
      </c>
      <c r="L11" s="766">
        <v>8035</v>
      </c>
    </row>
    <row r="12" spans="1:12" s="108" customFormat="1" x14ac:dyDescent="0.35">
      <c r="A12" s="102">
        <v>11</v>
      </c>
      <c r="B12" s="109" t="s">
        <v>12</v>
      </c>
      <c r="C12" s="771"/>
      <c r="D12" s="784"/>
      <c r="E12" s="772"/>
      <c r="F12" s="767"/>
      <c r="G12" s="767"/>
      <c r="H12" s="767"/>
      <c r="I12" s="767"/>
      <c r="J12" s="767"/>
      <c r="K12" s="767"/>
      <c r="L12" s="767"/>
    </row>
    <row r="13" spans="1:12" x14ac:dyDescent="0.35">
      <c r="A13" s="4">
        <v>12</v>
      </c>
      <c r="B13" s="96" t="s">
        <v>14</v>
      </c>
      <c r="C13" s="765">
        <v>9803</v>
      </c>
      <c r="D13" s="770">
        <v>449</v>
      </c>
      <c r="E13" s="770">
        <v>2193</v>
      </c>
      <c r="F13" s="766">
        <v>15418</v>
      </c>
      <c r="G13" s="766">
        <v>4815</v>
      </c>
      <c r="H13" s="766"/>
      <c r="I13" s="766">
        <v>4988</v>
      </c>
      <c r="J13" s="766">
        <v>1539</v>
      </c>
      <c r="K13" s="766">
        <v>2029</v>
      </c>
      <c r="L13" s="766">
        <v>3323</v>
      </c>
    </row>
    <row r="14" spans="1:12" x14ac:dyDescent="0.35">
      <c r="A14" s="4">
        <v>13</v>
      </c>
      <c r="B14" s="96" t="s">
        <v>15</v>
      </c>
      <c r="C14" s="765">
        <v>7651</v>
      </c>
      <c r="D14" s="770">
        <v>510</v>
      </c>
      <c r="E14" s="770">
        <v>2001</v>
      </c>
      <c r="F14" s="766">
        <v>7732</v>
      </c>
      <c r="G14" s="766">
        <v>4815</v>
      </c>
      <c r="H14" s="766"/>
      <c r="I14" s="766"/>
      <c r="J14" s="766">
        <v>2420</v>
      </c>
      <c r="K14" s="766">
        <v>3927</v>
      </c>
      <c r="L14" s="766">
        <v>1268</v>
      </c>
    </row>
    <row r="15" spans="1:12" x14ac:dyDescent="0.35">
      <c r="A15" s="4">
        <v>14</v>
      </c>
      <c r="B15" s="96" t="s">
        <v>16</v>
      </c>
      <c r="C15" s="765">
        <v>6481</v>
      </c>
      <c r="D15" s="770">
        <v>387</v>
      </c>
      <c r="E15" s="770">
        <v>1594</v>
      </c>
      <c r="F15" s="766">
        <v>18761</v>
      </c>
      <c r="G15" s="766">
        <v>5655</v>
      </c>
      <c r="H15" s="766">
        <v>36</v>
      </c>
      <c r="I15" s="766">
        <v>790</v>
      </c>
      <c r="J15" s="766">
        <v>1979</v>
      </c>
      <c r="K15" s="766">
        <v>3329</v>
      </c>
      <c r="L15" s="766">
        <v>380</v>
      </c>
    </row>
    <row r="16" spans="1:12" x14ac:dyDescent="0.35">
      <c r="A16" s="4">
        <v>15</v>
      </c>
      <c r="B16" s="96" t="s">
        <v>17</v>
      </c>
      <c r="C16" s="765">
        <v>5110</v>
      </c>
      <c r="D16" s="770">
        <v>564</v>
      </c>
      <c r="E16" s="770">
        <v>1894</v>
      </c>
      <c r="F16" s="766">
        <v>27247</v>
      </c>
      <c r="G16" s="766">
        <v>5110</v>
      </c>
      <c r="H16" s="766"/>
      <c r="I16" s="766"/>
      <c r="J16" s="766">
        <v>994</v>
      </c>
      <c r="K16" s="766">
        <v>3361</v>
      </c>
      <c r="L16" s="766">
        <v>755</v>
      </c>
    </row>
    <row r="17" spans="1:12" x14ac:dyDescent="0.35">
      <c r="A17" s="4">
        <v>16</v>
      </c>
      <c r="B17" s="96" t="s">
        <v>18</v>
      </c>
      <c r="C17" s="765">
        <v>45623</v>
      </c>
      <c r="D17" s="770">
        <v>711</v>
      </c>
      <c r="E17" s="770">
        <v>22105</v>
      </c>
      <c r="F17" s="766">
        <v>90736</v>
      </c>
      <c r="G17" s="766">
        <v>38678</v>
      </c>
      <c r="H17" s="766">
        <v>4765</v>
      </c>
      <c r="I17" s="766">
        <v>2181</v>
      </c>
      <c r="J17" s="766">
        <v>8914</v>
      </c>
      <c r="K17" s="766">
        <v>24856</v>
      </c>
      <c r="L17" s="766">
        <v>5599</v>
      </c>
    </row>
    <row r="18" spans="1:12" x14ac:dyDescent="0.35">
      <c r="A18" s="4">
        <v>17</v>
      </c>
      <c r="B18" s="96" t="s">
        <v>19</v>
      </c>
      <c r="C18" s="765">
        <v>13844</v>
      </c>
      <c r="D18" s="770">
        <v>487</v>
      </c>
      <c r="E18" s="770">
        <v>4986</v>
      </c>
      <c r="F18" s="766">
        <v>55359</v>
      </c>
      <c r="G18" s="766">
        <v>13821</v>
      </c>
      <c r="H18" s="766">
        <v>9</v>
      </c>
      <c r="I18" s="766">
        <v>14</v>
      </c>
      <c r="J18" s="766">
        <v>1375</v>
      </c>
      <c r="K18" s="766">
        <v>10236</v>
      </c>
      <c r="L18" s="766">
        <v>2225</v>
      </c>
    </row>
    <row r="19" spans="1:12" x14ac:dyDescent="0.35">
      <c r="A19" s="4">
        <v>18</v>
      </c>
      <c r="B19" s="96" t="s">
        <v>20</v>
      </c>
      <c r="C19" s="765">
        <v>7929</v>
      </c>
      <c r="D19" s="770">
        <v>542</v>
      </c>
      <c r="E19" s="770">
        <v>2566</v>
      </c>
      <c r="F19" s="766">
        <v>8500</v>
      </c>
      <c r="G19" s="766">
        <v>7929</v>
      </c>
      <c r="H19" s="766"/>
      <c r="I19" s="766"/>
      <c r="J19" s="766">
        <v>2005</v>
      </c>
      <c r="K19" s="766">
        <v>4733</v>
      </c>
      <c r="L19" s="766">
        <v>1190</v>
      </c>
    </row>
    <row r="20" spans="1:12" x14ac:dyDescent="0.35">
      <c r="A20" s="4">
        <v>19</v>
      </c>
      <c r="B20" s="96" t="s">
        <v>21</v>
      </c>
      <c r="C20" s="765">
        <v>64149</v>
      </c>
      <c r="D20" s="770">
        <v>596</v>
      </c>
      <c r="E20" s="770">
        <v>20726</v>
      </c>
      <c r="F20" s="766">
        <v>98347</v>
      </c>
      <c r="G20" s="766">
        <v>62145</v>
      </c>
      <c r="H20" s="766"/>
      <c r="I20" s="766">
        <v>241</v>
      </c>
      <c r="J20" s="766">
        <v>24686</v>
      </c>
      <c r="K20" s="766">
        <v>32958</v>
      </c>
      <c r="L20" s="766">
        <v>4707</v>
      </c>
    </row>
    <row r="21" spans="1:12" x14ac:dyDescent="0.35">
      <c r="A21" s="4">
        <v>20</v>
      </c>
      <c r="B21" s="96" t="s">
        <v>22</v>
      </c>
      <c r="C21" s="765">
        <v>10227</v>
      </c>
      <c r="D21" s="770">
        <v>452</v>
      </c>
      <c r="E21" s="770">
        <v>2131</v>
      </c>
      <c r="F21" s="766">
        <v>11183</v>
      </c>
      <c r="G21" s="766">
        <v>10227</v>
      </c>
      <c r="H21" s="766"/>
      <c r="I21" s="766"/>
      <c r="J21" s="766">
        <v>2712</v>
      </c>
      <c r="K21" s="766">
        <v>4710</v>
      </c>
      <c r="L21" s="766">
        <v>2805</v>
      </c>
    </row>
    <row r="22" spans="1:12" x14ac:dyDescent="0.35">
      <c r="A22" s="4">
        <v>21</v>
      </c>
      <c r="B22" s="96" t="s">
        <v>23</v>
      </c>
      <c r="C22" s="765">
        <v>2878</v>
      </c>
      <c r="D22" s="770">
        <v>896</v>
      </c>
      <c r="E22" s="770">
        <v>1557</v>
      </c>
      <c r="F22" s="766">
        <v>2317</v>
      </c>
      <c r="G22" s="766">
        <v>2878</v>
      </c>
      <c r="H22" s="766"/>
      <c r="I22" s="766"/>
      <c r="J22" s="766">
        <v>1070</v>
      </c>
      <c r="K22" s="766">
        <v>1739</v>
      </c>
      <c r="L22" s="766">
        <v>69</v>
      </c>
    </row>
    <row r="23" spans="1:12" x14ac:dyDescent="0.35">
      <c r="A23" s="4">
        <v>22</v>
      </c>
      <c r="B23" s="96" t="s">
        <v>24</v>
      </c>
      <c r="C23" s="765">
        <v>646</v>
      </c>
      <c r="D23" s="770">
        <v>389</v>
      </c>
      <c r="E23" s="770">
        <v>97</v>
      </c>
      <c r="F23" s="766">
        <v>932</v>
      </c>
      <c r="G23" s="766">
        <v>646</v>
      </c>
      <c r="H23" s="766"/>
      <c r="I23" s="766"/>
      <c r="J23" s="766">
        <v>315</v>
      </c>
      <c r="K23" s="766">
        <v>250</v>
      </c>
      <c r="L23" s="766">
        <v>81</v>
      </c>
    </row>
    <row r="24" spans="1:12" x14ac:dyDescent="0.35">
      <c r="A24" s="4">
        <v>23</v>
      </c>
      <c r="B24" s="96" t="s">
        <v>25</v>
      </c>
      <c r="C24" s="765">
        <v>6886</v>
      </c>
      <c r="D24" s="770">
        <v>612</v>
      </c>
      <c r="E24" s="770">
        <v>2541</v>
      </c>
      <c r="F24" s="766">
        <v>3671</v>
      </c>
      <c r="G24" s="766">
        <v>6886</v>
      </c>
      <c r="H24" s="766"/>
      <c r="I24" s="766"/>
      <c r="J24" s="766">
        <v>2341</v>
      </c>
      <c r="K24" s="766">
        <v>4152</v>
      </c>
      <c r="L24" s="766">
        <v>393</v>
      </c>
    </row>
    <row r="25" spans="1:12" x14ac:dyDescent="0.35">
      <c r="A25" s="4">
        <v>24</v>
      </c>
      <c r="B25" s="96" t="s">
        <v>26</v>
      </c>
      <c r="C25" s="765">
        <v>2692</v>
      </c>
      <c r="D25" s="770">
        <v>496</v>
      </c>
      <c r="E25" s="770">
        <v>941</v>
      </c>
      <c r="F25" s="766">
        <v>2177</v>
      </c>
      <c r="G25" s="766">
        <v>2692</v>
      </c>
      <c r="H25" s="766"/>
      <c r="I25" s="766"/>
      <c r="J25" s="766">
        <v>433</v>
      </c>
      <c r="K25" s="766">
        <v>1896</v>
      </c>
      <c r="L25" s="766">
        <v>363</v>
      </c>
    </row>
    <row r="26" spans="1:12" x14ac:dyDescent="0.35">
      <c r="A26" s="4">
        <v>25</v>
      </c>
      <c r="B26" s="96" t="s">
        <v>27</v>
      </c>
      <c r="C26" s="765">
        <v>17564</v>
      </c>
      <c r="D26" s="770">
        <v>564</v>
      </c>
      <c r="E26" s="770">
        <v>5581</v>
      </c>
      <c r="F26" s="766">
        <v>20254</v>
      </c>
      <c r="G26" s="766">
        <v>16800</v>
      </c>
      <c r="H26" s="766"/>
      <c r="I26" s="766"/>
      <c r="J26" s="766">
        <v>5496</v>
      </c>
      <c r="K26" s="766">
        <v>7944</v>
      </c>
      <c r="L26" s="766">
        <v>3534</v>
      </c>
    </row>
    <row r="27" spans="1:12" x14ac:dyDescent="0.35">
      <c r="A27" s="4">
        <v>26</v>
      </c>
      <c r="B27" s="96" t="s">
        <v>28</v>
      </c>
      <c r="C27" s="765">
        <v>14177</v>
      </c>
      <c r="D27" s="770">
        <v>708</v>
      </c>
      <c r="E27" s="770">
        <v>3298</v>
      </c>
      <c r="F27" s="766">
        <v>14595</v>
      </c>
      <c r="G27" s="766">
        <v>14177</v>
      </c>
      <c r="H27" s="766"/>
      <c r="I27" s="766"/>
      <c r="J27" s="766">
        <v>6003</v>
      </c>
      <c r="K27" s="766">
        <v>4656</v>
      </c>
      <c r="L27" s="766">
        <v>3518</v>
      </c>
    </row>
    <row r="28" spans="1:12" x14ac:dyDescent="0.35">
      <c r="A28" s="4">
        <v>27</v>
      </c>
      <c r="B28" s="96" t="s">
        <v>29</v>
      </c>
      <c r="C28" s="765">
        <v>278258</v>
      </c>
      <c r="D28" s="770">
        <v>692</v>
      </c>
      <c r="E28" s="770">
        <v>128617</v>
      </c>
      <c r="F28" s="766">
        <v>174440</v>
      </c>
      <c r="G28" s="766">
        <v>278258</v>
      </c>
      <c r="H28" s="766"/>
      <c r="I28" s="766"/>
      <c r="J28" s="766">
        <v>37101</v>
      </c>
      <c r="K28" s="766">
        <v>185915</v>
      </c>
      <c r="L28" s="766">
        <v>55243</v>
      </c>
    </row>
    <row r="29" spans="1:12" x14ac:dyDescent="0.35">
      <c r="A29" s="4">
        <v>28</v>
      </c>
      <c r="B29" s="96" t="s">
        <v>30</v>
      </c>
      <c r="C29" s="765">
        <v>195049</v>
      </c>
      <c r="D29" s="770">
        <v>776</v>
      </c>
      <c r="E29" s="770">
        <v>110418</v>
      </c>
      <c r="F29" s="766">
        <v>224039</v>
      </c>
      <c r="G29" s="766">
        <v>195049</v>
      </c>
      <c r="H29" s="766"/>
      <c r="I29" s="766"/>
      <c r="J29" s="766">
        <v>22940</v>
      </c>
      <c r="K29" s="766">
        <v>142220</v>
      </c>
      <c r="L29" s="766">
        <v>29889</v>
      </c>
    </row>
    <row r="30" spans="1:12" x14ac:dyDescent="0.35">
      <c r="A30" s="4">
        <v>29</v>
      </c>
      <c r="B30" s="96" t="s">
        <v>31</v>
      </c>
      <c r="C30" s="765">
        <v>144039</v>
      </c>
      <c r="D30" s="770">
        <v>789</v>
      </c>
      <c r="E30" s="770">
        <v>76276</v>
      </c>
      <c r="F30" s="766">
        <v>133947</v>
      </c>
      <c r="G30" s="766">
        <v>144039</v>
      </c>
      <c r="H30" s="766"/>
      <c r="I30" s="766"/>
      <c r="J30" s="766">
        <v>8742</v>
      </c>
      <c r="K30" s="766">
        <v>96637</v>
      </c>
      <c r="L30" s="766">
        <v>38660</v>
      </c>
    </row>
    <row r="31" spans="1:12" x14ac:dyDescent="0.35">
      <c r="A31" s="4">
        <v>30</v>
      </c>
      <c r="B31" s="96" t="s">
        <v>32</v>
      </c>
      <c r="C31" s="765">
        <v>244655</v>
      </c>
      <c r="D31" s="770">
        <v>660</v>
      </c>
      <c r="E31" s="770">
        <v>114002</v>
      </c>
      <c r="F31" s="766">
        <v>156296</v>
      </c>
      <c r="G31" s="766">
        <v>244655</v>
      </c>
      <c r="H31" s="766"/>
      <c r="I31" s="766"/>
      <c r="J31" s="766">
        <v>34278</v>
      </c>
      <c r="K31" s="766">
        <v>172860</v>
      </c>
      <c r="L31" s="766">
        <v>37517</v>
      </c>
    </row>
    <row r="32" spans="1:12" x14ac:dyDescent="0.35">
      <c r="A32" s="4">
        <v>31</v>
      </c>
      <c r="B32" s="96" t="s">
        <v>33</v>
      </c>
      <c r="C32" s="765">
        <v>24052</v>
      </c>
      <c r="D32" s="770">
        <v>550</v>
      </c>
      <c r="E32" s="770">
        <v>8203</v>
      </c>
      <c r="F32" s="766">
        <v>32597</v>
      </c>
      <c r="G32" s="766">
        <v>24047</v>
      </c>
      <c r="H32" s="766"/>
      <c r="I32" s="766"/>
      <c r="J32" s="766">
        <v>5810</v>
      </c>
      <c r="K32" s="766">
        <v>14926</v>
      </c>
      <c r="L32" s="766">
        <v>3316</v>
      </c>
    </row>
    <row r="33" spans="1:12" x14ac:dyDescent="0.35">
      <c r="A33" s="4">
        <v>32</v>
      </c>
      <c r="B33" s="96" t="s">
        <v>34</v>
      </c>
      <c r="C33" s="765">
        <v>22650</v>
      </c>
      <c r="D33" s="770">
        <v>659</v>
      </c>
      <c r="E33" s="770">
        <v>8699</v>
      </c>
      <c r="F33" s="766">
        <v>17837</v>
      </c>
      <c r="G33" s="766">
        <v>22650</v>
      </c>
      <c r="H33" s="766"/>
      <c r="I33" s="766"/>
      <c r="J33" s="766">
        <v>5267</v>
      </c>
      <c r="K33" s="766">
        <v>12520</v>
      </c>
      <c r="L33" s="766">
        <v>4863</v>
      </c>
    </row>
    <row r="34" spans="1:12" x14ac:dyDescent="0.35">
      <c r="A34" s="4">
        <v>33</v>
      </c>
      <c r="B34" s="96" t="s">
        <v>35</v>
      </c>
      <c r="C34" s="765">
        <v>34136</v>
      </c>
      <c r="D34" s="770">
        <v>605</v>
      </c>
      <c r="E34" s="770">
        <v>10407</v>
      </c>
      <c r="F34" s="766">
        <v>37810</v>
      </c>
      <c r="G34" s="766">
        <v>34136</v>
      </c>
      <c r="H34" s="766"/>
      <c r="I34" s="766"/>
      <c r="J34" s="766">
        <v>10706</v>
      </c>
      <c r="K34" s="766">
        <v>17198</v>
      </c>
      <c r="L34" s="766">
        <v>6232</v>
      </c>
    </row>
    <row r="35" spans="1:12" x14ac:dyDescent="0.35">
      <c r="A35" s="4">
        <v>34</v>
      </c>
      <c r="B35" s="96" t="s">
        <v>36</v>
      </c>
      <c r="C35" s="765">
        <v>13568</v>
      </c>
      <c r="D35" s="770">
        <v>409</v>
      </c>
      <c r="E35" s="785">
        <v>1325</v>
      </c>
      <c r="F35" s="766">
        <v>9165</v>
      </c>
      <c r="G35" s="766">
        <v>13568</v>
      </c>
      <c r="H35" s="766"/>
      <c r="I35" s="766"/>
      <c r="J35" s="766">
        <v>987</v>
      </c>
      <c r="K35" s="766">
        <v>3240</v>
      </c>
      <c r="L35" s="766">
        <v>9340</v>
      </c>
    </row>
    <row r="36" spans="1:12" x14ac:dyDescent="0.35">
      <c r="A36" s="10"/>
      <c r="B36" s="10" t="s">
        <v>105</v>
      </c>
      <c r="C36" s="849">
        <f>SUM(C2:C35)</f>
        <v>1508992</v>
      </c>
      <c r="D36" s="849">
        <f t="shared" ref="D36:L36" si="0">SUM(D2:D35)</f>
        <v>20984</v>
      </c>
      <c r="E36" s="849">
        <f t="shared" si="0"/>
        <v>720658</v>
      </c>
      <c r="F36" s="849">
        <f t="shared" si="0"/>
        <v>1634914</v>
      </c>
      <c r="G36" s="849">
        <f t="shared" si="0"/>
        <v>1489339</v>
      </c>
      <c r="H36" s="849">
        <f t="shared" si="0"/>
        <v>4810</v>
      </c>
      <c r="I36" s="849">
        <f t="shared" si="0"/>
        <v>9026</v>
      </c>
      <c r="J36" s="849">
        <f t="shared" si="0"/>
        <v>254855</v>
      </c>
      <c r="K36" s="849">
        <f t="shared" si="0"/>
        <v>984249</v>
      </c>
      <c r="L36" s="849">
        <f t="shared" si="0"/>
        <v>257253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54DA-F7D9-4A60-9C53-3310E5AB159F}">
  <sheetPr>
    <tabColor rgb="FFFFFF00"/>
  </sheetPr>
  <dimension ref="A1:M494"/>
  <sheetViews>
    <sheetView topLeftCell="A473" zoomScale="85" zoomScaleNormal="85" workbookViewId="0">
      <selection activeCell="B483" sqref="B483"/>
    </sheetView>
  </sheetViews>
  <sheetFormatPr defaultRowHeight="14.5" x14ac:dyDescent="0.35"/>
  <cols>
    <col min="2" max="2" width="27.36328125" style="734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3" max="13" width="23.90625" customWidth="1"/>
  </cols>
  <sheetData>
    <row r="1" spans="1:13" x14ac:dyDescent="0.35">
      <c r="A1" t="s">
        <v>0</v>
      </c>
      <c r="B1" s="764" t="s">
        <v>162</v>
      </c>
      <c r="C1" t="s">
        <v>55</v>
      </c>
      <c r="D1" t="s">
        <v>56</v>
      </c>
      <c r="E1" t="s">
        <v>57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13" x14ac:dyDescent="0.35">
      <c r="A2">
        <v>1</v>
      </c>
      <c r="B2" s="735" t="s">
        <v>922</v>
      </c>
      <c r="C2" s="540">
        <v>21005</v>
      </c>
      <c r="D2" s="540">
        <v>933</v>
      </c>
      <c r="E2" s="540">
        <v>11108</v>
      </c>
      <c r="F2" s="540">
        <v>20576</v>
      </c>
      <c r="G2" s="540"/>
      <c r="H2" s="541"/>
      <c r="I2" s="541"/>
      <c r="J2" s="540">
        <v>7467</v>
      </c>
      <c r="K2" s="540">
        <v>11902</v>
      </c>
      <c r="L2" s="540">
        <v>1636</v>
      </c>
      <c r="M2" s="352" t="s">
        <v>2</v>
      </c>
    </row>
    <row r="3" spans="1:13" x14ac:dyDescent="0.35">
      <c r="A3">
        <v>2</v>
      </c>
      <c r="B3" s="735" t="s">
        <v>936</v>
      </c>
      <c r="C3" s="540">
        <v>15095</v>
      </c>
      <c r="D3" s="540">
        <v>800</v>
      </c>
      <c r="E3" s="540">
        <v>7018</v>
      </c>
      <c r="F3" s="540">
        <v>17863</v>
      </c>
      <c r="G3" s="540"/>
      <c r="H3" s="541"/>
      <c r="I3" s="541"/>
      <c r="J3" s="540">
        <v>4618</v>
      </c>
      <c r="K3" s="540">
        <v>8773</v>
      </c>
      <c r="L3" s="540">
        <v>1704</v>
      </c>
      <c r="M3" s="352" t="s">
        <v>2</v>
      </c>
    </row>
    <row r="4" spans="1:13" x14ac:dyDescent="0.35">
      <c r="A4">
        <v>3</v>
      </c>
      <c r="B4" s="735" t="s">
        <v>923</v>
      </c>
      <c r="C4" s="540">
        <v>13573</v>
      </c>
      <c r="D4" s="540">
        <v>635</v>
      </c>
      <c r="E4" s="540">
        <v>6038</v>
      </c>
      <c r="F4" s="540">
        <v>12145</v>
      </c>
      <c r="G4" s="540"/>
      <c r="H4" s="541"/>
      <c r="I4" s="541"/>
      <c r="J4" s="540">
        <v>2769</v>
      </c>
      <c r="K4" s="540">
        <v>9509</v>
      </c>
      <c r="L4" s="540">
        <v>1295</v>
      </c>
      <c r="M4" s="352" t="s">
        <v>2</v>
      </c>
    </row>
    <row r="5" spans="1:13" x14ac:dyDescent="0.35">
      <c r="A5">
        <v>4</v>
      </c>
      <c r="B5" s="735" t="s">
        <v>927</v>
      </c>
      <c r="C5" s="540">
        <v>10376</v>
      </c>
      <c r="D5" s="540">
        <v>574</v>
      </c>
      <c r="E5" s="540">
        <v>3520</v>
      </c>
      <c r="F5" s="540">
        <v>12646</v>
      </c>
      <c r="G5" s="540"/>
      <c r="H5" s="541"/>
      <c r="I5" s="541"/>
      <c r="J5" s="540">
        <v>2282</v>
      </c>
      <c r="K5" s="540">
        <v>6133</v>
      </c>
      <c r="L5" s="540">
        <v>1961</v>
      </c>
      <c r="M5" s="352" t="s">
        <v>2</v>
      </c>
    </row>
    <row r="6" spans="1:13" x14ac:dyDescent="0.35">
      <c r="A6">
        <v>5</v>
      </c>
      <c r="B6" s="735" t="s">
        <v>929</v>
      </c>
      <c r="C6" s="540">
        <v>9403</v>
      </c>
      <c r="D6" s="540">
        <v>664</v>
      </c>
      <c r="E6" s="540">
        <v>3704</v>
      </c>
      <c r="F6" s="540">
        <v>18763</v>
      </c>
      <c r="G6" s="540"/>
      <c r="H6" s="541"/>
      <c r="I6" s="541"/>
      <c r="J6" s="540">
        <v>3388</v>
      </c>
      <c r="K6" s="540">
        <v>5578</v>
      </c>
      <c r="L6" s="540">
        <v>437</v>
      </c>
      <c r="M6" s="352" t="s">
        <v>2</v>
      </c>
    </row>
    <row r="7" spans="1:13" x14ac:dyDescent="0.35">
      <c r="A7">
        <v>6</v>
      </c>
      <c r="B7" s="735" t="s">
        <v>928</v>
      </c>
      <c r="C7" s="540">
        <v>7059</v>
      </c>
      <c r="D7" s="540">
        <v>630</v>
      </c>
      <c r="E7" s="540">
        <v>2689</v>
      </c>
      <c r="F7" s="540">
        <v>10534</v>
      </c>
      <c r="G7" s="540"/>
      <c r="H7" s="541"/>
      <c r="I7" s="541"/>
      <c r="J7" s="540">
        <v>2443</v>
      </c>
      <c r="K7" s="540">
        <v>4269</v>
      </c>
      <c r="L7" s="540">
        <v>347</v>
      </c>
      <c r="M7" s="352" t="s">
        <v>2</v>
      </c>
    </row>
    <row r="8" spans="1:13" x14ac:dyDescent="0.35">
      <c r="A8">
        <v>7</v>
      </c>
      <c r="B8" s="735" t="s">
        <v>931</v>
      </c>
      <c r="C8" s="540">
        <v>3532</v>
      </c>
      <c r="D8" s="540">
        <v>796</v>
      </c>
      <c r="E8" s="540">
        <v>1887</v>
      </c>
      <c r="F8" s="540">
        <v>4355</v>
      </c>
      <c r="G8" s="540"/>
      <c r="H8" s="541"/>
      <c r="I8" s="541"/>
      <c r="J8" s="540">
        <v>840</v>
      </c>
      <c r="K8" s="540">
        <v>2371</v>
      </c>
      <c r="L8" s="540">
        <v>321</v>
      </c>
      <c r="M8" s="352" t="s">
        <v>2</v>
      </c>
    </row>
    <row r="9" spans="1:13" x14ac:dyDescent="0.35">
      <c r="A9">
        <v>8</v>
      </c>
      <c r="B9" s="735" t="s">
        <v>926</v>
      </c>
      <c r="C9" s="540">
        <v>3467</v>
      </c>
      <c r="D9" s="540">
        <v>567</v>
      </c>
      <c r="E9" s="540">
        <v>635</v>
      </c>
      <c r="F9" s="540">
        <v>3756</v>
      </c>
      <c r="G9" s="540"/>
      <c r="H9" s="541"/>
      <c r="I9" s="541"/>
      <c r="J9" s="540">
        <v>1991</v>
      </c>
      <c r="K9" s="540">
        <v>1120</v>
      </c>
      <c r="L9" s="540">
        <v>356</v>
      </c>
      <c r="M9" s="352" t="s">
        <v>2</v>
      </c>
    </row>
    <row r="10" spans="1:13" x14ac:dyDescent="0.35">
      <c r="A10">
        <v>9</v>
      </c>
      <c r="B10" s="735" t="s">
        <v>933</v>
      </c>
      <c r="C10" s="540">
        <v>3198</v>
      </c>
      <c r="D10" s="540">
        <v>575</v>
      </c>
      <c r="E10" s="540">
        <v>548</v>
      </c>
      <c r="F10" s="540">
        <v>7050</v>
      </c>
      <c r="G10" s="540"/>
      <c r="H10" s="541"/>
      <c r="I10" s="541"/>
      <c r="J10" s="540">
        <v>6</v>
      </c>
      <c r="K10" s="540">
        <v>953</v>
      </c>
      <c r="L10" s="540">
        <v>2240</v>
      </c>
      <c r="M10" s="352" t="s">
        <v>2</v>
      </c>
    </row>
    <row r="11" spans="1:13" x14ac:dyDescent="0.35">
      <c r="A11">
        <v>10</v>
      </c>
      <c r="B11" s="735" t="s">
        <v>919</v>
      </c>
      <c r="C11" s="540">
        <v>1884</v>
      </c>
      <c r="D11" s="540">
        <v>249</v>
      </c>
      <c r="E11" s="540">
        <v>145</v>
      </c>
      <c r="F11" s="540">
        <v>1338</v>
      </c>
      <c r="G11" s="540"/>
      <c r="H11" s="541"/>
      <c r="I11" s="541"/>
      <c r="J11" s="540">
        <v>671</v>
      </c>
      <c r="K11" s="540">
        <v>582</v>
      </c>
      <c r="L11" s="540">
        <v>631</v>
      </c>
      <c r="M11" s="352" t="s">
        <v>2</v>
      </c>
    </row>
    <row r="12" spans="1:13" x14ac:dyDescent="0.35">
      <c r="A12">
        <v>11</v>
      </c>
      <c r="B12" s="735" t="s">
        <v>930</v>
      </c>
      <c r="C12" s="540">
        <v>1855</v>
      </c>
      <c r="D12" s="540">
        <v>711</v>
      </c>
      <c r="E12" s="540">
        <v>1086</v>
      </c>
      <c r="F12" s="540">
        <v>3903</v>
      </c>
      <c r="G12" s="540"/>
      <c r="H12" s="541"/>
      <c r="I12" s="541"/>
      <c r="J12" s="540">
        <v>40</v>
      </c>
      <c r="K12" s="540">
        <v>1528</v>
      </c>
      <c r="L12" s="540">
        <v>287</v>
      </c>
      <c r="M12" s="352" t="s">
        <v>2</v>
      </c>
    </row>
    <row r="13" spans="1:13" x14ac:dyDescent="0.35">
      <c r="A13">
        <v>12</v>
      </c>
      <c r="B13" s="735" t="s">
        <v>932</v>
      </c>
      <c r="C13" s="540">
        <v>1515</v>
      </c>
      <c r="D13" s="540">
        <v>594</v>
      </c>
      <c r="E13" s="540">
        <v>598</v>
      </c>
      <c r="F13" s="540">
        <v>3363</v>
      </c>
      <c r="G13" s="540"/>
      <c r="H13" s="541"/>
      <c r="I13" s="541"/>
      <c r="J13" s="540">
        <v>362</v>
      </c>
      <c r="K13" s="540">
        <v>1008</v>
      </c>
      <c r="L13" s="540">
        <v>145</v>
      </c>
      <c r="M13" s="352" t="s">
        <v>2</v>
      </c>
    </row>
    <row r="14" spans="1:13" x14ac:dyDescent="0.35">
      <c r="A14">
        <v>13</v>
      </c>
      <c r="B14" s="735" t="s">
        <v>935</v>
      </c>
      <c r="C14" s="540">
        <v>1378</v>
      </c>
      <c r="D14" s="540">
        <v>667</v>
      </c>
      <c r="E14" s="540">
        <v>888</v>
      </c>
      <c r="F14" s="540">
        <v>1825</v>
      </c>
      <c r="G14" s="540"/>
      <c r="H14" s="541"/>
      <c r="I14" s="541"/>
      <c r="J14" s="540">
        <v>30</v>
      </c>
      <c r="K14" s="540">
        <v>1331</v>
      </c>
      <c r="L14" s="540">
        <v>17</v>
      </c>
      <c r="M14" s="352" t="s">
        <v>2</v>
      </c>
    </row>
    <row r="15" spans="1:13" x14ac:dyDescent="0.35">
      <c r="A15">
        <v>14</v>
      </c>
      <c r="B15" s="735" t="s">
        <v>921</v>
      </c>
      <c r="C15" s="540">
        <v>1354</v>
      </c>
      <c r="D15" s="540">
        <v>510</v>
      </c>
      <c r="E15" s="540">
        <v>348</v>
      </c>
      <c r="F15" s="540">
        <v>2410</v>
      </c>
      <c r="G15" s="540"/>
      <c r="H15" s="541"/>
      <c r="I15" s="541"/>
      <c r="J15" s="540">
        <v>162</v>
      </c>
      <c r="K15" s="540">
        <v>682</v>
      </c>
      <c r="L15" s="540">
        <v>510</v>
      </c>
      <c r="M15" s="352" t="s">
        <v>2</v>
      </c>
    </row>
    <row r="16" spans="1:13" x14ac:dyDescent="0.35">
      <c r="A16">
        <v>15</v>
      </c>
      <c r="B16" s="735" t="s">
        <v>934</v>
      </c>
      <c r="C16" s="540">
        <v>1118</v>
      </c>
      <c r="D16" s="540">
        <v>791</v>
      </c>
      <c r="E16" s="540">
        <v>140</v>
      </c>
      <c r="F16" s="540">
        <v>654</v>
      </c>
      <c r="G16" s="540"/>
      <c r="H16" s="541"/>
      <c r="I16" s="541"/>
      <c r="J16" s="540">
        <v>78</v>
      </c>
      <c r="K16" s="540">
        <v>177</v>
      </c>
      <c r="L16" s="540">
        <v>863</v>
      </c>
      <c r="M16" s="352" t="s">
        <v>2</v>
      </c>
    </row>
    <row r="17" spans="1:13" x14ac:dyDescent="0.35">
      <c r="A17">
        <v>16</v>
      </c>
      <c r="B17" s="735" t="s">
        <v>925</v>
      </c>
      <c r="C17" s="540">
        <v>972</v>
      </c>
      <c r="D17" s="540">
        <v>639</v>
      </c>
      <c r="E17" s="540">
        <v>407</v>
      </c>
      <c r="F17" s="540">
        <v>1416</v>
      </c>
      <c r="G17" s="540"/>
      <c r="H17" s="541"/>
      <c r="I17" s="541"/>
      <c r="J17" s="542"/>
      <c r="K17" s="540">
        <v>636</v>
      </c>
      <c r="L17" s="540">
        <v>336</v>
      </c>
      <c r="M17" s="352" t="s">
        <v>2</v>
      </c>
    </row>
    <row r="18" spans="1:13" x14ac:dyDescent="0.35">
      <c r="A18">
        <v>17</v>
      </c>
      <c r="B18" s="735" t="s">
        <v>938</v>
      </c>
      <c r="C18" s="540">
        <v>735</v>
      </c>
      <c r="D18" s="540">
        <v>989</v>
      </c>
      <c r="E18" s="540">
        <v>183</v>
      </c>
      <c r="F18" s="540">
        <v>1118</v>
      </c>
      <c r="G18" s="540"/>
      <c r="H18" s="541"/>
      <c r="I18" s="541"/>
      <c r="J18" s="540">
        <v>87</v>
      </c>
      <c r="K18" s="540">
        <v>185</v>
      </c>
      <c r="L18" s="540">
        <v>463</v>
      </c>
      <c r="M18" s="352" t="s">
        <v>2</v>
      </c>
    </row>
    <row r="19" spans="1:13" x14ac:dyDescent="0.35">
      <c r="A19">
        <v>18</v>
      </c>
      <c r="B19" s="735" t="s">
        <v>941</v>
      </c>
      <c r="C19" s="540">
        <v>726</v>
      </c>
      <c r="D19" s="540">
        <v>544</v>
      </c>
      <c r="E19" s="540">
        <v>211</v>
      </c>
      <c r="F19" s="540">
        <v>1144</v>
      </c>
      <c r="G19" s="540"/>
      <c r="H19" s="541"/>
      <c r="I19" s="541"/>
      <c r="J19" s="540">
        <v>242</v>
      </c>
      <c r="K19" s="540">
        <v>388</v>
      </c>
      <c r="L19" s="540">
        <v>96</v>
      </c>
      <c r="M19" s="352" t="s">
        <v>2</v>
      </c>
    </row>
    <row r="20" spans="1:13" x14ac:dyDescent="0.35">
      <c r="A20">
        <v>19</v>
      </c>
      <c r="B20" s="735" t="s">
        <v>924</v>
      </c>
      <c r="C20" s="540">
        <v>558</v>
      </c>
      <c r="D20" s="540">
        <v>610</v>
      </c>
      <c r="E20" s="540">
        <v>255</v>
      </c>
      <c r="F20" s="540">
        <v>869</v>
      </c>
      <c r="G20" s="540"/>
      <c r="H20" s="541"/>
      <c r="I20" s="541"/>
      <c r="J20" s="540">
        <v>32</v>
      </c>
      <c r="K20" s="540">
        <v>418</v>
      </c>
      <c r="L20" s="540">
        <v>108</v>
      </c>
      <c r="M20" s="352" t="s">
        <v>2</v>
      </c>
    </row>
    <row r="21" spans="1:13" x14ac:dyDescent="0.35">
      <c r="A21">
        <v>20</v>
      </c>
      <c r="B21" s="735" t="s">
        <v>920</v>
      </c>
      <c r="C21" s="540">
        <v>350</v>
      </c>
      <c r="D21" s="540">
        <v>868</v>
      </c>
      <c r="E21" s="540">
        <v>89</v>
      </c>
      <c r="F21" s="540">
        <v>801</v>
      </c>
      <c r="G21" s="540"/>
      <c r="H21" s="541"/>
      <c r="I21" s="541"/>
      <c r="J21" s="540">
        <v>36</v>
      </c>
      <c r="K21" s="540">
        <v>102</v>
      </c>
      <c r="L21" s="540">
        <v>212</v>
      </c>
      <c r="M21" s="352" t="s">
        <v>2</v>
      </c>
    </row>
    <row r="22" spans="1:13" x14ac:dyDescent="0.35">
      <c r="A22">
        <v>21</v>
      </c>
      <c r="B22" s="539" t="s">
        <v>940</v>
      </c>
      <c r="C22" s="540">
        <v>134</v>
      </c>
      <c r="D22" s="540">
        <v>892</v>
      </c>
      <c r="E22" s="540">
        <v>75</v>
      </c>
      <c r="F22" s="540">
        <v>152</v>
      </c>
      <c r="G22" s="540"/>
      <c r="H22" s="541"/>
      <c r="I22" s="541"/>
      <c r="J22" s="540">
        <v>48</v>
      </c>
      <c r="K22" s="540">
        <v>84</v>
      </c>
      <c r="L22" s="540">
        <v>3</v>
      </c>
      <c r="M22" s="352" t="s">
        <v>2</v>
      </c>
    </row>
    <row r="23" spans="1:13" x14ac:dyDescent="0.35">
      <c r="A23">
        <v>22</v>
      </c>
      <c r="B23" s="735" t="s">
        <v>939</v>
      </c>
      <c r="C23" s="540">
        <v>109</v>
      </c>
      <c r="D23" s="540">
        <v>784</v>
      </c>
      <c r="E23" s="540">
        <v>77</v>
      </c>
      <c r="F23" s="540">
        <v>391</v>
      </c>
      <c r="G23" s="540"/>
      <c r="H23" s="541"/>
      <c r="I23" s="541"/>
      <c r="J23" s="540">
        <v>5</v>
      </c>
      <c r="K23" s="540">
        <v>98</v>
      </c>
      <c r="L23" s="540">
        <v>6</v>
      </c>
      <c r="M23" s="352" t="s">
        <v>2</v>
      </c>
    </row>
    <row r="24" spans="1:13" x14ac:dyDescent="0.35">
      <c r="A24">
        <v>23</v>
      </c>
      <c r="B24" s="735" t="s">
        <v>937</v>
      </c>
      <c r="C24" s="542"/>
      <c r="D24" s="542"/>
      <c r="E24" s="542"/>
      <c r="F24" s="542"/>
      <c r="G24" s="542"/>
      <c r="H24" s="541"/>
      <c r="I24" s="541"/>
      <c r="J24" s="542"/>
      <c r="K24" s="542"/>
      <c r="L24" s="542"/>
      <c r="M24" s="352" t="s">
        <v>2</v>
      </c>
    </row>
    <row r="25" spans="1:13" x14ac:dyDescent="0.35">
      <c r="A25">
        <v>24</v>
      </c>
      <c r="B25" s="847" t="s">
        <v>1345</v>
      </c>
      <c r="C25" s="543">
        <v>2095</v>
      </c>
      <c r="D25" s="543">
        <v>954</v>
      </c>
      <c r="E25" s="543">
        <v>702</v>
      </c>
      <c r="F25" s="543">
        <v>3220</v>
      </c>
      <c r="G25" s="543"/>
      <c r="H25" s="544"/>
      <c r="I25" s="544"/>
      <c r="J25" s="543">
        <v>956</v>
      </c>
      <c r="K25" s="543">
        <v>736</v>
      </c>
      <c r="L25" s="543">
        <v>403</v>
      </c>
      <c r="M25" s="352" t="s">
        <v>3</v>
      </c>
    </row>
    <row r="26" spans="1:13" x14ac:dyDescent="0.35">
      <c r="A26">
        <v>25</v>
      </c>
      <c r="B26" s="736" t="s">
        <v>964</v>
      </c>
      <c r="C26" s="543">
        <v>6513</v>
      </c>
      <c r="D26" s="543">
        <v>1066</v>
      </c>
      <c r="E26" s="543">
        <v>2984</v>
      </c>
      <c r="F26" s="543">
        <v>3798</v>
      </c>
      <c r="G26" s="543"/>
      <c r="H26" s="546"/>
      <c r="I26" s="546"/>
      <c r="J26" s="543">
        <v>3129</v>
      </c>
      <c r="K26" s="543">
        <v>2798</v>
      </c>
      <c r="L26" s="543">
        <v>586</v>
      </c>
      <c r="M26" s="352" t="s">
        <v>3</v>
      </c>
    </row>
    <row r="27" spans="1:13" x14ac:dyDescent="0.35">
      <c r="A27">
        <v>26</v>
      </c>
      <c r="B27" s="736" t="s">
        <v>955</v>
      </c>
      <c r="C27" s="543">
        <v>5612</v>
      </c>
      <c r="D27" s="543">
        <v>866</v>
      </c>
      <c r="E27" s="543">
        <v>3604</v>
      </c>
      <c r="F27" s="543">
        <v>3322</v>
      </c>
      <c r="G27" s="543"/>
      <c r="H27" s="543"/>
      <c r="I27" s="543"/>
      <c r="J27" s="543">
        <v>1326</v>
      </c>
      <c r="K27" s="543">
        <v>4160</v>
      </c>
      <c r="L27" s="543">
        <v>126</v>
      </c>
      <c r="M27" s="352" t="s">
        <v>3</v>
      </c>
    </row>
    <row r="28" spans="1:13" x14ac:dyDescent="0.35">
      <c r="A28">
        <v>27</v>
      </c>
      <c r="B28" s="736" t="s">
        <v>953</v>
      </c>
      <c r="C28" s="543">
        <v>4556</v>
      </c>
      <c r="D28" s="543">
        <v>1055</v>
      </c>
      <c r="E28" s="543">
        <v>3846</v>
      </c>
      <c r="F28" s="543">
        <v>8390</v>
      </c>
      <c r="G28" s="543"/>
      <c r="H28" s="543"/>
      <c r="I28" s="543"/>
      <c r="J28" s="543">
        <v>498</v>
      </c>
      <c r="K28" s="543">
        <v>3646</v>
      </c>
      <c r="L28" s="543">
        <v>412</v>
      </c>
      <c r="M28" s="352" t="s">
        <v>3</v>
      </c>
    </row>
    <row r="29" spans="1:13" x14ac:dyDescent="0.35">
      <c r="A29">
        <v>28</v>
      </c>
      <c r="B29" s="736" t="s">
        <v>952</v>
      </c>
      <c r="C29" s="543">
        <v>4243</v>
      </c>
      <c r="D29" s="543">
        <v>1024</v>
      </c>
      <c r="E29" s="543">
        <v>3204</v>
      </c>
      <c r="F29" s="543">
        <v>6583</v>
      </c>
      <c r="G29" s="543"/>
      <c r="H29" s="543"/>
      <c r="I29" s="543"/>
      <c r="J29" s="543">
        <v>703</v>
      </c>
      <c r="K29" s="543">
        <v>3128</v>
      </c>
      <c r="L29" s="543">
        <v>412</v>
      </c>
      <c r="M29" s="352" t="s">
        <v>3</v>
      </c>
    </row>
    <row r="30" spans="1:13" x14ac:dyDescent="0.35">
      <c r="A30">
        <v>29</v>
      </c>
      <c r="B30" s="736" t="s">
        <v>944</v>
      </c>
      <c r="C30" s="543">
        <v>4033</v>
      </c>
      <c r="D30" s="543">
        <v>820</v>
      </c>
      <c r="E30" s="543">
        <v>2124</v>
      </c>
      <c r="F30" s="543">
        <v>6298</v>
      </c>
      <c r="G30" s="543"/>
      <c r="H30" s="544"/>
      <c r="I30" s="544"/>
      <c r="J30" s="543">
        <v>1198</v>
      </c>
      <c r="K30" s="543">
        <v>2590</v>
      </c>
      <c r="L30" s="543">
        <v>245</v>
      </c>
      <c r="M30" s="352" t="s">
        <v>3</v>
      </c>
    </row>
    <row r="31" spans="1:13" x14ac:dyDescent="0.35">
      <c r="A31">
        <v>30</v>
      </c>
      <c r="B31" s="736" t="s">
        <v>943</v>
      </c>
      <c r="C31" s="543">
        <v>3879</v>
      </c>
      <c r="D31" s="543">
        <v>1241</v>
      </c>
      <c r="E31" s="543">
        <v>3762</v>
      </c>
      <c r="F31" s="543">
        <v>3111</v>
      </c>
      <c r="G31" s="543"/>
      <c r="H31" s="544"/>
      <c r="I31" s="544"/>
      <c r="J31" s="543">
        <v>169</v>
      </c>
      <c r="K31" s="543">
        <v>3032</v>
      </c>
      <c r="L31" s="543">
        <v>678</v>
      </c>
      <c r="M31" s="352" t="s">
        <v>3</v>
      </c>
    </row>
    <row r="32" spans="1:13" x14ac:dyDescent="0.35">
      <c r="A32">
        <v>31</v>
      </c>
      <c r="B32" s="736" t="s">
        <v>946</v>
      </c>
      <c r="C32" s="543">
        <v>3225</v>
      </c>
      <c r="D32" s="543">
        <v>720</v>
      </c>
      <c r="E32" s="543">
        <v>1894</v>
      </c>
      <c r="F32" s="543">
        <v>3672</v>
      </c>
      <c r="G32" s="543"/>
      <c r="H32" s="544"/>
      <c r="I32" s="544"/>
      <c r="J32" s="543">
        <v>420</v>
      </c>
      <c r="K32" s="543">
        <v>2632</v>
      </c>
      <c r="L32" s="543">
        <v>173</v>
      </c>
      <c r="M32" s="352" t="s">
        <v>3</v>
      </c>
    </row>
    <row r="33" spans="1:13" x14ac:dyDescent="0.35">
      <c r="A33">
        <v>32</v>
      </c>
      <c r="B33" s="736" t="s">
        <v>945</v>
      </c>
      <c r="C33" s="543">
        <v>3106</v>
      </c>
      <c r="D33" s="543">
        <v>1123</v>
      </c>
      <c r="E33" s="543">
        <v>2203</v>
      </c>
      <c r="F33" s="543">
        <v>3807</v>
      </c>
      <c r="G33" s="543"/>
      <c r="H33" s="544"/>
      <c r="I33" s="544"/>
      <c r="J33" s="543">
        <v>945</v>
      </c>
      <c r="K33" s="543">
        <v>1961</v>
      </c>
      <c r="L33" s="543">
        <v>200</v>
      </c>
      <c r="M33" s="352" t="s">
        <v>3</v>
      </c>
    </row>
    <row r="34" spans="1:13" x14ac:dyDescent="0.35">
      <c r="A34">
        <v>33</v>
      </c>
      <c r="B34" s="736" t="s">
        <v>954</v>
      </c>
      <c r="C34" s="543">
        <v>3021</v>
      </c>
      <c r="D34" s="543">
        <v>1215</v>
      </c>
      <c r="E34" s="543">
        <v>3076</v>
      </c>
      <c r="F34" s="543">
        <v>2499</v>
      </c>
      <c r="G34" s="543"/>
      <c r="H34" s="543"/>
      <c r="I34" s="543"/>
      <c r="J34" s="543">
        <v>446</v>
      </c>
      <c r="K34" s="543">
        <v>2532</v>
      </c>
      <c r="L34" s="543">
        <v>43</v>
      </c>
      <c r="M34" s="352" t="s">
        <v>3</v>
      </c>
    </row>
    <row r="35" spans="1:13" x14ac:dyDescent="0.35">
      <c r="A35">
        <v>34</v>
      </c>
      <c r="B35" s="736" t="s">
        <v>950</v>
      </c>
      <c r="C35" s="543">
        <v>2346</v>
      </c>
      <c r="D35" s="543">
        <v>767</v>
      </c>
      <c r="E35" s="543">
        <v>1248</v>
      </c>
      <c r="F35" s="543">
        <v>4698</v>
      </c>
      <c r="G35" s="543"/>
      <c r="H35" s="543"/>
      <c r="I35" s="543"/>
      <c r="J35" s="543">
        <v>160</v>
      </c>
      <c r="K35" s="543">
        <v>1627</v>
      </c>
      <c r="L35" s="543">
        <v>559</v>
      </c>
      <c r="M35" s="352" t="s">
        <v>3</v>
      </c>
    </row>
    <row r="36" spans="1:13" x14ac:dyDescent="0.35">
      <c r="A36">
        <v>35</v>
      </c>
      <c r="B36" s="736" t="s">
        <v>956</v>
      </c>
      <c r="C36" s="543">
        <v>1562</v>
      </c>
      <c r="D36" s="543">
        <v>642</v>
      </c>
      <c r="E36" s="543">
        <v>596</v>
      </c>
      <c r="F36" s="543">
        <v>2032</v>
      </c>
      <c r="G36" s="543"/>
      <c r="H36" s="544"/>
      <c r="I36" s="544"/>
      <c r="J36" s="543">
        <v>512</v>
      </c>
      <c r="K36" s="543">
        <v>929</v>
      </c>
      <c r="L36" s="543">
        <v>121</v>
      </c>
      <c r="M36" s="352" t="s">
        <v>3</v>
      </c>
    </row>
    <row r="37" spans="1:13" x14ac:dyDescent="0.35">
      <c r="A37">
        <v>36</v>
      </c>
      <c r="B37" s="736" t="s">
        <v>949</v>
      </c>
      <c r="C37" s="543">
        <v>1479</v>
      </c>
      <c r="D37" s="543">
        <v>581</v>
      </c>
      <c r="E37" s="543">
        <v>576</v>
      </c>
      <c r="F37" s="543">
        <v>13812</v>
      </c>
      <c r="G37" s="543"/>
      <c r="H37" s="543"/>
      <c r="I37" s="543"/>
      <c r="J37" s="543">
        <v>405</v>
      </c>
      <c r="K37" s="543">
        <v>992</v>
      </c>
      <c r="L37" s="543">
        <v>82</v>
      </c>
      <c r="M37" s="352" t="s">
        <v>3</v>
      </c>
    </row>
    <row r="38" spans="1:13" x14ac:dyDescent="0.35">
      <c r="A38">
        <v>37</v>
      </c>
      <c r="B38" s="736" t="s">
        <v>959</v>
      </c>
      <c r="C38" s="543">
        <v>1424</v>
      </c>
      <c r="D38" s="543">
        <v>1151</v>
      </c>
      <c r="E38" s="543">
        <v>1204</v>
      </c>
      <c r="F38" s="543">
        <v>1425</v>
      </c>
      <c r="G38" s="543"/>
      <c r="H38" s="545"/>
      <c r="I38" s="545"/>
      <c r="J38" s="543">
        <v>256</v>
      </c>
      <c r="K38" s="543">
        <v>1046</v>
      </c>
      <c r="L38" s="543">
        <v>122</v>
      </c>
      <c r="M38" s="352" t="s">
        <v>3</v>
      </c>
    </row>
    <row r="39" spans="1:13" x14ac:dyDescent="0.35">
      <c r="A39">
        <v>38</v>
      </c>
      <c r="B39" s="736" t="s">
        <v>958</v>
      </c>
      <c r="C39" s="543">
        <v>1239</v>
      </c>
      <c r="D39" s="543">
        <v>962</v>
      </c>
      <c r="E39" s="543">
        <v>1149</v>
      </c>
      <c r="F39" s="543">
        <v>4674</v>
      </c>
      <c r="G39" s="543"/>
      <c r="H39" s="544"/>
      <c r="I39" s="544"/>
      <c r="J39" s="543">
        <v>21</v>
      </c>
      <c r="K39" s="543">
        <v>1195</v>
      </c>
      <c r="L39" s="543">
        <v>23</v>
      </c>
      <c r="M39" s="352" t="s">
        <v>3</v>
      </c>
    </row>
    <row r="40" spans="1:13" x14ac:dyDescent="0.35">
      <c r="A40">
        <v>39</v>
      </c>
      <c r="B40" s="736" t="s">
        <v>951</v>
      </c>
      <c r="C40" s="543">
        <v>1222</v>
      </c>
      <c r="D40" s="543">
        <v>749</v>
      </c>
      <c r="E40" s="543">
        <v>623</v>
      </c>
      <c r="F40" s="543">
        <v>1250</v>
      </c>
      <c r="G40" s="543"/>
      <c r="H40" s="543"/>
      <c r="I40" s="543"/>
      <c r="J40" s="543">
        <v>389</v>
      </c>
      <c r="K40" s="543">
        <v>832</v>
      </c>
      <c r="L40" s="543">
        <v>1</v>
      </c>
      <c r="M40" s="352" t="s">
        <v>3</v>
      </c>
    </row>
    <row r="41" spans="1:13" x14ac:dyDescent="0.35">
      <c r="A41">
        <v>40</v>
      </c>
      <c r="B41" s="736" t="s">
        <v>965</v>
      </c>
      <c r="C41" s="543">
        <v>901</v>
      </c>
      <c r="D41" s="543">
        <v>912</v>
      </c>
      <c r="E41" s="543">
        <v>516</v>
      </c>
      <c r="F41" s="543">
        <v>2676</v>
      </c>
      <c r="G41" s="543"/>
      <c r="H41" s="546"/>
      <c r="I41" s="546"/>
      <c r="J41" s="543">
        <v>198</v>
      </c>
      <c r="K41" s="543">
        <v>566</v>
      </c>
      <c r="L41" s="543">
        <v>137</v>
      </c>
      <c r="M41" s="352" t="s">
        <v>3</v>
      </c>
    </row>
    <row r="42" spans="1:13" x14ac:dyDescent="0.35">
      <c r="A42">
        <v>41</v>
      </c>
      <c r="B42" s="736" t="s">
        <v>960</v>
      </c>
      <c r="C42" s="543">
        <v>891</v>
      </c>
      <c r="D42" s="543">
        <v>887</v>
      </c>
      <c r="E42" s="543">
        <v>423</v>
      </c>
      <c r="F42" s="543">
        <v>1050</v>
      </c>
      <c r="G42" s="543"/>
      <c r="H42" s="544"/>
      <c r="I42" s="544"/>
      <c r="J42" s="543">
        <v>276</v>
      </c>
      <c r="K42" s="543">
        <v>477</v>
      </c>
      <c r="L42" s="543">
        <v>138</v>
      </c>
      <c r="M42" s="352" t="s">
        <v>3</v>
      </c>
    </row>
    <row r="43" spans="1:13" x14ac:dyDescent="0.35">
      <c r="A43">
        <v>42</v>
      </c>
      <c r="B43" s="736" t="s">
        <v>961</v>
      </c>
      <c r="C43" s="543">
        <v>640</v>
      </c>
      <c r="D43" s="543">
        <v>928</v>
      </c>
      <c r="E43" s="543">
        <v>309</v>
      </c>
      <c r="F43" s="543">
        <v>342</v>
      </c>
      <c r="G43" s="543"/>
      <c r="H43" s="544"/>
      <c r="I43" s="544"/>
      <c r="J43" s="543">
        <v>243</v>
      </c>
      <c r="K43" s="543">
        <v>333</v>
      </c>
      <c r="L43" s="543">
        <v>64</v>
      </c>
      <c r="M43" s="352" t="s">
        <v>3</v>
      </c>
    </row>
    <row r="44" spans="1:13" x14ac:dyDescent="0.35">
      <c r="A44">
        <v>43</v>
      </c>
      <c r="B44" s="736" t="s">
        <v>948</v>
      </c>
      <c r="C44" s="543">
        <v>500</v>
      </c>
      <c r="D44" s="543">
        <v>735</v>
      </c>
      <c r="E44" s="543">
        <v>250</v>
      </c>
      <c r="F44" s="543">
        <v>264</v>
      </c>
      <c r="G44" s="543"/>
      <c r="H44" s="544"/>
      <c r="I44" s="544"/>
      <c r="J44" s="543">
        <v>32</v>
      </c>
      <c r="K44" s="543">
        <v>340</v>
      </c>
      <c r="L44" s="543">
        <v>128</v>
      </c>
      <c r="M44" s="352" t="s">
        <v>3</v>
      </c>
    </row>
    <row r="45" spans="1:13" x14ac:dyDescent="0.35">
      <c r="A45">
        <v>44</v>
      </c>
      <c r="B45" s="736" t="s">
        <v>973</v>
      </c>
      <c r="C45" s="543">
        <v>393</v>
      </c>
      <c r="D45" s="543">
        <v>992</v>
      </c>
      <c r="E45" s="543">
        <v>122</v>
      </c>
      <c r="F45" s="543">
        <v>448</v>
      </c>
      <c r="G45" s="543"/>
      <c r="H45" s="546"/>
      <c r="I45" s="546"/>
      <c r="J45" s="543">
        <v>124</v>
      </c>
      <c r="K45" s="543">
        <v>123</v>
      </c>
      <c r="L45" s="543">
        <v>146</v>
      </c>
      <c r="M45" s="352" t="s">
        <v>3</v>
      </c>
    </row>
    <row r="46" spans="1:13" x14ac:dyDescent="0.35">
      <c r="A46">
        <v>45</v>
      </c>
      <c r="B46" s="736" t="s">
        <v>963</v>
      </c>
      <c r="C46" s="543">
        <v>358</v>
      </c>
      <c r="D46" s="543">
        <v>1548</v>
      </c>
      <c r="E46" s="543">
        <v>486</v>
      </c>
      <c r="F46" s="543">
        <v>208</v>
      </c>
      <c r="G46" s="543"/>
      <c r="H46" s="544"/>
      <c r="I46" s="544"/>
      <c r="J46" s="543">
        <v>12</v>
      </c>
      <c r="K46" s="543">
        <v>314</v>
      </c>
      <c r="L46" s="543">
        <v>32</v>
      </c>
      <c r="M46" s="352" t="s">
        <v>3</v>
      </c>
    </row>
    <row r="47" spans="1:13" x14ac:dyDescent="0.35">
      <c r="A47">
        <v>46</v>
      </c>
      <c r="B47" s="736" t="s">
        <v>947</v>
      </c>
      <c r="C47" s="543">
        <v>300</v>
      </c>
      <c r="D47" s="543">
        <v>1590</v>
      </c>
      <c r="E47" s="543">
        <v>248</v>
      </c>
      <c r="F47" s="543">
        <v>724</v>
      </c>
      <c r="G47" s="543"/>
      <c r="H47" s="544"/>
      <c r="I47" s="544"/>
      <c r="J47" s="543">
        <v>129</v>
      </c>
      <c r="K47" s="543">
        <v>156</v>
      </c>
      <c r="L47" s="543">
        <v>15</v>
      </c>
      <c r="M47" s="352" t="s">
        <v>3</v>
      </c>
    </row>
    <row r="48" spans="1:13" x14ac:dyDescent="0.35">
      <c r="A48">
        <v>47</v>
      </c>
      <c r="B48" s="736" t="s">
        <v>962</v>
      </c>
      <c r="C48" s="543">
        <v>286</v>
      </c>
      <c r="D48" s="543">
        <v>1027</v>
      </c>
      <c r="E48" s="543">
        <v>228</v>
      </c>
      <c r="F48" s="543">
        <v>164</v>
      </c>
      <c r="G48" s="543"/>
      <c r="H48" s="544"/>
      <c r="I48" s="544"/>
      <c r="J48" s="543">
        <v>48</v>
      </c>
      <c r="K48" s="543">
        <v>222</v>
      </c>
      <c r="L48" s="543">
        <v>16</v>
      </c>
      <c r="M48" s="352" t="s">
        <v>3</v>
      </c>
    </row>
    <row r="49" spans="1:13" x14ac:dyDescent="0.35">
      <c r="A49">
        <v>48</v>
      </c>
      <c r="B49" s="736" t="s">
        <v>957</v>
      </c>
      <c r="C49" s="543">
        <v>224</v>
      </c>
      <c r="D49" s="543">
        <v>768</v>
      </c>
      <c r="E49" s="543">
        <v>142</v>
      </c>
      <c r="F49" s="543">
        <v>345</v>
      </c>
      <c r="G49" s="543"/>
      <c r="H49" s="544"/>
      <c r="I49" s="544"/>
      <c r="J49" s="543">
        <v>33</v>
      </c>
      <c r="K49" s="543">
        <v>185</v>
      </c>
      <c r="L49" s="543">
        <v>6</v>
      </c>
      <c r="M49" s="352" t="s">
        <v>3</v>
      </c>
    </row>
    <row r="50" spans="1:13" x14ac:dyDescent="0.35">
      <c r="A50">
        <v>49</v>
      </c>
      <c r="B50" s="736" t="s">
        <v>1329</v>
      </c>
      <c r="C50" s="543">
        <v>223</v>
      </c>
      <c r="D50" s="543">
        <v>855</v>
      </c>
      <c r="E50" s="543">
        <v>65</v>
      </c>
      <c r="F50" s="543">
        <v>306</v>
      </c>
      <c r="G50" s="543"/>
      <c r="H50" s="544"/>
      <c r="I50" s="544"/>
      <c r="J50" s="543">
        <v>126</v>
      </c>
      <c r="K50" s="543">
        <v>76</v>
      </c>
      <c r="L50" s="543">
        <v>21</v>
      </c>
      <c r="M50" s="352" t="s">
        <v>3</v>
      </c>
    </row>
    <row r="51" spans="1:13" x14ac:dyDescent="0.35">
      <c r="A51">
        <v>50</v>
      </c>
      <c r="B51" s="736" t="s">
        <v>972</v>
      </c>
      <c r="C51" s="543">
        <v>141</v>
      </c>
      <c r="D51" s="543">
        <v>918</v>
      </c>
      <c r="E51" s="543">
        <v>112</v>
      </c>
      <c r="F51" s="543">
        <v>180</v>
      </c>
      <c r="G51" s="543"/>
      <c r="H51" s="546"/>
      <c r="I51" s="546"/>
      <c r="J51" s="543">
        <v>11</v>
      </c>
      <c r="K51" s="543">
        <v>122</v>
      </c>
      <c r="L51" s="543">
        <v>8</v>
      </c>
      <c r="M51" s="352" t="s">
        <v>3</v>
      </c>
    </row>
    <row r="52" spans="1:13" x14ac:dyDescent="0.35">
      <c r="A52">
        <v>51</v>
      </c>
      <c r="B52" s="736" t="s">
        <v>966</v>
      </c>
      <c r="C52" s="547"/>
      <c r="D52" s="547"/>
      <c r="E52" s="547"/>
      <c r="F52" s="547"/>
      <c r="G52" s="547"/>
      <c r="H52" s="546"/>
      <c r="I52" s="546"/>
      <c r="J52" s="547"/>
      <c r="K52" s="547"/>
      <c r="L52" s="547"/>
      <c r="M52" s="352" t="s">
        <v>3</v>
      </c>
    </row>
    <row r="53" spans="1:13" x14ac:dyDescent="0.35">
      <c r="A53">
        <v>52</v>
      </c>
      <c r="B53" s="736" t="s">
        <v>967</v>
      </c>
      <c r="C53" s="547"/>
      <c r="D53" s="547"/>
      <c r="E53" s="547"/>
      <c r="F53" s="547"/>
      <c r="G53" s="547"/>
      <c r="H53" s="546"/>
      <c r="I53" s="546"/>
      <c r="J53" s="547"/>
      <c r="K53" s="547"/>
      <c r="L53" s="547"/>
      <c r="M53" s="352" t="s">
        <v>3</v>
      </c>
    </row>
    <row r="54" spans="1:13" x14ac:dyDescent="0.35">
      <c r="A54">
        <v>53</v>
      </c>
      <c r="B54" s="736" t="s">
        <v>968</v>
      </c>
      <c r="C54" s="547"/>
      <c r="D54" s="547"/>
      <c r="E54" s="547"/>
      <c r="F54" s="547"/>
      <c r="G54" s="547"/>
      <c r="H54" s="546"/>
      <c r="I54" s="546"/>
      <c r="J54" s="547"/>
      <c r="K54" s="547"/>
      <c r="L54" s="547"/>
      <c r="M54" s="352" t="s">
        <v>3</v>
      </c>
    </row>
    <row r="55" spans="1:13" x14ac:dyDescent="0.35">
      <c r="A55">
        <v>54</v>
      </c>
      <c r="B55" s="736" t="s">
        <v>969</v>
      </c>
      <c r="C55" s="547"/>
      <c r="D55" s="547"/>
      <c r="E55" s="547"/>
      <c r="F55" s="547"/>
      <c r="G55" s="547"/>
      <c r="H55" s="546"/>
      <c r="I55" s="546"/>
      <c r="J55" s="547"/>
      <c r="K55" s="547"/>
      <c r="L55" s="547"/>
      <c r="M55" s="352" t="s">
        <v>3</v>
      </c>
    </row>
    <row r="56" spans="1:13" x14ac:dyDescent="0.35">
      <c r="A56">
        <v>55</v>
      </c>
      <c r="B56" s="736" t="s">
        <v>970</v>
      </c>
      <c r="C56" s="547"/>
      <c r="D56" s="547"/>
      <c r="E56" s="547"/>
      <c r="F56" s="547"/>
      <c r="G56" s="547"/>
      <c r="H56" s="546"/>
      <c r="I56" s="546"/>
      <c r="J56" s="547"/>
      <c r="K56" s="547"/>
      <c r="L56" s="547"/>
      <c r="M56" s="352" t="s">
        <v>3</v>
      </c>
    </row>
    <row r="57" spans="1:13" x14ac:dyDescent="0.35">
      <c r="A57">
        <v>56</v>
      </c>
      <c r="B57" s="736" t="s">
        <v>971</v>
      </c>
      <c r="C57" s="547"/>
      <c r="D57" s="547"/>
      <c r="E57" s="547"/>
      <c r="F57" s="547"/>
      <c r="G57" s="547"/>
      <c r="H57" s="546"/>
      <c r="I57" s="546"/>
      <c r="J57" s="547"/>
      <c r="K57" s="547"/>
      <c r="L57" s="547"/>
      <c r="M57" s="352" t="s">
        <v>3</v>
      </c>
    </row>
    <row r="58" spans="1:13" x14ac:dyDescent="0.35">
      <c r="A58">
        <v>57</v>
      </c>
      <c r="B58" s="737" t="s">
        <v>216</v>
      </c>
      <c r="C58" s="548">
        <v>250</v>
      </c>
      <c r="D58" s="548">
        <v>118</v>
      </c>
      <c r="E58" s="548">
        <v>223</v>
      </c>
      <c r="F58" s="548">
        <v>2212</v>
      </c>
      <c r="G58" s="548"/>
      <c r="H58" s="548"/>
      <c r="I58" s="548"/>
      <c r="J58" s="548">
        <v>207</v>
      </c>
      <c r="K58" s="548">
        <v>1897</v>
      </c>
      <c r="L58" s="548">
        <v>396</v>
      </c>
      <c r="M58" s="352" t="s">
        <v>4</v>
      </c>
    </row>
    <row r="59" spans="1:13" x14ac:dyDescent="0.35">
      <c r="A59">
        <v>58</v>
      </c>
      <c r="B59" s="737" t="s">
        <v>225</v>
      </c>
      <c r="C59" s="548">
        <v>21969</v>
      </c>
      <c r="D59" s="548">
        <v>694</v>
      </c>
      <c r="E59" s="548">
        <v>11091</v>
      </c>
      <c r="F59" s="548">
        <v>1520</v>
      </c>
      <c r="G59" s="548"/>
      <c r="H59" s="548"/>
      <c r="I59" s="548"/>
      <c r="J59" s="548">
        <v>5030</v>
      </c>
      <c r="K59" s="548">
        <v>15990</v>
      </c>
      <c r="L59" s="548">
        <v>950</v>
      </c>
      <c r="M59" s="352" t="s">
        <v>4</v>
      </c>
    </row>
    <row r="60" spans="1:13" x14ac:dyDescent="0.35">
      <c r="A60">
        <v>59</v>
      </c>
      <c r="B60" s="737" t="s">
        <v>221</v>
      </c>
      <c r="C60" s="548">
        <v>11690</v>
      </c>
      <c r="D60" s="548">
        <v>1861</v>
      </c>
      <c r="E60" s="548">
        <v>9928</v>
      </c>
      <c r="F60" s="548">
        <v>7073</v>
      </c>
      <c r="G60" s="548"/>
      <c r="H60" s="548"/>
      <c r="I60" s="548"/>
      <c r="J60" s="548">
        <v>458</v>
      </c>
      <c r="K60" s="548">
        <v>5335</v>
      </c>
      <c r="L60" s="548">
        <v>5897</v>
      </c>
      <c r="M60" s="352" t="s">
        <v>4</v>
      </c>
    </row>
    <row r="61" spans="1:13" x14ac:dyDescent="0.35">
      <c r="A61">
        <v>60</v>
      </c>
      <c r="B61" s="737" t="s">
        <v>228</v>
      </c>
      <c r="C61" s="548">
        <v>9696</v>
      </c>
      <c r="D61" s="548">
        <v>783</v>
      </c>
      <c r="E61" s="548">
        <v>6797</v>
      </c>
      <c r="F61" s="548">
        <v>5924</v>
      </c>
      <c r="G61" s="548"/>
      <c r="H61" s="548"/>
      <c r="I61" s="548"/>
      <c r="J61" s="548">
        <v>136</v>
      </c>
      <c r="K61" s="548">
        <v>8678</v>
      </c>
      <c r="L61" s="548">
        <v>882</v>
      </c>
      <c r="M61" s="352" t="s">
        <v>4</v>
      </c>
    </row>
    <row r="62" spans="1:13" x14ac:dyDescent="0.35">
      <c r="A62">
        <v>61</v>
      </c>
      <c r="B62" s="737" t="s">
        <v>224</v>
      </c>
      <c r="C62" s="548">
        <v>6885</v>
      </c>
      <c r="D62" s="548">
        <v>527</v>
      </c>
      <c r="E62" s="548">
        <v>1767</v>
      </c>
      <c r="F62" s="548">
        <v>6039</v>
      </c>
      <c r="G62" s="548"/>
      <c r="H62" s="548"/>
      <c r="I62" s="548"/>
      <c r="J62" s="548">
        <v>728</v>
      </c>
      <c r="K62" s="548">
        <v>3352</v>
      </c>
      <c r="L62" s="548">
        <v>2805</v>
      </c>
      <c r="M62" s="352" t="s">
        <v>4</v>
      </c>
    </row>
    <row r="63" spans="1:13" x14ac:dyDescent="0.35">
      <c r="A63">
        <v>62</v>
      </c>
      <c r="B63" s="737" t="s">
        <v>223</v>
      </c>
      <c r="C63" s="548">
        <v>4875</v>
      </c>
      <c r="D63" s="548">
        <v>1019</v>
      </c>
      <c r="E63" s="548">
        <v>3302</v>
      </c>
      <c r="F63" s="548">
        <v>7044</v>
      </c>
      <c r="G63" s="548"/>
      <c r="H63" s="548"/>
      <c r="I63" s="548"/>
      <c r="J63" s="548">
        <v>1131</v>
      </c>
      <c r="K63" s="548">
        <v>3240</v>
      </c>
      <c r="L63" s="548">
        <v>504</v>
      </c>
      <c r="M63" s="352" t="s">
        <v>4</v>
      </c>
    </row>
    <row r="64" spans="1:13" x14ac:dyDescent="0.35">
      <c r="A64">
        <v>63</v>
      </c>
      <c r="B64" s="737" t="s">
        <v>218</v>
      </c>
      <c r="C64" s="548">
        <v>4103</v>
      </c>
      <c r="D64" s="548">
        <v>643</v>
      </c>
      <c r="E64" s="548">
        <v>1587</v>
      </c>
      <c r="F64" s="548">
        <v>5293</v>
      </c>
      <c r="G64" s="548"/>
      <c r="H64" s="548"/>
      <c r="I64" s="548"/>
      <c r="J64" s="548">
        <v>1587</v>
      </c>
      <c r="K64" s="548">
        <v>2467</v>
      </c>
      <c r="L64" s="548">
        <v>49</v>
      </c>
      <c r="M64" s="352" t="s">
        <v>4</v>
      </c>
    </row>
    <row r="65" spans="1:13" x14ac:dyDescent="0.35">
      <c r="A65">
        <v>64</v>
      </c>
      <c r="B65" s="737" t="s">
        <v>220</v>
      </c>
      <c r="C65" s="548">
        <v>3944</v>
      </c>
      <c r="D65" s="548">
        <v>729</v>
      </c>
      <c r="E65" s="548">
        <v>2683</v>
      </c>
      <c r="F65" s="548">
        <v>9028</v>
      </c>
      <c r="G65" s="548"/>
      <c r="H65" s="548"/>
      <c r="I65" s="548"/>
      <c r="J65" s="548">
        <v>96</v>
      </c>
      <c r="K65" s="548">
        <v>3682</v>
      </c>
      <c r="L65" s="548">
        <v>166</v>
      </c>
      <c r="M65" s="352" t="s">
        <v>4</v>
      </c>
    </row>
    <row r="66" spans="1:13" x14ac:dyDescent="0.35">
      <c r="A66">
        <v>65</v>
      </c>
      <c r="B66" s="737" t="s">
        <v>227</v>
      </c>
      <c r="C66" s="548">
        <v>3761</v>
      </c>
      <c r="D66" s="548">
        <v>900</v>
      </c>
      <c r="E66" s="548">
        <v>2420</v>
      </c>
      <c r="F66" s="548">
        <v>6344</v>
      </c>
      <c r="G66" s="548"/>
      <c r="H66" s="548"/>
      <c r="I66" s="548"/>
      <c r="J66" s="548">
        <v>239</v>
      </c>
      <c r="K66" s="548">
        <v>2688</v>
      </c>
      <c r="L66" s="548">
        <v>834</v>
      </c>
      <c r="M66" s="352" t="s">
        <v>4</v>
      </c>
    </row>
    <row r="67" spans="1:13" x14ac:dyDescent="0.35">
      <c r="A67">
        <v>66</v>
      </c>
      <c r="B67" s="737" t="s">
        <v>226</v>
      </c>
      <c r="C67" s="548">
        <v>2379</v>
      </c>
      <c r="D67" s="549"/>
      <c r="E67" s="549"/>
      <c r="F67" s="548">
        <v>3502</v>
      </c>
      <c r="G67" s="549"/>
      <c r="H67" s="548"/>
      <c r="I67" s="548"/>
      <c r="J67" s="548">
        <v>130</v>
      </c>
      <c r="K67" s="548">
        <v>1072</v>
      </c>
      <c r="L67" s="548">
        <v>7</v>
      </c>
      <c r="M67" s="352" t="s">
        <v>4</v>
      </c>
    </row>
    <row r="68" spans="1:13" x14ac:dyDescent="0.35">
      <c r="A68">
        <v>67</v>
      </c>
      <c r="B68" s="737" t="s">
        <v>217</v>
      </c>
      <c r="C68" s="548">
        <v>2286</v>
      </c>
      <c r="D68" s="548">
        <v>427</v>
      </c>
      <c r="E68" s="548">
        <v>727</v>
      </c>
      <c r="F68" s="548">
        <v>4392</v>
      </c>
      <c r="G68" s="548"/>
      <c r="H68" s="548"/>
      <c r="I68" s="548"/>
      <c r="J68" s="548">
        <v>584</v>
      </c>
      <c r="K68" s="548">
        <v>1702</v>
      </c>
      <c r="L68" s="549"/>
      <c r="M68" s="352" t="s">
        <v>4</v>
      </c>
    </row>
    <row r="69" spans="1:13" x14ac:dyDescent="0.35">
      <c r="A69">
        <v>68</v>
      </c>
      <c r="B69" s="737" t="s">
        <v>219</v>
      </c>
      <c r="C69" s="548">
        <v>1685</v>
      </c>
      <c r="D69" s="548">
        <v>855</v>
      </c>
      <c r="E69" s="548">
        <v>1031</v>
      </c>
      <c r="F69" s="548">
        <v>2567</v>
      </c>
      <c r="G69" s="548"/>
      <c r="H69" s="548"/>
      <c r="I69" s="548"/>
      <c r="J69" s="548">
        <v>475</v>
      </c>
      <c r="K69" s="548">
        <v>1206</v>
      </c>
      <c r="L69" s="548">
        <v>4</v>
      </c>
      <c r="M69" s="352" t="s">
        <v>4</v>
      </c>
    </row>
    <row r="70" spans="1:13" x14ac:dyDescent="0.35">
      <c r="A70">
        <v>69</v>
      </c>
      <c r="B70" s="737" t="s">
        <v>229</v>
      </c>
      <c r="C70" s="548">
        <v>1155</v>
      </c>
      <c r="D70" s="548">
        <v>902</v>
      </c>
      <c r="E70" s="548">
        <v>617</v>
      </c>
      <c r="F70" s="548">
        <v>1657</v>
      </c>
      <c r="G70" s="548"/>
      <c r="H70" s="548"/>
      <c r="I70" s="548"/>
      <c r="J70" s="548">
        <v>443</v>
      </c>
      <c r="K70" s="548">
        <v>683</v>
      </c>
      <c r="L70" s="548">
        <v>29</v>
      </c>
      <c r="M70" s="352" t="s">
        <v>4</v>
      </c>
    </row>
    <row r="71" spans="1:13" x14ac:dyDescent="0.35">
      <c r="A71">
        <v>70</v>
      </c>
      <c r="B71" s="737" t="s">
        <v>234</v>
      </c>
      <c r="C71" s="548">
        <v>704</v>
      </c>
      <c r="D71" s="548">
        <v>1326</v>
      </c>
      <c r="E71" s="548">
        <v>845</v>
      </c>
      <c r="F71" s="548">
        <v>3267</v>
      </c>
      <c r="G71" s="548"/>
      <c r="H71" s="548"/>
      <c r="I71" s="548"/>
      <c r="J71" s="548">
        <v>65</v>
      </c>
      <c r="K71" s="548">
        <v>637</v>
      </c>
      <c r="L71" s="548">
        <v>2</v>
      </c>
      <c r="M71" s="352" t="s">
        <v>4</v>
      </c>
    </row>
    <row r="72" spans="1:13" x14ac:dyDescent="0.35">
      <c r="A72">
        <v>71</v>
      </c>
      <c r="B72" s="737" t="s">
        <v>231</v>
      </c>
      <c r="C72" s="548">
        <v>554</v>
      </c>
      <c r="D72" s="548">
        <v>308</v>
      </c>
      <c r="E72" s="548">
        <v>154</v>
      </c>
      <c r="F72" s="548">
        <v>3128</v>
      </c>
      <c r="G72" s="548"/>
      <c r="H72" s="548"/>
      <c r="I72" s="548"/>
      <c r="J72" s="548">
        <v>33</v>
      </c>
      <c r="K72" s="548">
        <v>500</v>
      </c>
      <c r="L72" s="548">
        <v>22</v>
      </c>
      <c r="M72" s="352" t="s">
        <v>4</v>
      </c>
    </row>
    <row r="73" spans="1:13" x14ac:dyDescent="0.35">
      <c r="A73">
        <v>72</v>
      </c>
      <c r="B73" s="737" t="s">
        <v>222</v>
      </c>
      <c r="C73" s="548">
        <v>374</v>
      </c>
      <c r="D73" s="548">
        <v>450</v>
      </c>
      <c r="E73" s="548">
        <v>160</v>
      </c>
      <c r="F73" s="548">
        <v>538</v>
      </c>
      <c r="G73" s="548"/>
      <c r="H73" s="549"/>
      <c r="I73" s="549"/>
      <c r="J73" s="548">
        <v>9</v>
      </c>
      <c r="K73" s="548">
        <v>355</v>
      </c>
      <c r="L73" s="548">
        <v>10</v>
      </c>
      <c r="M73" s="352" t="s">
        <v>4</v>
      </c>
    </row>
    <row r="74" spans="1:13" x14ac:dyDescent="0.35">
      <c r="A74">
        <v>73</v>
      </c>
      <c r="B74" s="737" t="s">
        <v>230</v>
      </c>
      <c r="C74" s="548">
        <v>350</v>
      </c>
      <c r="D74" s="548">
        <v>698</v>
      </c>
      <c r="E74" s="548">
        <v>243</v>
      </c>
      <c r="F74" s="548">
        <v>382</v>
      </c>
      <c r="G74" s="548"/>
      <c r="H74" s="548"/>
      <c r="I74" s="548"/>
      <c r="J74" s="548">
        <v>2</v>
      </c>
      <c r="K74" s="548">
        <v>348</v>
      </c>
      <c r="L74" s="549"/>
      <c r="M74" s="352" t="s">
        <v>4</v>
      </c>
    </row>
    <row r="75" spans="1:13" x14ac:dyDescent="0.35">
      <c r="A75">
        <v>74</v>
      </c>
      <c r="B75" s="737" t="s">
        <v>233</v>
      </c>
      <c r="C75" s="548">
        <v>32</v>
      </c>
      <c r="D75" s="548">
        <v>539</v>
      </c>
      <c r="E75" s="548">
        <v>17</v>
      </c>
      <c r="F75" s="548">
        <v>306</v>
      </c>
      <c r="G75" s="548"/>
      <c r="H75" s="548"/>
      <c r="I75" s="548"/>
      <c r="J75" s="548">
        <v>1</v>
      </c>
      <c r="K75" s="548">
        <v>31</v>
      </c>
      <c r="L75" s="549"/>
      <c r="M75" s="352" t="s">
        <v>4</v>
      </c>
    </row>
    <row r="76" spans="1:13" x14ac:dyDescent="0.35">
      <c r="A76">
        <v>75</v>
      </c>
      <c r="B76" s="737" t="s">
        <v>232</v>
      </c>
      <c r="C76" s="549"/>
      <c r="D76" s="549"/>
      <c r="E76" s="549"/>
      <c r="F76" s="549"/>
      <c r="G76" s="549"/>
      <c r="H76" s="548"/>
      <c r="I76" s="548"/>
      <c r="J76" s="549"/>
      <c r="K76" s="549"/>
      <c r="L76" s="549"/>
      <c r="M76" s="352" t="s">
        <v>4</v>
      </c>
    </row>
    <row r="77" spans="1:13" x14ac:dyDescent="0.35">
      <c r="A77">
        <v>76</v>
      </c>
      <c r="B77" s="738" t="s">
        <v>897</v>
      </c>
      <c r="C77" s="550">
        <v>220</v>
      </c>
      <c r="D77" s="550">
        <v>216</v>
      </c>
      <c r="E77" s="550">
        <v>30</v>
      </c>
      <c r="F77" s="550">
        <v>1620</v>
      </c>
      <c r="G77" s="550"/>
      <c r="H77" s="551"/>
      <c r="I77" s="551"/>
      <c r="J77" s="550">
        <v>68</v>
      </c>
      <c r="K77" s="550">
        <v>138</v>
      </c>
      <c r="L77" s="550">
        <v>14</v>
      </c>
      <c r="M77" s="352" t="s">
        <v>5</v>
      </c>
    </row>
    <row r="78" spans="1:13" x14ac:dyDescent="0.35">
      <c r="A78">
        <v>77</v>
      </c>
      <c r="B78" s="738" t="s">
        <v>899</v>
      </c>
      <c r="C78" s="550">
        <v>1918</v>
      </c>
      <c r="D78" s="550">
        <v>463</v>
      </c>
      <c r="E78" s="550">
        <v>437</v>
      </c>
      <c r="F78" s="550">
        <v>1026</v>
      </c>
      <c r="G78" s="550"/>
      <c r="H78" s="551"/>
      <c r="I78" s="551"/>
      <c r="J78" s="550">
        <v>559</v>
      </c>
      <c r="K78" s="550">
        <v>944</v>
      </c>
      <c r="L78" s="550">
        <v>415</v>
      </c>
      <c r="M78" s="352" t="s">
        <v>5</v>
      </c>
    </row>
    <row r="79" spans="1:13" x14ac:dyDescent="0.35">
      <c r="A79">
        <v>78</v>
      </c>
      <c r="B79" s="738" t="s">
        <v>898</v>
      </c>
      <c r="C79" s="550">
        <v>611</v>
      </c>
      <c r="D79" s="550">
        <v>440</v>
      </c>
      <c r="E79" s="550">
        <v>251</v>
      </c>
      <c r="F79" s="550">
        <v>1322</v>
      </c>
      <c r="G79" s="550"/>
      <c r="H79" s="551"/>
      <c r="I79" s="551"/>
      <c r="J79" s="550">
        <v>30</v>
      </c>
      <c r="K79" s="550">
        <v>571</v>
      </c>
      <c r="L79" s="550">
        <v>10</v>
      </c>
      <c r="M79" s="352" t="s">
        <v>5</v>
      </c>
    </row>
    <row r="80" spans="1:13" x14ac:dyDescent="0.35">
      <c r="A80">
        <v>79</v>
      </c>
      <c r="B80" s="738" t="s">
        <v>902</v>
      </c>
      <c r="C80" s="550">
        <v>335</v>
      </c>
      <c r="D80" s="550">
        <v>246</v>
      </c>
      <c r="E80" s="550">
        <v>44</v>
      </c>
      <c r="F80" s="550">
        <v>5696</v>
      </c>
      <c r="G80" s="550"/>
      <c r="H80" s="551"/>
      <c r="I80" s="551"/>
      <c r="J80" s="550">
        <v>73</v>
      </c>
      <c r="K80" s="550">
        <v>180</v>
      </c>
      <c r="L80" s="550">
        <v>81</v>
      </c>
      <c r="M80" s="352" t="s">
        <v>5</v>
      </c>
    </row>
    <row r="81" spans="1:13" x14ac:dyDescent="0.35">
      <c r="A81">
        <v>80</v>
      </c>
      <c r="B81" s="738" t="s">
        <v>657</v>
      </c>
      <c r="C81" s="550">
        <v>269</v>
      </c>
      <c r="D81" s="550">
        <v>628</v>
      </c>
      <c r="E81" s="550">
        <v>114</v>
      </c>
      <c r="F81" s="550">
        <v>487</v>
      </c>
      <c r="G81" s="550"/>
      <c r="H81" s="551"/>
      <c r="I81" s="555"/>
      <c r="J81" s="550">
        <v>62</v>
      </c>
      <c r="K81" s="550">
        <v>181</v>
      </c>
      <c r="L81" s="550">
        <v>26</v>
      </c>
      <c r="M81" s="352" t="s">
        <v>5</v>
      </c>
    </row>
    <row r="82" spans="1:13" x14ac:dyDescent="0.35">
      <c r="A82">
        <v>81</v>
      </c>
      <c r="B82" s="738" t="s">
        <v>655</v>
      </c>
      <c r="C82" s="550">
        <v>195</v>
      </c>
      <c r="D82" s="550">
        <v>617</v>
      </c>
      <c r="E82" s="550">
        <v>37</v>
      </c>
      <c r="F82" s="550">
        <v>492</v>
      </c>
      <c r="G82" s="550"/>
      <c r="H82" s="551"/>
      <c r="I82" s="555"/>
      <c r="J82" s="550">
        <v>0</v>
      </c>
      <c r="K82" s="550">
        <v>60</v>
      </c>
      <c r="L82" s="550">
        <v>135</v>
      </c>
      <c r="M82" s="352" t="s">
        <v>5</v>
      </c>
    </row>
    <row r="83" spans="1:13" x14ac:dyDescent="0.35">
      <c r="A83">
        <v>82</v>
      </c>
      <c r="B83" s="738" t="s">
        <v>901</v>
      </c>
      <c r="C83" s="550">
        <v>77</v>
      </c>
      <c r="D83" s="550">
        <v>829</v>
      </c>
      <c r="E83" s="550">
        <v>34</v>
      </c>
      <c r="F83" s="550">
        <v>389</v>
      </c>
      <c r="G83" s="550"/>
      <c r="H83" s="551"/>
      <c r="I83" s="551"/>
      <c r="J83" s="550">
        <v>31</v>
      </c>
      <c r="K83" s="550">
        <v>41</v>
      </c>
      <c r="L83" s="550">
        <v>5</v>
      </c>
      <c r="M83" s="352" t="s">
        <v>5</v>
      </c>
    </row>
    <row r="84" spans="1:13" x14ac:dyDescent="0.35">
      <c r="A84">
        <v>83</v>
      </c>
      <c r="B84" s="738" t="s">
        <v>659</v>
      </c>
      <c r="C84" s="550">
        <v>25</v>
      </c>
      <c r="D84" s="550">
        <v>686</v>
      </c>
      <c r="E84" s="550">
        <v>12</v>
      </c>
      <c r="F84" s="550">
        <v>45</v>
      </c>
      <c r="G84" s="550"/>
      <c r="H84" s="551"/>
      <c r="I84" s="555"/>
      <c r="J84" s="550">
        <v>7</v>
      </c>
      <c r="K84" s="550">
        <v>17</v>
      </c>
      <c r="L84" s="550">
        <v>1</v>
      </c>
      <c r="M84" s="352" t="s">
        <v>5</v>
      </c>
    </row>
    <row r="85" spans="1:13" x14ac:dyDescent="0.35">
      <c r="A85">
        <v>84</v>
      </c>
      <c r="B85" s="738" t="s">
        <v>658</v>
      </c>
      <c r="C85" s="550">
        <v>12</v>
      </c>
      <c r="D85" s="550">
        <v>1029</v>
      </c>
      <c r="E85" s="550">
        <v>7</v>
      </c>
      <c r="F85" s="550">
        <v>29</v>
      </c>
      <c r="G85" s="552"/>
      <c r="H85" s="555"/>
      <c r="I85" s="555"/>
      <c r="J85" s="550">
        <v>5</v>
      </c>
      <c r="K85" s="550">
        <v>7</v>
      </c>
      <c r="L85" s="554"/>
      <c r="M85" s="352" t="s">
        <v>5</v>
      </c>
    </row>
    <row r="86" spans="1:13" x14ac:dyDescent="0.35">
      <c r="A86">
        <v>85</v>
      </c>
      <c r="B86" s="738" t="s">
        <v>900</v>
      </c>
      <c r="C86" s="550">
        <v>1</v>
      </c>
      <c r="D86" s="550">
        <v>130</v>
      </c>
      <c r="E86" s="550">
        <v>1</v>
      </c>
      <c r="F86" s="550">
        <v>2</v>
      </c>
      <c r="G86" s="552"/>
      <c r="H86" s="551"/>
      <c r="I86" s="553"/>
      <c r="J86" s="554"/>
      <c r="K86" s="550">
        <v>1</v>
      </c>
      <c r="L86" s="554"/>
      <c r="M86" s="352" t="s">
        <v>5</v>
      </c>
    </row>
    <row r="87" spans="1:13" x14ac:dyDescent="0.35">
      <c r="A87">
        <v>86</v>
      </c>
      <c r="B87" s="738" t="s">
        <v>656</v>
      </c>
      <c r="C87" s="554"/>
      <c r="D87" s="554"/>
      <c r="E87" s="554"/>
      <c r="F87" s="554"/>
      <c r="G87" s="554"/>
      <c r="H87" s="555"/>
      <c r="I87" s="555"/>
      <c r="J87" s="554"/>
      <c r="K87" s="554"/>
      <c r="L87" s="554"/>
      <c r="M87" s="352" t="s">
        <v>5</v>
      </c>
    </row>
    <row r="88" spans="1:13" x14ac:dyDescent="0.35">
      <c r="A88">
        <v>87</v>
      </c>
      <c r="B88" s="738" t="s">
        <v>246</v>
      </c>
      <c r="C88" s="554"/>
      <c r="D88" s="554"/>
      <c r="E88" s="554"/>
      <c r="F88" s="554"/>
      <c r="G88" s="554"/>
      <c r="H88" s="553"/>
      <c r="I88" s="553"/>
      <c r="J88" s="554"/>
      <c r="K88" s="554"/>
      <c r="L88" s="554"/>
      <c r="M88" s="352" t="s">
        <v>5</v>
      </c>
    </row>
    <row r="89" spans="1:13" x14ac:dyDescent="0.35">
      <c r="A89">
        <v>88</v>
      </c>
      <c r="B89" s="739" t="s">
        <v>903</v>
      </c>
      <c r="C89" s="556">
        <v>27</v>
      </c>
      <c r="D89" s="557">
        <v>99</v>
      </c>
      <c r="E89" s="557">
        <v>6</v>
      </c>
      <c r="F89" s="557">
        <v>245</v>
      </c>
      <c r="G89" s="556"/>
      <c r="H89" s="556"/>
      <c r="I89" s="556"/>
      <c r="J89" s="558">
        <v>17</v>
      </c>
      <c r="K89" s="556">
        <v>6</v>
      </c>
      <c r="L89" s="557">
        <v>4</v>
      </c>
      <c r="M89" s="352" t="s">
        <v>6</v>
      </c>
    </row>
    <row r="90" spans="1:13" x14ac:dyDescent="0.35">
      <c r="A90">
        <v>89</v>
      </c>
      <c r="B90" s="740" t="s">
        <v>904</v>
      </c>
      <c r="C90" s="556">
        <v>8</v>
      </c>
      <c r="D90" s="557">
        <v>7</v>
      </c>
      <c r="E90" s="557"/>
      <c r="F90" s="557">
        <v>1</v>
      </c>
      <c r="G90" s="556"/>
      <c r="H90" s="556"/>
      <c r="I90" s="556"/>
      <c r="J90" s="556">
        <v>8</v>
      </c>
      <c r="K90" s="556"/>
      <c r="L90" s="557"/>
      <c r="M90" s="352" t="s">
        <v>6</v>
      </c>
    </row>
    <row r="91" spans="1:13" x14ac:dyDescent="0.35">
      <c r="A91">
        <v>90</v>
      </c>
      <c r="B91" s="739" t="s">
        <v>249</v>
      </c>
      <c r="C91" s="556">
        <v>3</v>
      </c>
      <c r="D91" s="557">
        <v>200</v>
      </c>
      <c r="E91" s="557">
        <v>0</v>
      </c>
      <c r="F91" s="557">
        <v>1</v>
      </c>
      <c r="G91" s="559"/>
      <c r="H91" s="559"/>
      <c r="I91" s="559"/>
      <c r="J91" s="556">
        <v>1</v>
      </c>
      <c r="K91" s="556">
        <v>1</v>
      </c>
      <c r="L91" s="557">
        <v>2</v>
      </c>
      <c r="M91" s="352" t="s">
        <v>6</v>
      </c>
    </row>
    <row r="92" spans="1:13" x14ac:dyDescent="0.35">
      <c r="A92">
        <v>91</v>
      </c>
      <c r="B92" s="739" t="s">
        <v>905</v>
      </c>
      <c r="C92" s="557"/>
      <c r="D92" s="557"/>
      <c r="E92" s="557"/>
      <c r="F92" s="557"/>
      <c r="G92" s="556"/>
      <c r="H92" s="556"/>
      <c r="I92" s="556"/>
      <c r="J92" s="557"/>
      <c r="K92" s="557"/>
      <c r="L92" s="557"/>
      <c r="M92" s="352" t="s">
        <v>6</v>
      </c>
    </row>
    <row r="93" spans="1:13" x14ac:dyDescent="0.35">
      <c r="A93">
        <v>92</v>
      </c>
      <c r="B93" s="739" t="s">
        <v>248</v>
      </c>
      <c r="C93" s="557"/>
      <c r="D93" s="557"/>
      <c r="E93" s="557"/>
      <c r="F93" s="557"/>
      <c r="G93" s="556"/>
      <c r="H93" s="556"/>
      <c r="I93" s="556"/>
      <c r="J93" s="557"/>
      <c r="K93" s="557"/>
      <c r="L93" s="557"/>
      <c r="M93" s="352" t="s">
        <v>6</v>
      </c>
    </row>
    <row r="94" spans="1:13" x14ac:dyDescent="0.35">
      <c r="A94">
        <v>93</v>
      </c>
      <c r="B94" s="739" t="s">
        <v>906</v>
      </c>
      <c r="C94" s="557"/>
      <c r="D94" s="557"/>
      <c r="E94" s="557"/>
      <c r="F94" s="557"/>
      <c r="G94" s="556"/>
      <c r="H94" s="556"/>
      <c r="I94" s="556"/>
      <c r="J94" s="557"/>
      <c r="K94" s="557"/>
      <c r="L94" s="557"/>
      <c r="M94" s="352" t="s">
        <v>6</v>
      </c>
    </row>
    <row r="95" spans="1:13" x14ac:dyDescent="0.35">
      <c r="A95">
        <v>94</v>
      </c>
      <c r="B95" s="741" t="s">
        <v>1308</v>
      </c>
      <c r="C95" s="562">
        <v>220</v>
      </c>
      <c r="D95" s="562">
        <v>417</v>
      </c>
      <c r="E95" s="562">
        <v>53</v>
      </c>
      <c r="F95" s="562">
        <v>424</v>
      </c>
      <c r="G95" s="562"/>
      <c r="H95" s="560"/>
      <c r="I95" s="560"/>
      <c r="J95" s="561"/>
      <c r="K95" s="561"/>
      <c r="L95" s="561"/>
      <c r="M95" s="352" t="s">
        <v>7</v>
      </c>
    </row>
    <row r="96" spans="1:13" x14ac:dyDescent="0.35">
      <c r="A96">
        <v>95</v>
      </c>
      <c r="B96" s="741" t="s">
        <v>1312</v>
      </c>
      <c r="C96" s="562">
        <v>807</v>
      </c>
      <c r="D96" s="562">
        <v>653</v>
      </c>
      <c r="E96" s="562">
        <v>358</v>
      </c>
      <c r="F96" s="562">
        <v>1121</v>
      </c>
      <c r="G96" s="562"/>
      <c r="H96" s="565"/>
      <c r="I96" s="565"/>
      <c r="J96" s="562">
        <v>6</v>
      </c>
      <c r="K96" s="562">
        <v>35</v>
      </c>
      <c r="L96" s="562">
        <v>5</v>
      </c>
      <c r="M96" s="352" t="s">
        <v>7</v>
      </c>
    </row>
    <row r="97" spans="1:13" x14ac:dyDescent="0.35">
      <c r="A97">
        <v>96</v>
      </c>
      <c r="B97" s="741" t="s">
        <v>1313</v>
      </c>
      <c r="C97" s="562">
        <v>441</v>
      </c>
      <c r="D97" s="562">
        <v>785</v>
      </c>
      <c r="E97" s="562">
        <v>241</v>
      </c>
      <c r="F97" s="562">
        <v>752</v>
      </c>
      <c r="G97" s="562"/>
      <c r="H97" s="565"/>
      <c r="I97" s="565"/>
      <c r="J97" s="562">
        <v>109</v>
      </c>
      <c r="K97" s="562">
        <v>548</v>
      </c>
      <c r="L97" s="562">
        <v>150</v>
      </c>
      <c r="M97" s="352" t="s">
        <v>7</v>
      </c>
    </row>
    <row r="98" spans="1:13" x14ac:dyDescent="0.35">
      <c r="A98">
        <v>97</v>
      </c>
      <c r="B98" s="741" t="s">
        <v>1314</v>
      </c>
      <c r="C98" s="562">
        <v>351</v>
      </c>
      <c r="D98" s="562">
        <v>154</v>
      </c>
      <c r="E98" s="562">
        <v>31</v>
      </c>
      <c r="F98" s="562">
        <v>191</v>
      </c>
      <c r="G98" s="562"/>
      <c r="H98" s="564"/>
      <c r="I98" s="565"/>
      <c r="J98" s="562">
        <v>53</v>
      </c>
      <c r="K98" s="562">
        <v>307</v>
      </c>
      <c r="L98" s="562">
        <v>81</v>
      </c>
      <c r="M98" s="352" t="s">
        <v>7</v>
      </c>
    </row>
    <row r="99" spans="1:13" x14ac:dyDescent="0.35">
      <c r="A99">
        <v>98</v>
      </c>
      <c r="B99" s="741" t="s">
        <v>1315</v>
      </c>
      <c r="C99" s="562">
        <v>341</v>
      </c>
      <c r="D99" s="562">
        <v>505</v>
      </c>
      <c r="E99" s="562">
        <v>54</v>
      </c>
      <c r="F99" s="562">
        <v>657</v>
      </c>
      <c r="G99" s="562"/>
      <c r="H99" s="565"/>
      <c r="I99" s="565"/>
      <c r="J99" s="562">
        <v>72</v>
      </c>
      <c r="K99" s="562">
        <v>201</v>
      </c>
      <c r="L99" s="562">
        <v>78</v>
      </c>
      <c r="M99" s="352" t="s">
        <v>7</v>
      </c>
    </row>
    <row r="100" spans="1:13" x14ac:dyDescent="0.35">
      <c r="A100">
        <v>99</v>
      </c>
      <c r="B100" s="741" t="s">
        <v>1309</v>
      </c>
      <c r="C100" s="562">
        <v>271</v>
      </c>
      <c r="D100" s="562">
        <v>667</v>
      </c>
      <c r="E100" s="562">
        <v>58</v>
      </c>
      <c r="F100" s="562">
        <v>2197</v>
      </c>
      <c r="G100" s="562"/>
      <c r="H100" s="564"/>
      <c r="I100" s="565"/>
      <c r="J100" s="562">
        <v>85</v>
      </c>
      <c r="K100" s="562">
        <v>127</v>
      </c>
      <c r="L100" s="562">
        <v>8</v>
      </c>
      <c r="M100" s="352" t="s">
        <v>7</v>
      </c>
    </row>
    <row r="101" spans="1:13" x14ac:dyDescent="0.35">
      <c r="A101">
        <v>100</v>
      </c>
      <c r="B101" s="741" t="s">
        <v>1318</v>
      </c>
      <c r="C101" s="562">
        <v>123</v>
      </c>
      <c r="D101" s="562">
        <v>408</v>
      </c>
      <c r="E101" s="562">
        <v>40</v>
      </c>
      <c r="F101" s="562">
        <v>264</v>
      </c>
      <c r="G101" s="562"/>
      <c r="H101" s="567"/>
      <c r="I101" s="567"/>
      <c r="J101" s="566"/>
      <c r="K101" s="566"/>
      <c r="L101" s="566"/>
      <c r="M101" s="352" t="s">
        <v>7</v>
      </c>
    </row>
    <row r="102" spans="1:13" x14ac:dyDescent="0.35">
      <c r="A102">
        <v>101</v>
      </c>
      <c r="B102" s="741" t="s">
        <v>1316</v>
      </c>
      <c r="C102" s="562">
        <v>96</v>
      </c>
      <c r="D102" s="563">
        <v>1</v>
      </c>
      <c r="E102" s="562">
        <v>55</v>
      </c>
      <c r="F102" s="562">
        <v>116</v>
      </c>
      <c r="G102" s="563"/>
      <c r="H102" s="567"/>
      <c r="I102" s="567"/>
      <c r="J102" s="562">
        <v>184</v>
      </c>
      <c r="K102" s="562">
        <v>107</v>
      </c>
      <c r="L102" s="562">
        <v>50</v>
      </c>
      <c r="M102" s="352" t="s">
        <v>7</v>
      </c>
    </row>
    <row r="103" spans="1:13" x14ac:dyDescent="0.35">
      <c r="A103">
        <v>102</v>
      </c>
      <c r="B103" s="741" t="s">
        <v>1310</v>
      </c>
      <c r="C103" s="562">
        <v>49</v>
      </c>
      <c r="D103" s="566"/>
      <c r="E103" s="566"/>
      <c r="F103" s="562">
        <v>55</v>
      </c>
      <c r="G103" s="566"/>
      <c r="H103" s="564"/>
      <c r="I103" s="565"/>
      <c r="J103" s="562">
        <v>179</v>
      </c>
      <c r="K103" s="562">
        <v>87</v>
      </c>
      <c r="L103" s="562">
        <v>5</v>
      </c>
      <c r="M103" s="352" t="s">
        <v>7</v>
      </c>
    </row>
    <row r="104" spans="1:13" x14ac:dyDescent="0.35">
      <c r="A104">
        <v>103</v>
      </c>
      <c r="B104" s="741" t="s">
        <v>1311</v>
      </c>
      <c r="C104" s="562">
        <v>46</v>
      </c>
      <c r="D104" s="563">
        <v>1</v>
      </c>
      <c r="E104" s="562">
        <v>35</v>
      </c>
      <c r="F104" s="562">
        <v>390</v>
      </c>
      <c r="G104" s="563"/>
      <c r="H104" s="564"/>
      <c r="I104" s="565"/>
      <c r="J104" s="562">
        <v>49</v>
      </c>
      <c r="K104" s="566"/>
      <c r="L104" s="566"/>
      <c r="M104" s="352" t="s">
        <v>7</v>
      </c>
    </row>
    <row r="105" spans="1:13" x14ac:dyDescent="0.35">
      <c r="A105">
        <v>104</v>
      </c>
      <c r="B105" s="741" t="s">
        <v>1317</v>
      </c>
      <c r="C105" s="566"/>
      <c r="D105" s="566"/>
      <c r="E105" s="566"/>
      <c r="F105" s="566"/>
      <c r="G105" s="566"/>
      <c r="H105" s="565"/>
      <c r="I105" s="565"/>
      <c r="J105" s="562">
        <v>33</v>
      </c>
      <c r="K105" s="562">
        <v>55</v>
      </c>
      <c r="L105" s="562">
        <v>8</v>
      </c>
      <c r="M105" s="352" t="s">
        <v>7</v>
      </c>
    </row>
    <row r="106" spans="1:13" x14ac:dyDescent="0.35">
      <c r="A106">
        <v>105</v>
      </c>
      <c r="B106" s="742" t="s">
        <v>985</v>
      </c>
      <c r="C106" s="568">
        <v>92</v>
      </c>
      <c r="D106" s="568">
        <v>841</v>
      </c>
      <c r="E106" s="568">
        <v>37</v>
      </c>
      <c r="F106" s="568">
        <v>92</v>
      </c>
      <c r="G106" s="568"/>
      <c r="H106" s="568"/>
      <c r="I106" s="568"/>
      <c r="J106" s="568">
        <v>35</v>
      </c>
      <c r="K106" s="568">
        <v>44</v>
      </c>
      <c r="L106" s="568">
        <v>13</v>
      </c>
      <c r="M106" s="352" t="s">
        <v>8</v>
      </c>
    </row>
    <row r="107" spans="1:13" x14ac:dyDescent="0.35">
      <c r="A107">
        <v>106</v>
      </c>
      <c r="B107" s="742" t="s">
        <v>988</v>
      </c>
      <c r="C107" s="568">
        <v>4363</v>
      </c>
      <c r="D107" s="568">
        <v>783</v>
      </c>
      <c r="E107" s="568">
        <v>190</v>
      </c>
      <c r="F107" s="568">
        <v>2409</v>
      </c>
      <c r="G107" s="568"/>
      <c r="H107" s="568"/>
      <c r="I107" s="568"/>
      <c r="J107" s="568">
        <v>190</v>
      </c>
      <c r="K107" s="568">
        <v>2428</v>
      </c>
      <c r="L107" s="568">
        <v>35</v>
      </c>
      <c r="M107" s="352" t="s">
        <v>8</v>
      </c>
    </row>
    <row r="108" spans="1:13" x14ac:dyDescent="0.35">
      <c r="A108">
        <v>107</v>
      </c>
      <c r="B108" s="742" t="s">
        <v>992</v>
      </c>
      <c r="C108" s="568">
        <v>1446</v>
      </c>
      <c r="D108" s="568">
        <v>600</v>
      </c>
      <c r="E108" s="568">
        <v>554</v>
      </c>
      <c r="F108" s="568">
        <v>3113</v>
      </c>
      <c r="G108" s="568"/>
      <c r="H108" s="568"/>
      <c r="I108" s="568"/>
      <c r="J108" s="568">
        <v>483</v>
      </c>
      <c r="K108" s="568">
        <v>924</v>
      </c>
      <c r="L108" s="568">
        <v>39</v>
      </c>
      <c r="M108" s="352" t="s">
        <v>8</v>
      </c>
    </row>
    <row r="109" spans="1:13" x14ac:dyDescent="0.35">
      <c r="A109">
        <v>108</v>
      </c>
      <c r="B109" s="742" t="s">
        <v>1000</v>
      </c>
      <c r="C109" s="568">
        <v>1209</v>
      </c>
      <c r="D109" s="568">
        <v>592</v>
      </c>
      <c r="E109" s="568">
        <v>302</v>
      </c>
      <c r="F109" s="568">
        <v>990</v>
      </c>
      <c r="G109" s="568"/>
      <c r="H109" s="568"/>
      <c r="I109" s="568"/>
      <c r="J109" s="568">
        <v>669</v>
      </c>
      <c r="K109" s="568">
        <v>510</v>
      </c>
      <c r="L109" s="568">
        <v>30</v>
      </c>
      <c r="M109" s="352" t="s">
        <v>8</v>
      </c>
    </row>
    <row r="110" spans="1:13" x14ac:dyDescent="0.35">
      <c r="A110">
        <v>109</v>
      </c>
      <c r="B110" s="742" t="s">
        <v>995</v>
      </c>
      <c r="C110" s="568">
        <v>1019</v>
      </c>
      <c r="D110" s="568">
        <v>831</v>
      </c>
      <c r="E110" s="568">
        <v>358</v>
      </c>
      <c r="F110" s="568">
        <v>676</v>
      </c>
      <c r="G110" s="568"/>
      <c r="H110" s="568"/>
      <c r="I110" s="568"/>
      <c r="J110" s="568">
        <v>363</v>
      </c>
      <c r="K110" s="568">
        <v>431</v>
      </c>
      <c r="L110" s="568">
        <v>225</v>
      </c>
      <c r="M110" s="352" t="s">
        <v>8</v>
      </c>
    </row>
    <row r="111" spans="1:13" x14ac:dyDescent="0.35">
      <c r="A111">
        <v>110</v>
      </c>
      <c r="B111" s="742" t="s">
        <v>993</v>
      </c>
      <c r="C111" s="568">
        <v>625</v>
      </c>
      <c r="D111" s="568">
        <v>1092</v>
      </c>
      <c r="E111" s="568">
        <v>415</v>
      </c>
      <c r="F111" s="568">
        <v>1691</v>
      </c>
      <c r="G111" s="569"/>
      <c r="H111" s="568"/>
      <c r="I111" s="568"/>
      <c r="J111" s="568">
        <v>237</v>
      </c>
      <c r="K111" s="568">
        <v>380</v>
      </c>
      <c r="L111" s="568">
        <v>9</v>
      </c>
      <c r="M111" s="352" t="s">
        <v>8</v>
      </c>
    </row>
    <row r="112" spans="1:13" x14ac:dyDescent="0.35">
      <c r="A112">
        <v>111</v>
      </c>
      <c r="B112" s="742" t="s">
        <v>987</v>
      </c>
      <c r="C112" s="568">
        <v>571</v>
      </c>
      <c r="D112" s="568">
        <v>535</v>
      </c>
      <c r="E112" s="568">
        <v>123</v>
      </c>
      <c r="F112" s="568">
        <v>842</v>
      </c>
      <c r="G112" s="568"/>
      <c r="H112" s="568"/>
      <c r="I112" s="570"/>
      <c r="J112" s="568">
        <v>312</v>
      </c>
      <c r="K112" s="568">
        <v>230</v>
      </c>
      <c r="L112" s="568">
        <v>29</v>
      </c>
      <c r="M112" s="352" t="s">
        <v>8</v>
      </c>
    </row>
    <row r="113" spans="1:13" x14ac:dyDescent="0.35">
      <c r="A113">
        <v>112</v>
      </c>
      <c r="B113" s="742" t="s">
        <v>991</v>
      </c>
      <c r="C113" s="568">
        <v>524</v>
      </c>
      <c r="D113" s="568">
        <v>101</v>
      </c>
      <c r="E113" s="568">
        <v>37</v>
      </c>
      <c r="F113" s="568">
        <v>460</v>
      </c>
      <c r="G113" s="568"/>
      <c r="H113" s="568"/>
      <c r="I113" s="568"/>
      <c r="J113" s="568">
        <v>5</v>
      </c>
      <c r="K113" s="568">
        <v>367</v>
      </c>
      <c r="L113" s="568">
        <v>152</v>
      </c>
      <c r="M113" s="352" t="s">
        <v>8</v>
      </c>
    </row>
    <row r="114" spans="1:13" x14ac:dyDescent="0.35">
      <c r="A114">
        <v>113</v>
      </c>
      <c r="B114" s="742" t="s">
        <v>989</v>
      </c>
      <c r="C114" s="568">
        <v>261</v>
      </c>
      <c r="D114" s="568">
        <v>1074</v>
      </c>
      <c r="E114" s="568">
        <v>146</v>
      </c>
      <c r="F114" s="568">
        <v>650</v>
      </c>
      <c r="G114" s="569"/>
      <c r="H114" s="569"/>
      <c r="I114" s="568"/>
      <c r="J114" s="568">
        <v>105</v>
      </c>
      <c r="K114" s="568">
        <v>136</v>
      </c>
      <c r="L114" s="568">
        <v>20</v>
      </c>
      <c r="M114" s="352" t="s">
        <v>8</v>
      </c>
    </row>
    <row r="115" spans="1:13" x14ac:dyDescent="0.35">
      <c r="A115">
        <v>114</v>
      </c>
      <c r="B115" s="742" t="s">
        <v>986</v>
      </c>
      <c r="C115" s="568">
        <v>165</v>
      </c>
      <c r="D115" s="568">
        <v>420</v>
      </c>
      <c r="E115" s="568">
        <v>53</v>
      </c>
      <c r="F115" s="568">
        <v>355</v>
      </c>
      <c r="G115" s="568"/>
      <c r="H115" s="569"/>
      <c r="I115" s="568"/>
      <c r="J115" s="568">
        <v>22</v>
      </c>
      <c r="K115" s="568">
        <v>127</v>
      </c>
      <c r="L115" s="568">
        <v>16</v>
      </c>
      <c r="M115" s="352" t="s">
        <v>8</v>
      </c>
    </row>
    <row r="116" spans="1:13" x14ac:dyDescent="0.35">
      <c r="A116">
        <v>115</v>
      </c>
      <c r="B116" s="742" t="s">
        <v>997</v>
      </c>
      <c r="C116" s="568">
        <v>94</v>
      </c>
      <c r="D116" s="568">
        <v>2778</v>
      </c>
      <c r="E116" s="568">
        <v>25</v>
      </c>
      <c r="F116" s="568">
        <v>117</v>
      </c>
      <c r="G116" s="571"/>
      <c r="H116" s="187"/>
      <c r="I116" s="187"/>
      <c r="J116" s="568">
        <v>81</v>
      </c>
      <c r="K116" s="568">
        <v>9</v>
      </c>
      <c r="L116" s="568">
        <v>4</v>
      </c>
      <c r="M116" s="352" t="s">
        <v>8</v>
      </c>
    </row>
    <row r="117" spans="1:13" x14ac:dyDescent="0.35">
      <c r="A117">
        <v>116</v>
      </c>
      <c r="B117" s="742" t="s">
        <v>1001</v>
      </c>
      <c r="C117" s="568">
        <v>68</v>
      </c>
      <c r="D117" s="568">
        <v>351</v>
      </c>
      <c r="E117" s="568">
        <v>14</v>
      </c>
      <c r="F117" s="568">
        <v>140</v>
      </c>
      <c r="G117" s="568"/>
      <c r="H117" s="569"/>
      <c r="I117" s="569"/>
      <c r="J117" s="570"/>
      <c r="K117" s="568">
        <v>40</v>
      </c>
      <c r="L117" s="568">
        <v>28</v>
      </c>
      <c r="M117" s="352" t="s">
        <v>8</v>
      </c>
    </row>
    <row r="118" spans="1:13" x14ac:dyDescent="0.35">
      <c r="A118">
        <v>117</v>
      </c>
      <c r="B118" s="742" t="s">
        <v>990</v>
      </c>
      <c r="C118" s="568">
        <v>8</v>
      </c>
      <c r="D118" s="568">
        <v>667</v>
      </c>
      <c r="E118" s="568">
        <v>4</v>
      </c>
      <c r="F118" s="568">
        <v>7</v>
      </c>
      <c r="G118" s="568"/>
      <c r="H118" s="568"/>
      <c r="I118" s="568"/>
      <c r="J118" s="568">
        <v>2</v>
      </c>
      <c r="K118" s="568">
        <v>6</v>
      </c>
      <c r="L118" s="570"/>
      <c r="M118" s="352" t="s">
        <v>8</v>
      </c>
    </row>
    <row r="119" spans="1:13" x14ac:dyDescent="0.35">
      <c r="A119">
        <v>118</v>
      </c>
      <c r="B119" s="742" t="s">
        <v>994</v>
      </c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352" t="s">
        <v>8</v>
      </c>
    </row>
    <row r="120" spans="1:13" x14ac:dyDescent="0.35">
      <c r="A120">
        <v>119</v>
      </c>
      <c r="B120" s="742" t="s">
        <v>996</v>
      </c>
      <c r="C120" s="570"/>
      <c r="D120" s="570"/>
      <c r="E120" s="570"/>
      <c r="F120" s="570"/>
      <c r="G120" s="570"/>
      <c r="H120" s="187"/>
      <c r="I120" s="187"/>
      <c r="J120" s="570"/>
      <c r="K120" s="570"/>
      <c r="L120" s="570"/>
      <c r="M120" s="352" t="s">
        <v>8</v>
      </c>
    </row>
    <row r="121" spans="1:13" x14ac:dyDescent="0.35">
      <c r="A121">
        <v>120</v>
      </c>
      <c r="B121" s="742" t="s">
        <v>998</v>
      </c>
      <c r="C121" s="570"/>
      <c r="D121" s="570"/>
      <c r="E121" s="570"/>
      <c r="F121" s="570"/>
      <c r="G121" s="570"/>
      <c r="H121" s="568"/>
      <c r="I121" s="568"/>
      <c r="J121" s="570"/>
      <c r="K121" s="570"/>
      <c r="L121" s="570"/>
      <c r="M121" s="352" t="s">
        <v>8</v>
      </c>
    </row>
    <row r="122" spans="1:13" x14ac:dyDescent="0.35">
      <c r="A122">
        <v>121</v>
      </c>
      <c r="B122" s="742" t="s">
        <v>999</v>
      </c>
      <c r="C122" s="570"/>
      <c r="D122" s="570"/>
      <c r="E122" s="570"/>
      <c r="F122" s="570"/>
      <c r="G122" s="570"/>
      <c r="H122" s="568"/>
      <c r="I122" s="568"/>
      <c r="J122" s="570"/>
      <c r="K122" s="570"/>
      <c r="L122" s="570"/>
      <c r="M122" s="352" t="s">
        <v>8</v>
      </c>
    </row>
    <row r="123" spans="1:13" x14ac:dyDescent="0.35">
      <c r="A123">
        <v>122</v>
      </c>
      <c r="B123" s="743" t="s">
        <v>1002</v>
      </c>
      <c r="C123" s="572">
        <v>546</v>
      </c>
      <c r="D123" s="572">
        <v>770</v>
      </c>
      <c r="E123" s="572">
        <v>282</v>
      </c>
      <c r="F123" s="572">
        <v>538</v>
      </c>
      <c r="G123" s="572"/>
      <c r="H123" s="573"/>
      <c r="I123" s="573"/>
      <c r="J123" s="572">
        <v>150</v>
      </c>
      <c r="K123" s="572">
        <v>366</v>
      </c>
      <c r="L123" s="572">
        <v>30</v>
      </c>
      <c r="M123" s="352" t="s">
        <v>9</v>
      </c>
    </row>
    <row r="124" spans="1:13" x14ac:dyDescent="0.35">
      <c r="A124">
        <v>123</v>
      </c>
      <c r="B124" s="743" t="s">
        <v>1005</v>
      </c>
      <c r="C124" s="572">
        <v>75</v>
      </c>
      <c r="D124" s="572">
        <v>532</v>
      </c>
      <c r="E124" s="572">
        <v>29</v>
      </c>
      <c r="F124" s="572">
        <v>155</v>
      </c>
      <c r="G124" s="572"/>
      <c r="H124" s="572"/>
      <c r="I124" s="572"/>
      <c r="J124" s="572">
        <v>11</v>
      </c>
      <c r="K124" s="572">
        <v>54</v>
      </c>
      <c r="L124" s="572">
        <v>10</v>
      </c>
      <c r="M124" s="352" t="s">
        <v>9</v>
      </c>
    </row>
    <row r="125" spans="1:13" x14ac:dyDescent="0.35">
      <c r="A125">
        <v>124</v>
      </c>
      <c r="B125" s="743" t="s">
        <v>1006</v>
      </c>
      <c r="C125" s="572">
        <v>55</v>
      </c>
      <c r="D125" s="572">
        <v>633</v>
      </c>
      <c r="E125" s="572">
        <v>17</v>
      </c>
      <c r="F125" s="572">
        <v>44</v>
      </c>
      <c r="G125" s="572"/>
      <c r="H125" s="574"/>
      <c r="I125" s="572"/>
      <c r="J125" s="572">
        <v>27</v>
      </c>
      <c r="K125" s="572">
        <v>27</v>
      </c>
      <c r="L125" s="572">
        <v>0</v>
      </c>
      <c r="M125" s="352" t="s">
        <v>9</v>
      </c>
    </row>
    <row r="126" spans="1:13" x14ac:dyDescent="0.35">
      <c r="A126">
        <v>125</v>
      </c>
      <c r="B126" s="743" t="s">
        <v>1004</v>
      </c>
      <c r="C126" s="572">
        <v>25</v>
      </c>
      <c r="D126" s="572">
        <v>355</v>
      </c>
      <c r="E126" s="572">
        <v>6</v>
      </c>
      <c r="F126" s="572">
        <v>62</v>
      </c>
      <c r="G126" s="572"/>
      <c r="H126" s="572"/>
      <c r="I126" s="572"/>
      <c r="J126" s="572">
        <v>7</v>
      </c>
      <c r="K126" s="572">
        <v>16</v>
      </c>
      <c r="L126" s="572">
        <v>2</v>
      </c>
      <c r="M126" s="352" t="s">
        <v>9</v>
      </c>
    </row>
    <row r="127" spans="1:13" x14ac:dyDescent="0.35">
      <c r="A127">
        <v>126</v>
      </c>
      <c r="B127" s="743" t="s">
        <v>1003</v>
      </c>
      <c r="C127" s="572">
        <v>5</v>
      </c>
      <c r="D127" s="573"/>
      <c r="E127" s="573"/>
      <c r="F127" s="572">
        <v>15</v>
      </c>
      <c r="G127" s="573"/>
      <c r="H127" s="573"/>
      <c r="I127" s="573"/>
      <c r="J127" s="573"/>
      <c r="K127" s="573"/>
      <c r="L127" s="572">
        <v>5</v>
      </c>
      <c r="M127" s="352" t="s">
        <v>9</v>
      </c>
    </row>
    <row r="128" spans="1:13" x14ac:dyDescent="0.35">
      <c r="A128">
        <v>127</v>
      </c>
      <c r="B128" s="743" t="s">
        <v>1007</v>
      </c>
      <c r="C128" s="573"/>
      <c r="D128" s="573"/>
      <c r="E128" s="573"/>
      <c r="F128" s="573"/>
      <c r="G128" s="573"/>
      <c r="H128" s="573"/>
      <c r="I128" s="573"/>
      <c r="J128" s="573"/>
      <c r="K128" s="573"/>
      <c r="L128" s="573"/>
      <c r="M128" s="352" t="s">
        <v>9</v>
      </c>
    </row>
    <row r="129" spans="1:13" x14ac:dyDescent="0.35">
      <c r="A129">
        <v>128</v>
      </c>
      <c r="B129" s="743" t="s">
        <v>1008</v>
      </c>
      <c r="C129" s="573"/>
      <c r="D129" s="573"/>
      <c r="E129" s="573"/>
      <c r="F129" s="573"/>
      <c r="G129" s="573"/>
      <c r="H129" s="572"/>
      <c r="I129" s="572"/>
      <c r="J129" s="573"/>
      <c r="K129" s="573"/>
      <c r="L129" s="573"/>
      <c r="M129" s="352" t="s">
        <v>9</v>
      </c>
    </row>
    <row r="130" spans="1:13" x14ac:dyDescent="0.35">
      <c r="A130">
        <v>129</v>
      </c>
      <c r="B130" s="744" t="s">
        <v>1009</v>
      </c>
      <c r="C130" s="575">
        <v>1067</v>
      </c>
      <c r="D130" s="575">
        <v>641</v>
      </c>
      <c r="E130" s="575">
        <v>523</v>
      </c>
      <c r="F130" s="575">
        <v>1779</v>
      </c>
      <c r="G130" s="575"/>
      <c r="H130" s="575"/>
      <c r="I130" s="575"/>
      <c r="J130" s="575">
        <v>235</v>
      </c>
      <c r="K130" s="575">
        <v>816</v>
      </c>
      <c r="L130" s="575">
        <v>16</v>
      </c>
      <c r="M130" s="352" t="s">
        <v>1341</v>
      </c>
    </row>
    <row r="131" spans="1:13" x14ac:dyDescent="0.35">
      <c r="A131">
        <v>130</v>
      </c>
      <c r="B131" s="744" t="s">
        <v>1011</v>
      </c>
      <c r="C131" s="575">
        <v>2142</v>
      </c>
      <c r="D131" s="575">
        <v>1024</v>
      </c>
      <c r="E131" s="575">
        <v>1932</v>
      </c>
      <c r="F131" s="575">
        <v>2578</v>
      </c>
      <c r="G131" s="575"/>
      <c r="H131" s="575"/>
      <c r="I131" s="575"/>
      <c r="J131" s="575">
        <v>128</v>
      </c>
      <c r="K131" s="575">
        <v>1886</v>
      </c>
      <c r="L131" s="575">
        <v>128</v>
      </c>
      <c r="M131" s="352" t="s">
        <v>1341</v>
      </c>
    </row>
    <row r="132" spans="1:13" x14ac:dyDescent="0.35">
      <c r="A132">
        <v>131</v>
      </c>
      <c r="B132" s="744" t="s">
        <v>1012</v>
      </c>
      <c r="C132" s="575">
        <v>1796</v>
      </c>
      <c r="D132" s="575">
        <v>459</v>
      </c>
      <c r="E132" s="575">
        <v>669</v>
      </c>
      <c r="F132" s="575">
        <v>2833</v>
      </c>
      <c r="G132" s="575"/>
      <c r="H132" s="575"/>
      <c r="I132" s="575"/>
      <c r="J132" s="575">
        <v>266</v>
      </c>
      <c r="K132" s="575">
        <v>1457</v>
      </c>
      <c r="L132" s="575">
        <v>73</v>
      </c>
      <c r="M132" s="352" t="s">
        <v>1341</v>
      </c>
    </row>
    <row r="133" spans="1:13" x14ac:dyDescent="0.35">
      <c r="A133">
        <v>132</v>
      </c>
      <c r="B133" s="744" t="s">
        <v>1013</v>
      </c>
      <c r="C133" s="575">
        <v>494</v>
      </c>
      <c r="D133" s="575">
        <v>837</v>
      </c>
      <c r="E133" s="575">
        <v>197</v>
      </c>
      <c r="F133" s="575">
        <v>955</v>
      </c>
      <c r="G133" s="575"/>
      <c r="H133" s="575"/>
      <c r="I133" s="575"/>
      <c r="J133" s="575">
        <v>130</v>
      </c>
      <c r="K133" s="575">
        <v>235</v>
      </c>
      <c r="L133" s="575">
        <v>129</v>
      </c>
      <c r="M133" s="352" t="s">
        <v>1341</v>
      </c>
    </row>
    <row r="134" spans="1:13" x14ac:dyDescent="0.35">
      <c r="A134">
        <v>133</v>
      </c>
      <c r="B134" s="744" t="s">
        <v>1010</v>
      </c>
      <c r="C134" s="575">
        <v>441</v>
      </c>
      <c r="D134" s="575">
        <v>650</v>
      </c>
      <c r="E134" s="575">
        <v>205</v>
      </c>
      <c r="F134" s="575">
        <v>761</v>
      </c>
      <c r="G134" s="575"/>
      <c r="H134" s="575"/>
      <c r="I134" s="576"/>
      <c r="J134" s="575">
        <v>88</v>
      </c>
      <c r="K134" s="575">
        <v>316</v>
      </c>
      <c r="L134" s="575">
        <v>37</v>
      </c>
      <c r="M134" s="352" t="s">
        <v>1341</v>
      </c>
    </row>
    <row r="135" spans="1:13" x14ac:dyDescent="0.35">
      <c r="A135">
        <v>134</v>
      </c>
      <c r="B135" s="744" t="s">
        <v>1014</v>
      </c>
      <c r="C135" s="575">
        <v>423</v>
      </c>
      <c r="D135" s="575">
        <v>748</v>
      </c>
      <c r="E135" s="575">
        <v>166</v>
      </c>
      <c r="F135" s="575">
        <v>745</v>
      </c>
      <c r="G135" s="575"/>
      <c r="H135" s="576"/>
      <c r="I135" s="576"/>
      <c r="J135" s="575">
        <v>175</v>
      </c>
      <c r="K135" s="575">
        <v>222</v>
      </c>
      <c r="L135" s="575">
        <v>26</v>
      </c>
      <c r="M135" s="352" t="s">
        <v>1341</v>
      </c>
    </row>
    <row r="136" spans="1:13" x14ac:dyDescent="0.35">
      <c r="A136">
        <v>135</v>
      </c>
      <c r="B136" s="744" t="s">
        <v>1015</v>
      </c>
      <c r="C136" s="575">
        <v>364</v>
      </c>
      <c r="D136" s="575">
        <v>168</v>
      </c>
      <c r="E136" s="575">
        <v>46</v>
      </c>
      <c r="F136" s="575">
        <v>223</v>
      </c>
      <c r="G136" s="575"/>
      <c r="H136" s="577"/>
      <c r="I136" s="577"/>
      <c r="J136" s="575">
        <v>3</v>
      </c>
      <c r="K136" s="575">
        <v>273</v>
      </c>
      <c r="L136" s="575">
        <v>88</v>
      </c>
      <c r="M136" s="352" t="s">
        <v>1341</v>
      </c>
    </row>
    <row r="137" spans="1:13" x14ac:dyDescent="0.35">
      <c r="A137">
        <v>136</v>
      </c>
      <c r="B137" s="744" t="s">
        <v>1016</v>
      </c>
      <c r="C137" s="575">
        <v>238</v>
      </c>
      <c r="D137" s="575">
        <v>105</v>
      </c>
      <c r="E137" s="575">
        <v>25</v>
      </c>
      <c r="F137" s="575">
        <v>524</v>
      </c>
      <c r="G137" s="575"/>
      <c r="H137" s="577"/>
      <c r="I137" s="577"/>
      <c r="J137" s="576"/>
      <c r="K137" s="575">
        <v>238</v>
      </c>
      <c r="L137" s="576"/>
      <c r="M137" s="352" t="s">
        <v>1341</v>
      </c>
    </row>
    <row r="138" spans="1:13" x14ac:dyDescent="0.35">
      <c r="A138">
        <v>137</v>
      </c>
      <c r="B138" s="744" t="s">
        <v>1330</v>
      </c>
      <c r="C138" s="575">
        <v>73</v>
      </c>
      <c r="D138" s="575">
        <v>16</v>
      </c>
      <c r="E138" s="575">
        <v>1</v>
      </c>
      <c r="F138" s="575">
        <v>103</v>
      </c>
      <c r="G138" s="575"/>
      <c r="H138" s="576"/>
      <c r="I138" s="576"/>
      <c r="J138" s="575">
        <v>1</v>
      </c>
      <c r="K138" s="575">
        <v>62</v>
      </c>
      <c r="L138" s="575">
        <v>10</v>
      </c>
      <c r="M138" s="352" t="s">
        <v>1341</v>
      </c>
    </row>
    <row r="139" spans="1:13" x14ac:dyDescent="0.35">
      <c r="A139">
        <v>138</v>
      </c>
      <c r="B139" s="744" t="s">
        <v>1017</v>
      </c>
      <c r="C139" s="575">
        <v>22</v>
      </c>
      <c r="D139" s="575">
        <v>749</v>
      </c>
      <c r="E139" s="575">
        <v>10</v>
      </c>
      <c r="F139" s="575">
        <v>36</v>
      </c>
      <c r="G139" s="575"/>
      <c r="H139" s="577"/>
      <c r="I139" s="577"/>
      <c r="J139" s="575">
        <v>4</v>
      </c>
      <c r="K139" s="575">
        <v>14</v>
      </c>
      <c r="L139" s="575">
        <v>4</v>
      </c>
      <c r="M139" s="352" t="s">
        <v>1341</v>
      </c>
    </row>
    <row r="140" spans="1:13" x14ac:dyDescent="0.35">
      <c r="A140">
        <v>139</v>
      </c>
      <c r="B140" s="745" t="s">
        <v>1018</v>
      </c>
      <c r="C140" s="578">
        <v>1608</v>
      </c>
      <c r="D140" s="578">
        <v>1897</v>
      </c>
      <c r="E140" s="578">
        <v>1878</v>
      </c>
      <c r="F140" s="578">
        <v>2109</v>
      </c>
      <c r="G140" s="578"/>
      <c r="H140" s="578"/>
      <c r="I140" s="578"/>
      <c r="J140" s="578">
        <v>426</v>
      </c>
      <c r="K140" s="578">
        <v>990</v>
      </c>
      <c r="L140" s="578">
        <v>192</v>
      </c>
      <c r="M140" s="352" t="s">
        <v>1342</v>
      </c>
    </row>
    <row r="141" spans="1:13" x14ac:dyDescent="0.35">
      <c r="A141">
        <v>140</v>
      </c>
      <c r="B141" s="745" t="s">
        <v>1026</v>
      </c>
      <c r="C141" s="578">
        <v>27357</v>
      </c>
      <c r="D141" s="578">
        <v>1191</v>
      </c>
      <c r="E141" s="578">
        <v>28544</v>
      </c>
      <c r="F141" s="578">
        <v>42707</v>
      </c>
      <c r="G141" s="578"/>
      <c r="H141" s="578"/>
      <c r="I141" s="578"/>
      <c r="J141" s="578">
        <v>813</v>
      </c>
      <c r="K141" s="578">
        <v>23974</v>
      </c>
      <c r="L141" s="578">
        <v>2570</v>
      </c>
      <c r="M141" s="352" t="s">
        <v>1342</v>
      </c>
    </row>
    <row r="142" spans="1:13" x14ac:dyDescent="0.35">
      <c r="A142">
        <v>141</v>
      </c>
      <c r="B142" s="745" t="s">
        <v>1019</v>
      </c>
      <c r="C142" s="578">
        <v>13677</v>
      </c>
      <c r="D142" s="578">
        <v>536</v>
      </c>
      <c r="E142" s="578">
        <v>6711</v>
      </c>
      <c r="F142" s="578">
        <v>17683</v>
      </c>
      <c r="G142" s="578"/>
      <c r="H142" s="578"/>
      <c r="I142" s="578"/>
      <c r="J142" s="578">
        <v>152</v>
      </c>
      <c r="K142" s="578">
        <v>12524</v>
      </c>
      <c r="L142" s="578">
        <v>1001</v>
      </c>
      <c r="M142" s="352" t="s">
        <v>1342</v>
      </c>
    </row>
    <row r="143" spans="1:13" x14ac:dyDescent="0.35">
      <c r="A143">
        <v>142</v>
      </c>
      <c r="B143" s="745" t="s">
        <v>1021</v>
      </c>
      <c r="C143" s="578">
        <v>11008</v>
      </c>
      <c r="D143" s="578">
        <v>502</v>
      </c>
      <c r="E143" s="578">
        <v>3233</v>
      </c>
      <c r="F143" s="578">
        <v>24458</v>
      </c>
      <c r="G143" s="578"/>
      <c r="H143" s="578"/>
      <c r="I143" s="578"/>
      <c r="J143" s="578">
        <v>2027</v>
      </c>
      <c r="K143" s="578">
        <v>6445</v>
      </c>
      <c r="L143" s="578">
        <v>2536</v>
      </c>
      <c r="M143" s="352" t="s">
        <v>1342</v>
      </c>
    </row>
    <row r="144" spans="1:13" x14ac:dyDescent="0.35">
      <c r="A144">
        <v>143</v>
      </c>
      <c r="B144" s="745" t="s">
        <v>1022</v>
      </c>
      <c r="C144" s="578">
        <v>5269</v>
      </c>
      <c r="D144" s="578">
        <v>753</v>
      </c>
      <c r="E144" s="578">
        <v>3015</v>
      </c>
      <c r="F144" s="578">
        <v>22027</v>
      </c>
      <c r="G144" s="578"/>
      <c r="H144" s="578"/>
      <c r="I144" s="578"/>
      <c r="J144" s="578">
        <v>1151</v>
      </c>
      <c r="K144" s="578">
        <v>4003</v>
      </c>
      <c r="L144" s="578">
        <v>115</v>
      </c>
      <c r="M144" s="352" t="s">
        <v>1342</v>
      </c>
    </row>
    <row r="145" spans="1:13" x14ac:dyDescent="0.35">
      <c r="A145">
        <v>144</v>
      </c>
      <c r="B145" s="745" t="s">
        <v>1027</v>
      </c>
      <c r="C145" s="578">
        <v>4585</v>
      </c>
      <c r="D145" s="578">
        <v>709</v>
      </c>
      <c r="E145" s="578">
        <v>2626</v>
      </c>
      <c r="F145" s="578">
        <v>3865</v>
      </c>
      <c r="G145" s="578"/>
      <c r="H145" s="578"/>
      <c r="I145" s="578"/>
      <c r="J145" s="578">
        <v>813</v>
      </c>
      <c r="K145" s="578">
        <v>3706</v>
      </c>
      <c r="L145" s="578">
        <v>66</v>
      </c>
      <c r="M145" s="352" t="s">
        <v>1342</v>
      </c>
    </row>
    <row r="146" spans="1:13" x14ac:dyDescent="0.35">
      <c r="A146">
        <v>145</v>
      </c>
      <c r="B146" s="745" t="s">
        <v>1024</v>
      </c>
      <c r="C146" s="578">
        <v>1235</v>
      </c>
      <c r="D146" s="578">
        <v>539</v>
      </c>
      <c r="E146" s="578">
        <v>548</v>
      </c>
      <c r="F146" s="578">
        <v>1842</v>
      </c>
      <c r="G146" s="578"/>
      <c r="H146" s="578"/>
      <c r="I146" s="578"/>
      <c r="J146" s="578">
        <v>105</v>
      </c>
      <c r="K146" s="578">
        <v>1016</v>
      </c>
      <c r="L146" s="578">
        <v>114</v>
      </c>
      <c r="M146" s="352" t="s">
        <v>1342</v>
      </c>
    </row>
    <row r="147" spans="1:13" x14ac:dyDescent="0.35">
      <c r="A147">
        <v>146</v>
      </c>
      <c r="B147" s="745" t="s">
        <v>1020</v>
      </c>
      <c r="C147" s="578">
        <v>1140</v>
      </c>
      <c r="D147" s="578">
        <v>998</v>
      </c>
      <c r="E147" s="578">
        <v>9571</v>
      </c>
      <c r="F147" s="578">
        <v>17890</v>
      </c>
      <c r="G147" s="578"/>
      <c r="H147" s="578"/>
      <c r="I147" s="578"/>
      <c r="J147" s="578">
        <v>907</v>
      </c>
      <c r="K147" s="578">
        <v>9589</v>
      </c>
      <c r="L147" s="578">
        <v>904</v>
      </c>
      <c r="M147" s="352" t="s">
        <v>1342</v>
      </c>
    </row>
    <row r="148" spans="1:13" x14ac:dyDescent="0.35">
      <c r="A148">
        <v>147</v>
      </c>
      <c r="B148" s="745" t="s">
        <v>1030</v>
      </c>
      <c r="C148" s="578">
        <v>1129</v>
      </c>
      <c r="D148" s="578">
        <v>954</v>
      </c>
      <c r="E148" s="578">
        <v>690</v>
      </c>
      <c r="F148" s="578">
        <v>947</v>
      </c>
      <c r="G148" s="578"/>
      <c r="H148" s="579"/>
      <c r="I148" s="579"/>
      <c r="J148" s="578">
        <v>165</v>
      </c>
      <c r="K148" s="578">
        <v>723</v>
      </c>
      <c r="L148" s="578">
        <v>241</v>
      </c>
      <c r="M148" s="352" t="s">
        <v>1342</v>
      </c>
    </row>
    <row r="149" spans="1:13" x14ac:dyDescent="0.35">
      <c r="A149">
        <v>148</v>
      </c>
      <c r="B149" s="745" t="s">
        <v>1023</v>
      </c>
      <c r="C149" s="578">
        <v>864</v>
      </c>
      <c r="D149" s="578">
        <v>420</v>
      </c>
      <c r="E149" s="578">
        <v>275</v>
      </c>
      <c r="F149" s="578">
        <v>1571</v>
      </c>
      <c r="G149" s="578"/>
      <c r="H149" s="578"/>
      <c r="I149" s="578"/>
      <c r="J149" s="578">
        <v>120</v>
      </c>
      <c r="K149" s="578">
        <v>655</v>
      </c>
      <c r="L149" s="578">
        <v>89</v>
      </c>
      <c r="M149" s="352" t="s">
        <v>1342</v>
      </c>
    </row>
    <row r="150" spans="1:13" x14ac:dyDescent="0.35">
      <c r="A150">
        <v>149</v>
      </c>
      <c r="B150" s="745" t="s">
        <v>1031</v>
      </c>
      <c r="C150" s="578">
        <v>207</v>
      </c>
      <c r="D150" s="578">
        <v>1</v>
      </c>
      <c r="E150" s="578">
        <v>207</v>
      </c>
      <c r="F150" s="578">
        <v>192</v>
      </c>
      <c r="G150" s="578"/>
      <c r="H150" s="579"/>
      <c r="I150" s="579"/>
      <c r="J150" s="580"/>
      <c r="K150" s="578">
        <v>207</v>
      </c>
      <c r="L150" s="580"/>
      <c r="M150" s="352" t="s">
        <v>1342</v>
      </c>
    </row>
    <row r="151" spans="1:13" x14ac:dyDescent="0.35">
      <c r="A151">
        <v>150</v>
      </c>
      <c r="B151" s="745" t="s">
        <v>1025</v>
      </c>
      <c r="C151" s="578">
        <v>206</v>
      </c>
      <c r="D151" s="578">
        <v>1</v>
      </c>
      <c r="E151" s="578">
        <v>133</v>
      </c>
      <c r="F151" s="578">
        <v>2060</v>
      </c>
      <c r="G151" s="578"/>
      <c r="H151" s="578"/>
      <c r="I151" s="578"/>
      <c r="J151" s="578">
        <v>57</v>
      </c>
      <c r="K151" s="578">
        <v>133</v>
      </c>
      <c r="L151" s="578">
        <v>16</v>
      </c>
      <c r="M151" s="352" t="s">
        <v>1342</v>
      </c>
    </row>
    <row r="152" spans="1:13" x14ac:dyDescent="0.35">
      <c r="A152">
        <v>151</v>
      </c>
      <c r="B152" s="745" t="s">
        <v>1028</v>
      </c>
      <c r="C152" s="578">
        <v>88</v>
      </c>
      <c r="D152" s="578">
        <v>528</v>
      </c>
      <c r="E152" s="578">
        <v>47</v>
      </c>
      <c r="F152" s="578">
        <v>727</v>
      </c>
      <c r="G152" s="578"/>
      <c r="H152" s="579"/>
      <c r="I152" s="579"/>
      <c r="J152" s="580"/>
      <c r="K152" s="578">
        <v>88</v>
      </c>
      <c r="L152" s="580"/>
      <c r="M152" s="352" t="s">
        <v>1342</v>
      </c>
    </row>
    <row r="153" spans="1:13" x14ac:dyDescent="0.35">
      <c r="A153">
        <v>152</v>
      </c>
      <c r="B153" s="745" t="s">
        <v>1032</v>
      </c>
      <c r="C153" s="578">
        <v>60</v>
      </c>
      <c r="D153" s="578">
        <v>508</v>
      </c>
      <c r="E153" s="578">
        <v>24</v>
      </c>
      <c r="F153" s="578">
        <v>2749</v>
      </c>
      <c r="G153" s="578"/>
      <c r="H153" s="579"/>
      <c r="I153" s="579"/>
      <c r="J153" s="578">
        <v>8</v>
      </c>
      <c r="K153" s="578">
        <v>47</v>
      </c>
      <c r="L153" s="578">
        <v>5</v>
      </c>
      <c r="M153" s="352" t="s">
        <v>1342</v>
      </c>
    </row>
    <row r="154" spans="1:13" x14ac:dyDescent="0.35">
      <c r="A154">
        <v>153</v>
      </c>
      <c r="B154" s="745" t="s">
        <v>1029</v>
      </c>
      <c r="C154" s="578">
        <v>17</v>
      </c>
      <c r="D154" s="578">
        <v>857</v>
      </c>
      <c r="E154" s="578">
        <v>6</v>
      </c>
      <c r="F154" s="578">
        <v>46</v>
      </c>
      <c r="G154" s="578"/>
      <c r="H154" s="579"/>
      <c r="I154" s="579"/>
      <c r="J154" s="578">
        <v>10</v>
      </c>
      <c r="K154" s="578">
        <v>7</v>
      </c>
      <c r="L154" s="580"/>
      <c r="M154" s="352" t="s">
        <v>1342</v>
      </c>
    </row>
    <row r="155" spans="1:13" x14ac:dyDescent="0.35">
      <c r="A155">
        <v>154</v>
      </c>
      <c r="B155" s="746" t="s">
        <v>1033</v>
      </c>
      <c r="C155" s="581">
        <v>28</v>
      </c>
      <c r="D155" s="581">
        <v>500</v>
      </c>
      <c r="E155" s="581">
        <v>1</v>
      </c>
      <c r="F155" s="581">
        <v>110</v>
      </c>
      <c r="G155" s="581"/>
      <c r="H155" s="582"/>
      <c r="I155" s="582"/>
      <c r="J155" s="583"/>
      <c r="K155" s="581">
        <v>2</v>
      </c>
      <c r="L155" s="581">
        <v>27</v>
      </c>
      <c r="M155" s="352" t="s">
        <v>14</v>
      </c>
    </row>
    <row r="156" spans="1:13" x14ac:dyDescent="0.35">
      <c r="A156">
        <v>155</v>
      </c>
      <c r="B156" s="746" t="s">
        <v>1039</v>
      </c>
      <c r="C156" s="581">
        <v>1764</v>
      </c>
      <c r="D156" s="581">
        <v>245</v>
      </c>
      <c r="E156" s="581">
        <v>192</v>
      </c>
      <c r="F156" s="581">
        <v>5881</v>
      </c>
      <c r="G156" s="581"/>
      <c r="H156" s="581"/>
      <c r="I156" s="581"/>
      <c r="J156" s="581">
        <v>222</v>
      </c>
      <c r="K156" s="581">
        <v>782</v>
      </c>
      <c r="L156" s="581">
        <v>760</v>
      </c>
      <c r="M156" s="352" t="s">
        <v>14</v>
      </c>
    </row>
    <row r="157" spans="1:13" x14ac:dyDescent="0.35">
      <c r="A157">
        <v>156</v>
      </c>
      <c r="B157" s="746" t="s">
        <v>1050</v>
      </c>
      <c r="C157" s="581">
        <v>969</v>
      </c>
      <c r="D157" s="581">
        <v>435</v>
      </c>
      <c r="E157" s="581">
        <v>260</v>
      </c>
      <c r="F157" s="581">
        <v>1673</v>
      </c>
      <c r="G157" s="581"/>
      <c r="H157" s="257"/>
      <c r="I157" s="257"/>
      <c r="J157" s="581">
        <v>173</v>
      </c>
      <c r="K157" s="581">
        <v>597</v>
      </c>
      <c r="L157" s="581">
        <v>199</v>
      </c>
      <c r="M157" s="352" t="s">
        <v>14</v>
      </c>
    </row>
    <row r="158" spans="1:13" x14ac:dyDescent="0.35">
      <c r="A158">
        <v>157</v>
      </c>
      <c r="B158" s="746" t="s">
        <v>1038</v>
      </c>
      <c r="C158" s="581">
        <v>836</v>
      </c>
      <c r="D158" s="581">
        <v>742</v>
      </c>
      <c r="E158" s="581">
        <v>171</v>
      </c>
      <c r="F158" s="581">
        <v>2741</v>
      </c>
      <c r="G158" s="581"/>
      <c r="H158" s="582"/>
      <c r="I158" s="582"/>
      <c r="J158" s="581">
        <v>597</v>
      </c>
      <c r="K158" s="581">
        <v>231</v>
      </c>
      <c r="L158" s="581">
        <v>8</v>
      </c>
      <c r="M158" s="352" t="s">
        <v>14</v>
      </c>
    </row>
    <row r="159" spans="1:13" x14ac:dyDescent="0.35">
      <c r="A159">
        <v>158</v>
      </c>
      <c r="B159" s="746" t="s">
        <v>1034</v>
      </c>
      <c r="C159" s="581">
        <v>380</v>
      </c>
      <c r="D159" s="581">
        <v>285</v>
      </c>
      <c r="E159" s="581">
        <v>61</v>
      </c>
      <c r="F159" s="581">
        <v>1521</v>
      </c>
      <c r="G159" s="581"/>
      <c r="H159" s="582"/>
      <c r="I159" s="581"/>
      <c r="J159" s="583"/>
      <c r="K159" s="581">
        <v>216</v>
      </c>
      <c r="L159" s="581">
        <v>165</v>
      </c>
      <c r="M159" s="352" t="s">
        <v>14</v>
      </c>
    </row>
    <row r="160" spans="1:13" x14ac:dyDescent="0.35">
      <c r="A160">
        <v>159</v>
      </c>
      <c r="B160" s="746" t="s">
        <v>1059</v>
      </c>
      <c r="C160" s="581">
        <v>298</v>
      </c>
      <c r="D160" s="581">
        <v>236</v>
      </c>
      <c r="E160" s="581">
        <v>8</v>
      </c>
      <c r="F160" s="581">
        <v>841</v>
      </c>
      <c r="G160" s="581"/>
      <c r="H160" s="581"/>
      <c r="I160" s="581"/>
      <c r="J160" s="581">
        <v>215</v>
      </c>
      <c r="K160" s="581">
        <v>33</v>
      </c>
      <c r="L160" s="581">
        <v>49</v>
      </c>
      <c r="M160" s="352" t="s">
        <v>14</v>
      </c>
    </row>
    <row r="161" spans="1:13" x14ac:dyDescent="0.35">
      <c r="A161">
        <v>160</v>
      </c>
      <c r="B161" s="746" t="s">
        <v>1047</v>
      </c>
      <c r="C161" s="581">
        <v>168</v>
      </c>
      <c r="D161" s="581">
        <v>311</v>
      </c>
      <c r="E161" s="581">
        <v>19</v>
      </c>
      <c r="F161" s="581">
        <v>496</v>
      </c>
      <c r="G161" s="581"/>
      <c r="H161" s="257"/>
      <c r="I161" s="257"/>
      <c r="J161" s="581">
        <v>30</v>
      </c>
      <c r="K161" s="581">
        <v>60</v>
      </c>
      <c r="L161" s="581">
        <v>78</v>
      </c>
      <c r="M161" s="352" t="s">
        <v>14</v>
      </c>
    </row>
    <row r="162" spans="1:13" x14ac:dyDescent="0.35">
      <c r="A162">
        <v>161</v>
      </c>
      <c r="B162" s="746" t="s">
        <v>1035</v>
      </c>
      <c r="C162" s="581">
        <v>129</v>
      </c>
      <c r="D162" s="581">
        <v>353</v>
      </c>
      <c r="E162" s="581">
        <v>15</v>
      </c>
      <c r="F162" s="581">
        <v>947</v>
      </c>
      <c r="G162" s="581"/>
      <c r="H162" s="582"/>
      <c r="I162" s="581"/>
      <c r="J162" s="583"/>
      <c r="K162" s="581">
        <v>44</v>
      </c>
      <c r="L162" s="581">
        <v>85</v>
      </c>
      <c r="M162" s="352" t="s">
        <v>14</v>
      </c>
    </row>
    <row r="163" spans="1:13" x14ac:dyDescent="0.35">
      <c r="A163">
        <v>162</v>
      </c>
      <c r="B163" s="746" t="s">
        <v>1058</v>
      </c>
      <c r="C163" s="581">
        <v>82</v>
      </c>
      <c r="D163" s="581">
        <v>526</v>
      </c>
      <c r="E163" s="581">
        <v>11</v>
      </c>
      <c r="F163" s="581">
        <v>315</v>
      </c>
      <c r="G163" s="581"/>
      <c r="H163" s="581"/>
      <c r="I163" s="583"/>
      <c r="J163" s="581">
        <v>31</v>
      </c>
      <c r="K163" s="581">
        <v>22</v>
      </c>
      <c r="L163" s="581">
        <v>30</v>
      </c>
      <c r="M163" s="352" t="s">
        <v>14</v>
      </c>
    </row>
    <row r="164" spans="1:13" x14ac:dyDescent="0.35">
      <c r="A164">
        <v>163</v>
      </c>
      <c r="B164" s="746" t="s">
        <v>1043</v>
      </c>
      <c r="C164" s="581">
        <v>71</v>
      </c>
      <c r="D164" s="581">
        <v>276</v>
      </c>
      <c r="E164" s="581">
        <v>10</v>
      </c>
      <c r="F164" s="581">
        <v>562</v>
      </c>
      <c r="G164" s="581"/>
      <c r="H164" s="582"/>
      <c r="I164" s="581"/>
      <c r="J164" s="581">
        <v>24</v>
      </c>
      <c r="K164" s="581">
        <v>35</v>
      </c>
      <c r="L164" s="581">
        <v>12</v>
      </c>
      <c r="M164" s="352" t="s">
        <v>14</v>
      </c>
    </row>
    <row r="165" spans="1:13" x14ac:dyDescent="0.35">
      <c r="A165">
        <v>164</v>
      </c>
      <c r="B165" s="746" t="s">
        <v>1036</v>
      </c>
      <c r="C165" s="581">
        <v>40</v>
      </c>
      <c r="D165" s="583"/>
      <c r="E165" s="583"/>
      <c r="F165" s="581">
        <v>80</v>
      </c>
      <c r="G165" s="583"/>
      <c r="H165" s="582"/>
      <c r="I165" s="581"/>
      <c r="J165" s="583"/>
      <c r="K165" s="583"/>
      <c r="L165" s="581">
        <v>40</v>
      </c>
      <c r="M165" s="352" t="s">
        <v>14</v>
      </c>
    </row>
    <row r="166" spans="1:13" x14ac:dyDescent="0.35">
      <c r="A166">
        <v>165</v>
      </c>
      <c r="B166" s="746" t="s">
        <v>1040</v>
      </c>
      <c r="C166" s="581">
        <v>29</v>
      </c>
      <c r="D166" s="583"/>
      <c r="E166" s="583"/>
      <c r="F166" s="581">
        <v>220</v>
      </c>
      <c r="G166" s="583"/>
      <c r="H166" s="581"/>
      <c r="I166" s="581"/>
      <c r="J166" s="581">
        <v>14</v>
      </c>
      <c r="K166" s="583"/>
      <c r="L166" s="581">
        <v>15</v>
      </c>
      <c r="M166" s="352" t="s">
        <v>14</v>
      </c>
    </row>
    <row r="167" spans="1:13" x14ac:dyDescent="0.35">
      <c r="A167">
        <v>166</v>
      </c>
      <c r="B167" s="746" t="s">
        <v>1049</v>
      </c>
      <c r="C167" s="581">
        <v>14</v>
      </c>
      <c r="D167" s="581">
        <v>25</v>
      </c>
      <c r="E167" s="581">
        <v>0</v>
      </c>
      <c r="F167" s="581">
        <v>19</v>
      </c>
      <c r="G167" s="581"/>
      <c r="H167" s="257"/>
      <c r="I167" s="257"/>
      <c r="J167" s="581">
        <v>5</v>
      </c>
      <c r="K167" s="581">
        <v>3</v>
      </c>
      <c r="L167" s="581">
        <v>6</v>
      </c>
      <c r="M167" s="352" t="s">
        <v>14</v>
      </c>
    </row>
    <row r="168" spans="1:13" x14ac:dyDescent="0.35">
      <c r="A168">
        <v>167</v>
      </c>
      <c r="B168" s="746" t="s">
        <v>1037</v>
      </c>
      <c r="C168" s="581">
        <v>7</v>
      </c>
      <c r="D168" s="581">
        <v>211</v>
      </c>
      <c r="E168" s="581">
        <v>1</v>
      </c>
      <c r="F168" s="581">
        <v>12</v>
      </c>
      <c r="G168" s="581"/>
      <c r="H168" s="582"/>
      <c r="I168" s="582"/>
      <c r="J168" s="583"/>
      <c r="K168" s="581">
        <v>5</v>
      </c>
      <c r="L168" s="581">
        <v>2</v>
      </c>
      <c r="M168" s="352" t="s">
        <v>14</v>
      </c>
    </row>
    <row r="169" spans="1:13" x14ac:dyDescent="0.35">
      <c r="A169">
        <v>168</v>
      </c>
      <c r="B169" s="746" t="s">
        <v>1041</v>
      </c>
      <c r="C169" s="583"/>
      <c r="D169" s="583"/>
      <c r="E169" s="583"/>
      <c r="F169" s="583"/>
      <c r="G169" s="583"/>
      <c r="H169" s="581"/>
      <c r="I169" s="581"/>
      <c r="J169" s="583"/>
      <c r="K169" s="583"/>
      <c r="L169" s="583"/>
      <c r="M169" s="352" t="s">
        <v>14</v>
      </c>
    </row>
    <row r="170" spans="1:13" x14ac:dyDescent="0.35">
      <c r="A170">
        <v>169</v>
      </c>
      <c r="B170" s="746" t="s">
        <v>1042</v>
      </c>
      <c r="C170" s="583"/>
      <c r="D170" s="583"/>
      <c r="E170" s="583"/>
      <c r="F170" s="583"/>
      <c r="G170" s="583"/>
      <c r="H170" s="581"/>
      <c r="I170" s="581"/>
      <c r="J170" s="583"/>
      <c r="K170" s="583"/>
      <c r="L170" s="583"/>
      <c r="M170" s="352" t="s">
        <v>14</v>
      </c>
    </row>
    <row r="171" spans="1:13" x14ac:dyDescent="0.35">
      <c r="A171">
        <v>170</v>
      </c>
      <c r="B171" s="746" t="s">
        <v>1044</v>
      </c>
      <c r="C171" s="583"/>
      <c r="D171" s="583"/>
      <c r="E171" s="583"/>
      <c r="F171" s="583"/>
      <c r="G171" s="583"/>
      <c r="H171" s="257"/>
      <c r="I171" s="257"/>
      <c r="J171" s="583"/>
      <c r="K171" s="583"/>
      <c r="L171" s="583"/>
      <c r="M171" s="352" t="s">
        <v>14</v>
      </c>
    </row>
    <row r="172" spans="1:13" x14ac:dyDescent="0.35">
      <c r="A172">
        <v>171</v>
      </c>
      <c r="B172" s="746" t="s">
        <v>1045</v>
      </c>
      <c r="C172" s="583"/>
      <c r="D172" s="583"/>
      <c r="E172" s="583"/>
      <c r="F172" s="583"/>
      <c r="G172" s="583"/>
      <c r="H172" s="257"/>
      <c r="I172" s="257"/>
      <c r="J172" s="583"/>
      <c r="K172" s="583"/>
      <c r="L172" s="583"/>
      <c r="M172" s="352" t="s">
        <v>14</v>
      </c>
    </row>
    <row r="173" spans="1:13" x14ac:dyDescent="0.35">
      <c r="A173">
        <v>172</v>
      </c>
      <c r="B173" s="746" t="s">
        <v>1046</v>
      </c>
      <c r="C173" s="583"/>
      <c r="D173" s="583"/>
      <c r="E173" s="583"/>
      <c r="F173" s="583"/>
      <c r="G173" s="583"/>
      <c r="H173" s="257"/>
      <c r="I173" s="257"/>
      <c r="J173" s="583"/>
      <c r="K173" s="583"/>
      <c r="L173" s="583"/>
      <c r="M173" s="352" t="s">
        <v>14</v>
      </c>
    </row>
    <row r="174" spans="1:13" x14ac:dyDescent="0.35">
      <c r="A174">
        <v>173</v>
      </c>
      <c r="B174" s="746" t="s">
        <v>1048</v>
      </c>
      <c r="C174" s="583"/>
      <c r="D174" s="583"/>
      <c r="E174" s="583"/>
      <c r="F174" s="583"/>
      <c r="G174" s="583"/>
      <c r="H174" s="257"/>
      <c r="I174" s="257"/>
      <c r="J174" s="583"/>
      <c r="K174" s="583"/>
      <c r="L174" s="583"/>
      <c r="M174" s="352" t="s">
        <v>14</v>
      </c>
    </row>
    <row r="175" spans="1:13" x14ac:dyDescent="0.35">
      <c r="A175">
        <v>174</v>
      </c>
      <c r="B175" s="746" t="s">
        <v>1051</v>
      </c>
      <c r="C175" s="583"/>
      <c r="D175" s="583"/>
      <c r="E175" s="583"/>
      <c r="F175" s="583"/>
      <c r="G175" s="583"/>
      <c r="H175" s="257"/>
      <c r="I175" s="257"/>
      <c r="J175" s="583"/>
      <c r="K175" s="583"/>
      <c r="L175" s="583"/>
      <c r="M175" s="352" t="s">
        <v>14</v>
      </c>
    </row>
    <row r="176" spans="1:13" x14ac:dyDescent="0.35">
      <c r="A176">
        <v>175</v>
      </c>
      <c r="B176" s="746" t="s">
        <v>1052</v>
      </c>
      <c r="C176" s="583"/>
      <c r="D176" s="583"/>
      <c r="E176" s="583"/>
      <c r="F176" s="583"/>
      <c r="G176" s="583"/>
      <c r="H176" s="257"/>
      <c r="I176" s="257"/>
      <c r="J176" s="583"/>
      <c r="K176" s="583"/>
      <c r="L176" s="583"/>
      <c r="M176" s="352" t="s">
        <v>14</v>
      </c>
    </row>
    <row r="177" spans="1:13" x14ac:dyDescent="0.35">
      <c r="A177">
        <v>176</v>
      </c>
      <c r="B177" s="746" t="s">
        <v>1053</v>
      </c>
      <c r="C177" s="583"/>
      <c r="D177" s="583"/>
      <c r="E177" s="583"/>
      <c r="F177" s="583"/>
      <c r="G177" s="583"/>
      <c r="H177" s="257"/>
      <c r="I177" s="257"/>
      <c r="J177" s="583"/>
      <c r="K177" s="583"/>
      <c r="L177" s="583"/>
      <c r="M177" s="352" t="s">
        <v>14</v>
      </c>
    </row>
    <row r="178" spans="1:13" x14ac:dyDescent="0.35">
      <c r="A178">
        <v>177</v>
      </c>
      <c r="B178" s="746" t="s">
        <v>1054</v>
      </c>
      <c r="C178" s="583"/>
      <c r="D178" s="583"/>
      <c r="E178" s="583"/>
      <c r="F178" s="583"/>
      <c r="G178" s="583"/>
      <c r="H178" s="257"/>
      <c r="I178" s="257"/>
      <c r="J178" s="583"/>
      <c r="K178" s="583"/>
      <c r="L178" s="583"/>
      <c r="M178" s="352" t="s">
        <v>14</v>
      </c>
    </row>
    <row r="179" spans="1:13" x14ac:dyDescent="0.35">
      <c r="A179">
        <v>178</v>
      </c>
      <c r="B179" s="746" t="s">
        <v>1055</v>
      </c>
      <c r="C179" s="583"/>
      <c r="D179" s="583"/>
      <c r="E179" s="583"/>
      <c r="F179" s="583"/>
      <c r="G179" s="583"/>
      <c r="H179" s="581"/>
      <c r="I179" s="581"/>
      <c r="J179" s="583"/>
      <c r="K179" s="583"/>
      <c r="L179" s="583"/>
      <c r="M179" s="352" t="s">
        <v>14</v>
      </c>
    </row>
    <row r="180" spans="1:13" x14ac:dyDescent="0.35">
      <c r="A180">
        <v>179</v>
      </c>
      <c r="B180" s="746" t="s">
        <v>1056</v>
      </c>
      <c r="C180" s="583"/>
      <c r="D180" s="583"/>
      <c r="E180" s="583"/>
      <c r="F180" s="583"/>
      <c r="G180" s="583"/>
      <c r="H180" s="582"/>
      <c r="I180" s="581"/>
      <c r="J180" s="583"/>
      <c r="K180" s="583"/>
      <c r="L180" s="583"/>
      <c r="M180" s="352" t="s">
        <v>14</v>
      </c>
    </row>
    <row r="181" spans="1:13" x14ac:dyDescent="0.35">
      <c r="A181">
        <v>180</v>
      </c>
      <c r="B181" s="746" t="s">
        <v>1057</v>
      </c>
      <c r="C181" s="583"/>
      <c r="D181" s="583"/>
      <c r="E181" s="583"/>
      <c r="F181" s="583"/>
      <c r="G181" s="583"/>
      <c r="H181" s="581"/>
      <c r="I181" s="581"/>
      <c r="J181" s="583"/>
      <c r="K181" s="583"/>
      <c r="L181" s="583"/>
      <c r="M181" s="352" t="s">
        <v>14</v>
      </c>
    </row>
    <row r="182" spans="1:13" x14ac:dyDescent="0.35">
      <c r="A182">
        <v>181</v>
      </c>
      <c r="B182" s="747" t="s">
        <v>1060</v>
      </c>
      <c r="C182" s="584">
        <v>2464</v>
      </c>
      <c r="D182" s="584">
        <v>545</v>
      </c>
      <c r="E182" s="584">
        <v>600</v>
      </c>
      <c r="F182" s="584">
        <v>2442</v>
      </c>
      <c r="G182" s="584"/>
      <c r="H182" s="585"/>
      <c r="I182" s="585"/>
      <c r="J182" s="584">
        <v>941</v>
      </c>
      <c r="K182" s="584">
        <v>110</v>
      </c>
      <c r="L182" s="584">
        <v>423</v>
      </c>
      <c r="M182" s="352" t="s">
        <v>15</v>
      </c>
    </row>
    <row r="183" spans="1:13" x14ac:dyDescent="0.35">
      <c r="A183">
        <v>182</v>
      </c>
      <c r="B183" s="747" t="s">
        <v>1061</v>
      </c>
      <c r="C183" s="584">
        <v>3136</v>
      </c>
      <c r="D183" s="584">
        <v>697</v>
      </c>
      <c r="E183" s="584">
        <v>1032</v>
      </c>
      <c r="F183" s="584">
        <v>4166</v>
      </c>
      <c r="G183" s="584"/>
      <c r="H183" s="585"/>
      <c r="I183" s="585"/>
      <c r="J183" s="584">
        <v>915</v>
      </c>
      <c r="K183" s="584">
        <v>1481</v>
      </c>
      <c r="L183" s="584">
        <v>740</v>
      </c>
      <c r="M183" s="352" t="s">
        <v>15</v>
      </c>
    </row>
    <row r="184" spans="1:13" x14ac:dyDescent="0.35">
      <c r="A184">
        <v>183</v>
      </c>
      <c r="B184" s="747" t="s">
        <v>1063</v>
      </c>
      <c r="C184" s="584">
        <v>1925</v>
      </c>
      <c r="D184" s="584">
        <v>276</v>
      </c>
      <c r="E184" s="584">
        <v>358</v>
      </c>
      <c r="F184" s="584">
        <v>875</v>
      </c>
      <c r="G184" s="584"/>
      <c r="H184" s="584"/>
      <c r="I184" s="584"/>
      <c r="J184" s="584">
        <v>544</v>
      </c>
      <c r="K184" s="584">
        <v>1296</v>
      </c>
      <c r="L184" s="584">
        <v>85</v>
      </c>
      <c r="M184" s="352" t="s">
        <v>15</v>
      </c>
    </row>
    <row r="185" spans="1:13" x14ac:dyDescent="0.35">
      <c r="A185">
        <v>184</v>
      </c>
      <c r="B185" s="747" t="s">
        <v>1066</v>
      </c>
      <c r="C185" s="584">
        <v>90</v>
      </c>
      <c r="D185" s="584">
        <v>220</v>
      </c>
      <c r="E185" s="584">
        <v>11</v>
      </c>
      <c r="F185" s="584">
        <v>249</v>
      </c>
      <c r="G185" s="584"/>
      <c r="H185" s="585"/>
      <c r="I185" s="585"/>
      <c r="J185" s="584">
        <v>20</v>
      </c>
      <c r="K185" s="584">
        <v>50</v>
      </c>
      <c r="L185" s="584">
        <v>20</v>
      </c>
      <c r="M185" s="352" t="s">
        <v>15</v>
      </c>
    </row>
    <row r="186" spans="1:13" x14ac:dyDescent="0.35">
      <c r="A186">
        <v>185</v>
      </c>
      <c r="B186" s="747" t="s">
        <v>1062</v>
      </c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352" t="s">
        <v>15</v>
      </c>
    </row>
    <row r="187" spans="1:13" x14ac:dyDescent="0.35">
      <c r="A187">
        <v>186</v>
      </c>
      <c r="B187" s="747" t="s">
        <v>1064</v>
      </c>
      <c r="C187" s="585"/>
      <c r="D187" s="585"/>
      <c r="E187" s="585"/>
      <c r="F187" s="585"/>
      <c r="G187" s="585"/>
      <c r="H187" s="584"/>
      <c r="I187" s="584"/>
      <c r="J187" s="585"/>
      <c r="K187" s="585"/>
      <c r="L187" s="585"/>
      <c r="M187" s="352" t="s">
        <v>15</v>
      </c>
    </row>
    <row r="188" spans="1:13" x14ac:dyDescent="0.35">
      <c r="A188">
        <v>187</v>
      </c>
      <c r="B188" s="747" t="s">
        <v>1065</v>
      </c>
      <c r="C188" s="585"/>
      <c r="D188" s="585"/>
      <c r="E188" s="585"/>
      <c r="F188" s="585"/>
      <c r="G188" s="585"/>
      <c r="H188" s="584"/>
      <c r="I188" s="584"/>
      <c r="J188" s="585"/>
      <c r="K188" s="585"/>
      <c r="L188" s="585"/>
      <c r="M188" s="352" t="s">
        <v>15</v>
      </c>
    </row>
    <row r="189" spans="1:13" x14ac:dyDescent="0.35">
      <c r="A189">
        <v>188</v>
      </c>
      <c r="B189" s="747" t="s">
        <v>1067</v>
      </c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352" t="s">
        <v>15</v>
      </c>
    </row>
    <row r="190" spans="1:13" x14ac:dyDescent="0.35">
      <c r="A190">
        <v>189</v>
      </c>
      <c r="B190" s="744" t="s">
        <v>1068</v>
      </c>
      <c r="C190" s="575">
        <v>240</v>
      </c>
      <c r="D190" s="575">
        <v>775</v>
      </c>
      <c r="E190" s="575">
        <v>64</v>
      </c>
      <c r="F190" s="575">
        <v>385</v>
      </c>
      <c r="G190" s="575"/>
      <c r="H190" s="705"/>
      <c r="I190" s="575"/>
      <c r="J190" s="575">
        <v>146</v>
      </c>
      <c r="K190" s="575">
        <v>83</v>
      </c>
      <c r="L190" s="575">
        <v>11</v>
      </c>
      <c r="M190" s="352" t="s">
        <v>16</v>
      </c>
    </row>
    <row r="191" spans="1:13" x14ac:dyDescent="0.35">
      <c r="A191">
        <v>190</v>
      </c>
      <c r="B191" s="744" t="s">
        <v>1079</v>
      </c>
      <c r="C191" s="575">
        <v>1255</v>
      </c>
      <c r="D191" s="575">
        <v>465</v>
      </c>
      <c r="E191" s="575">
        <v>403</v>
      </c>
      <c r="F191" s="575">
        <v>2017</v>
      </c>
      <c r="G191" s="575"/>
      <c r="H191" s="707"/>
      <c r="I191" s="707"/>
      <c r="J191" s="575">
        <v>296</v>
      </c>
      <c r="K191" s="575">
        <v>866</v>
      </c>
      <c r="L191" s="575">
        <v>93</v>
      </c>
      <c r="M191" s="352" t="s">
        <v>16</v>
      </c>
    </row>
    <row r="192" spans="1:13" x14ac:dyDescent="0.35">
      <c r="A192">
        <v>191</v>
      </c>
      <c r="B192" s="744" t="s">
        <v>1092</v>
      </c>
      <c r="C192" s="575">
        <v>599</v>
      </c>
      <c r="D192" s="575">
        <v>526</v>
      </c>
      <c r="E192" s="575">
        <v>195</v>
      </c>
      <c r="F192" s="575">
        <v>2533</v>
      </c>
      <c r="G192" s="575"/>
      <c r="H192" s="575"/>
      <c r="I192" s="575"/>
      <c r="J192" s="575">
        <v>154</v>
      </c>
      <c r="K192" s="575">
        <v>371</v>
      </c>
      <c r="L192" s="575">
        <v>74</v>
      </c>
      <c r="M192" s="352" t="s">
        <v>16</v>
      </c>
    </row>
    <row r="193" spans="1:13" x14ac:dyDescent="0.35">
      <c r="A193">
        <v>192</v>
      </c>
      <c r="B193" s="744" t="s">
        <v>1087</v>
      </c>
      <c r="C193" s="575">
        <v>570</v>
      </c>
      <c r="D193" s="575">
        <v>178</v>
      </c>
      <c r="E193" s="575">
        <v>64</v>
      </c>
      <c r="F193" s="575">
        <v>1028</v>
      </c>
      <c r="G193" s="575"/>
      <c r="H193" s="575"/>
      <c r="I193" s="575"/>
      <c r="J193" s="575">
        <v>182</v>
      </c>
      <c r="K193" s="575">
        <v>360</v>
      </c>
      <c r="L193" s="575">
        <v>28</v>
      </c>
      <c r="M193" s="352" t="s">
        <v>16</v>
      </c>
    </row>
    <row r="194" spans="1:13" x14ac:dyDescent="0.35">
      <c r="A194">
        <v>193</v>
      </c>
      <c r="B194" s="744" t="s">
        <v>1074</v>
      </c>
      <c r="C194" s="575">
        <v>488</v>
      </c>
      <c r="D194" s="575">
        <v>847</v>
      </c>
      <c r="E194" s="575">
        <v>169</v>
      </c>
      <c r="F194" s="575">
        <v>2571</v>
      </c>
      <c r="G194" s="575"/>
      <c r="H194" s="575"/>
      <c r="I194" s="575"/>
      <c r="J194" s="575">
        <v>271</v>
      </c>
      <c r="K194" s="575">
        <v>200</v>
      </c>
      <c r="L194" s="575">
        <v>16</v>
      </c>
      <c r="M194" s="352" t="s">
        <v>16</v>
      </c>
    </row>
    <row r="195" spans="1:13" x14ac:dyDescent="0.35">
      <c r="A195">
        <v>194</v>
      </c>
      <c r="B195" s="744" t="s">
        <v>1072</v>
      </c>
      <c r="C195" s="575">
        <v>432</v>
      </c>
      <c r="D195" s="575">
        <v>209</v>
      </c>
      <c r="E195" s="575">
        <v>76</v>
      </c>
      <c r="F195" s="575">
        <v>1624</v>
      </c>
      <c r="G195" s="575"/>
      <c r="H195" s="706"/>
      <c r="I195" s="706"/>
      <c r="J195" s="575">
        <v>52</v>
      </c>
      <c r="K195" s="575">
        <v>363</v>
      </c>
      <c r="L195" s="575">
        <v>17</v>
      </c>
      <c r="M195" s="352" t="s">
        <v>16</v>
      </c>
    </row>
    <row r="196" spans="1:13" x14ac:dyDescent="0.35">
      <c r="A196">
        <v>195</v>
      </c>
      <c r="B196" s="744" t="s">
        <v>1091</v>
      </c>
      <c r="C196" s="575">
        <v>299</v>
      </c>
      <c r="D196" s="575">
        <v>818</v>
      </c>
      <c r="E196" s="575">
        <v>141</v>
      </c>
      <c r="F196" s="575">
        <v>584</v>
      </c>
      <c r="G196" s="575"/>
      <c r="H196" s="575"/>
      <c r="I196" s="575"/>
      <c r="J196" s="575">
        <v>106</v>
      </c>
      <c r="K196" s="575">
        <v>173</v>
      </c>
      <c r="L196" s="575">
        <v>20</v>
      </c>
      <c r="M196" s="352" t="s">
        <v>16</v>
      </c>
    </row>
    <row r="197" spans="1:13" x14ac:dyDescent="0.35">
      <c r="A197">
        <v>196</v>
      </c>
      <c r="B197" s="744" t="s">
        <v>1090</v>
      </c>
      <c r="C197" s="575">
        <v>225</v>
      </c>
      <c r="D197" s="575">
        <v>386</v>
      </c>
      <c r="E197" s="575">
        <v>49</v>
      </c>
      <c r="F197" s="575">
        <v>831</v>
      </c>
      <c r="G197" s="575"/>
      <c r="H197" s="705"/>
      <c r="I197" s="575"/>
      <c r="J197" s="575">
        <v>73</v>
      </c>
      <c r="K197" s="575">
        <v>128</v>
      </c>
      <c r="L197" s="575">
        <v>24</v>
      </c>
      <c r="M197" s="352" t="s">
        <v>16</v>
      </c>
    </row>
    <row r="198" spans="1:13" x14ac:dyDescent="0.35">
      <c r="A198">
        <v>197</v>
      </c>
      <c r="B198" s="744" t="s">
        <v>1071</v>
      </c>
      <c r="C198" s="575">
        <v>205</v>
      </c>
      <c r="D198" s="575">
        <v>201</v>
      </c>
      <c r="E198" s="575">
        <v>30</v>
      </c>
      <c r="F198" s="575">
        <v>472</v>
      </c>
      <c r="G198" s="575"/>
      <c r="H198" s="575"/>
      <c r="I198" s="575"/>
      <c r="J198" s="575">
        <v>44</v>
      </c>
      <c r="K198" s="575">
        <v>147</v>
      </c>
      <c r="L198" s="575">
        <v>14</v>
      </c>
      <c r="M198" s="352" t="s">
        <v>16</v>
      </c>
    </row>
    <row r="199" spans="1:13" x14ac:dyDescent="0.35">
      <c r="A199">
        <v>198</v>
      </c>
      <c r="B199" s="744" t="s">
        <v>1085</v>
      </c>
      <c r="C199" s="575">
        <v>175</v>
      </c>
      <c r="D199" s="575">
        <v>812</v>
      </c>
      <c r="E199" s="575">
        <v>20</v>
      </c>
      <c r="F199" s="575">
        <v>222</v>
      </c>
      <c r="G199" s="575"/>
      <c r="H199" s="575"/>
      <c r="I199" s="575"/>
      <c r="J199" s="575">
        <v>149</v>
      </c>
      <c r="K199" s="575">
        <v>25</v>
      </c>
      <c r="L199" s="575">
        <v>2</v>
      </c>
      <c r="M199" s="352" t="s">
        <v>16</v>
      </c>
    </row>
    <row r="200" spans="1:13" x14ac:dyDescent="0.35">
      <c r="A200">
        <v>199</v>
      </c>
      <c r="B200" s="744" t="s">
        <v>1095</v>
      </c>
      <c r="C200" s="575">
        <v>167</v>
      </c>
      <c r="D200" s="575">
        <v>197</v>
      </c>
      <c r="E200" s="575">
        <v>13</v>
      </c>
      <c r="F200" s="575">
        <v>422</v>
      </c>
      <c r="G200" s="575"/>
      <c r="H200" s="705"/>
      <c r="I200" s="575"/>
      <c r="J200" s="575">
        <v>94</v>
      </c>
      <c r="K200" s="575">
        <v>65</v>
      </c>
      <c r="L200" s="575">
        <v>7</v>
      </c>
      <c r="M200" s="352" t="s">
        <v>16</v>
      </c>
    </row>
    <row r="201" spans="1:13" x14ac:dyDescent="0.35">
      <c r="A201">
        <v>200</v>
      </c>
      <c r="B201" s="744" t="s">
        <v>1069</v>
      </c>
      <c r="C201" s="575">
        <v>163</v>
      </c>
      <c r="D201" s="575">
        <v>463</v>
      </c>
      <c r="E201" s="575">
        <v>51</v>
      </c>
      <c r="F201" s="575">
        <v>842</v>
      </c>
      <c r="G201" s="575"/>
      <c r="H201" s="705"/>
      <c r="I201" s="705"/>
      <c r="J201" s="575">
        <v>46</v>
      </c>
      <c r="K201" s="575">
        <v>111</v>
      </c>
      <c r="L201" s="575">
        <v>6</v>
      </c>
      <c r="M201" s="352" t="s">
        <v>16</v>
      </c>
    </row>
    <row r="202" spans="1:13" x14ac:dyDescent="0.35">
      <c r="A202">
        <v>201</v>
      </c>
      <c r="B202" s="744" t="s">
        <v>1073</v>
      </c>
      <c r="C202" s="575">
        <v>159</v>
      </c>
      <c r="D202" s="575">
        <v>1321</v>
      </c>
      <c r="E202" s="575">
        <v>133</v>
      </c>
      <c r="F202" s="575">
        <v>1178</v>
      </c>
      <c r="G202" s="705"/>
      <c r="H202" s="706"/>
      <c r="I202" s="706"/>
      <c r="J202" s="575">
        <v>50</v>
      </c>
      <c r="K202" s="575">
        <v>101</v>
      </c>
      <c r="L202" s="575">
        <v>8</v>
      </c>
      <c r="M202" s="352" t="s">
        <v>16</v>
      </c>
    </row>
    <row r="203" spans="1:13" x14ac:dyDescent="0.35">
      <c r="A203">
        <v>202</v>
      </c>
      <c r="B203" s="744" t="s">
        <v>1070</v>
      </c>
      <c r="C203" s="575">
        <v>145</v>
      </c>
      <c r="D203" s="575">
        <v>64</v>
      </c>
      <c r="E203" s="575">
        <v>3</v>
      </c>
      <c r="F203" s="575">
        <v>615</v>
      </c>
      <c r="G203" s="575"/>
      <c r="H203" s="706"/>
      <c r="I203" s="706"/>
      <c r="J203" s="575">
        <v>92</v>
      </c>
      <c r="K203" s="575">
        <v>52</v>
      </c>
      <c r="L203" s="575">
        <v>2</v>
      </c>
      <c r="M203" s="352" t="s">
        <v>16</v>
      </c>
    </row>
    <row r="204" spans="1:13" x14ac:dyDescent="0.35">
      <c r="A204">
        <v>203</v>
      </c>
      <c r="B204" s="744" t="s">
        <v>1075</v>
      </c>
      <c r="C204" s="575">
        <v>112</v>
      </c>
      <c r="D204" s="575">
        <v>517</v>
      </c>
      <c r="E204" s="575">
        <v>35</v>
      </c>
      <c r="F204" s="575">
        <v>416</v>
      </c>
      <c r="G204" s="575"/>
      <c r="H204" s="706"/>
      <c r="I204" s="706"/>
      <c r="J204" s="575">
        <v>44</v>
      </c>
      <c r="K204" s="575">
        <v>68</v>
      </c>
      <c r="L204" s="706"/>
      <c r="M204" s="352" t="s">
        <v>16</v>
      </c>
    </row>
    <row r="205" spans="1:13" x14ac:dyDescent="0.35">
      <c r="A205">
        <v>204</v>
      </c>
      <c r="B205" s="744" t="s">
        <v>1089</v>
      </c>
      <c r="C205" s="575">
        <v>99</v>
      </c>
      <c r="D205" s="575">
        <v>90</v>
      </c>
      <c r="E205" s="575">
        <v>5</v>
      </c>
      <c r="F205" s="575">
        <v>2072</v>
      </c>
      <c r="G205" s="575"/>
      <c r="H205" s="705"/>
      <c r="I205" s="575"/>
      <c r="J205" s="575">
        <v>17</v>
      </c>
      <c r="K205" s="575">
        <v>50</v>
      </c>
      <c r="L205" s="575">
        <v>32</v>
      </c>
      <c r="M205" s="352" t="s">
        <v>16</v>
      </c>
    </row>
    <row r="206" spans="1:13" x14ac:dyDescent="0.35">
      <c r="A206">
        <v>205</v>
      </c>
      <c r="B206" s="744" t="s">
        <v>1094</v>
      </c>
      <c r="C206" s="575">
        <v>93</v>
      </c>
      <c r="D206" s="575">
        <v>400</v>
      </c>
      <c r="E206" s="575">
        <v>11</v>
      </c>
      <c r="F206" s="575">
        <v>251</v>
      </c>
      <c r="G206" s="575"/>
      <c r="H206" s="575"/>
      <c r="I206" s="706"/>
      <c r="J206" s="575">
        <v>55</v>
      </c>
      <c r="K206" s="575">
        <v>27</v>
      </c>
      <c r="L206" s="575">
        <v>12</v>
      </c>
      <c r="M206" s="352" t="s">
        <v>16</v>
      </c>
    </row>
    <row r="207" spans="1:13" x14ac:dyDescent="0.35">
      <c r="A207">
        <v>206</v>
      </c>
      <c r="B207" s="744" t="s">
        <v>1080</v>
      </c>
      <c r="C207" s="575">
        <v>87</v>
      </c>
      <c r="D207" s="575">
        <v>564</v>
      </c>
      <c r="E207" s="575">
        <v>31</v>
      </c>
      <c r="F207" s="575">
        <v>327</v>
      </c>
      <c r="G207" s="575"/>
      <c r="H207" s="707"/>
      <c r="I207" s="707"/>
      <c r="J207" s="575">
        <v>22</v>
      </c>
      <c r="K207" s="575">
        <v>54</v>
      </c>
      <c r="L207" s="575">
        <v>11</v>
      </c>
      <c r="M207" s="352" t="s">
        <v>16</v>
      </c>
    </row>
    <row r="208" spans="1:13" x14ac:dyDescent="0.35">
      <c r="A208">
        <v>207</v>
      </c>
      <c r="B208" s="744" t="s">
        <v>1093</v>
      </c>
      <c r="C208" s="575">
        <v>65</v>
      </c>
      <c r="D208" s="575">
        <v>578</v>
      </c>
      <c r="E208" s="575">
        <v>37</v>
      </c>
      <c r="F208" s="575">
        <v>52</v>
      </c>
      <c r="G208" s="575"/>
      <c r="H208" s="706"/>
      <c r="I208" s="706"/>
      <c r="J208" s="706"/>
      <c r="K208" s="575">
        <v>65</v>
      </c>
      <c r="L208" s="706"/>
      <c r="M208" s="352" t="s">
        <v>16</v>
      </c>
    </row>
    <row r="209" spans="1:13" x14ac:dyDescent="0.35">
      <c r="A209">
        <v>208</v>
      </c>
      <c r="B209" s="744" t="s">
        <v>1096</v>
      </c>
      <c r="C209" s="575">
        <v>51</v>
      </c>
      <c r="D209" s="575">
        <v>475</v>
      </c>
      <c r="E209" s="575">
        <v>4</v>
      </c>
      <c r="F209" s="575">
        <v>123</v>
      </c>
      <c r="G209" s="575"/>
      <c r="H209" s="575"/>
      <c r="I209" s="575"/>
      <c r="J209" s="575">
        <v>41</v>
      </c>
      <c r="K209" s="575">
        <v>8</v>
      </c>
      <c r="L209" s="575">
        <v>1</v>
      </c>
      <c r="M209" s="352" t="s">
        <v>16</v>
      </c>
    </row>
    <row r="210" spans="1:13" x14ac:dyDescent="0.35">
      <c r="A210">
        <v>209</v>
      </c>
      <c r="B210" s="744" t="s">
        <v>1086</v>
      </c>
      <c r="C210" s="575">
        <v>13</v>
      </c>
      <c r="D210" s="575">
        <v>313</v>
      </c>
      <c r="E210" s="575">
        <v>1</v>
      </c>
      <c r="F210" s="575">
        <v>139</v>
      </c>
      <c r="G210" s="575"/>
      <c r="H210" s="575"/>
      <c r="I210" s="575"/>
      <c r="J210" s="575">
        <v>7</v>
      </c>
      <c r="K210" s="575">
        <v>5</v>
      </c>
      <c r="L210" s="575">
        <v>1</v>
      </c>
      <c r="M210" s="352" t="s">
        <v>16</v>
      </c>
    </row>
    <row r="211" spans="1:13" x14ac:dyDescent="0.35">
      <c r="A211">
        <v>210</v>
      </c>
      <c r="B211" s="744" t="s">
        <v>1076</v>
      </c>
      <c r="C211" s="575">
        <v>10</v>
      </c>
      <c r="D211" s="575">
        <v>443</v>
      </c>
      <c r="E211" s="575">
        <v>4</v>
      </c>
      <c r="F211" s="575">
        <v>25</v>
      </c>
      <c r="G211" s="575"/>
      <c r="H211" s="706"/>
      <c r="I211" s="706"/>
      <c r="J211" s="575">
        <v>0</v>
      </c>
      <c r="K211" s="575">
        <v>9</v>
      </c>
      <c r="L211" s="575">
        <v>1</v>
      </c>
      <c r="M211" s="352" t="s">
        <v>16</v>
      </c>
    </row>
    <row r="212" spans="1:13" x14ac:dyDescent="0.35">
      <c r="A212">
        <v>211</v>
      </c>
      <c r="B212" s="744" t="s">
        <v>1078</v>
      </c>
      <c r="C212" s="575">
        <v>3</v>
      </c>
      <c r="D212" s="706"/>
      <c r="E212" s="706"/>
      <c r="F212" s="575">
        <v>32</v>
      </c>
      <c r="G212" s="706"/>
      <c r="H212" s="707"/>
      <c r="I212" s="707"/>
      <c r="J212" s="575">
        <v>3</v>
      </c>
      <c r="K212" s="706"/>
      <c r="L212" s="706"/>
      <c r="M212" s="352" t="s">
        <v>16</v>
      </c>
    </row>
    <row r="213" spans="1:13" x14ac:dyDescent="0.35">
      <c r="A213">
        <v>212</v>
      </c>
      <c r="B213" s="744" t="s">
        <v>1077</v>
      </c>
      <c r="C213" s="706"/>
      <c r="D213" s="706"/>
      <c r="E213" s="706"/>
      <c r="F213" s="706"/>
      <c r="G213" s="706"/>
      <c r="H213" s="707"/>
      <c r="I213" s="707"/>
      <c r="J213" s="706"/>
      <c r="K213" s="706"/>
      <c r="L213" s="706"/>
      <c r="M213" s="352" t="s">
        <v>16</v>
      </c>
    </row>
    <row r="214" spans="1:13" x14ac:dyDescent="0.35">
      <c r="A214">
        <v>213</v>
      </c>
      <c r="B214" s="744" t="s">
        <v>1081</v>
      </c>
      <c r="C214" s="706"/>
      <c r="D214" s="706"/>
      <c r="E214" s="706"/>
      <c r="F214" s="706"/>
      <c r="G214" s="706"/>
      <c r="H214" s="707"/>
      <c r="I214" s="707"/>
      <c r="J214" s="706"/>
      <c r="K214" s="706"/>
      <c r="L214" s="706"/>
      <c r="M214" s="352" t="s">
        <v>16</v>
      </c>
    </row>
    <row r="215" spans="1:13" x14ac:dyDescent="0.35">
      <c r="A215">
        <v>214</v>
      </c>
      <c r="B215" s="744" t="s">
        <v>1082</v>
      </c>
      <c r="C215" s="706"/>
      <c r="D215" s="706"/>
      <c r="E215" s="706"/>
      <c r="F215" s="706"/>
      <c r="G215" s="706"/>
      <c r="H215" s="707"/>
      <c r="I215" s="707"/>
      <c r="J215" s="706"/>
      <c r="K215" s="706"/>
      <c r="L215" s="706"/>
      <c r="M215" s="352" t="s">
        <v>16</v>
      </c>
    </row>
    <row r="216" spans="1:13" x14ac:dyDescent="0.35">
      <c r="A216">
        <v>215</v>
      </c>
      <c r="B216" s="744" t="s">
        <v>1083</v>
      </c>
      <c r="C216" s="706"/>
      <c r="D216" s="706"/>
      <c r="E216" s="706"/>
      <c r="F216" s="706"/>
      <c r="G216" s="706"/>
      <c r="H216" s="707"/>
      <c r="I216" s="707"/>
      <c r="J216" s="706"/>
      <c r="K216" s="706"/>
      <c r="L216" s="706"/>
      <c r="M216" s="352" t="s">
        <v>16</v>
      </c>
    </row>
    <row r="217" spans="1:13" x14ac:dyDescent="0.35">
      <c r="A217">
        <v>216</v>
      </c>
      <c r="B217" s="744" t="s">
        <v>1084</v>
      </c>
      <c r="C217" s="706"/>
      <c r="D217" s="706"/>
      <c r="E217" s="706"/>
      <c r="F217" s="706"/>
      <c r="G217" s="706"/>
      <c r="H217" s="575"/>
      <c r="I217" s="575"/>
      <c r="J217" s="706"/>
      <c r="K217" s="706"/>
      <c r="L217" s="706"/>
      <c r="M217" s="352" t="s">
        <v>16</v>
      </c>
    </row>
    <row r="218" spans="1:13" x14ac:dyDescent="0.35">
      <c r="A218">
        <v>217</v>
      </c>
      <c r="B218" s="744" t="s">
        <v>1088</v>
      </c>
      <c r="C218" s="706"/>
      <c r="D218" s="706"/>
      <c r="E218" s="706"/>
      <c r="F218" s="706"/>
      <c r="G218" s="706"/>
      <c r="H218" s="705"/>
      <c r="I218" s="575"/>
      <c r="J218" s="706"/>
      <c r="K218" s="706"/>
      <c r="L218" s="706"/>
      <c r="M218" s="352" t="s">
        <v>16</v>
      </c>
    </row>
    <row r="219" spans="1:13" x14ac:dyDescent="0.35">
      <c r="A219">
        <v>218</v>
      </c>
      <c r="B219" s="744" t="s">
        <v>1097</v>
      </c>
      <c r="C219" s="706"/>
      <c r="D219" s="706"/>
      <c r="E219" s="706"/>
      <c r="F219" s="706"/>
      <c r="G219" s="706"/>
      <c r="H219" s="706"/>
      <c r="I219" s="706"/>
      <c r="J219" s="706"/>
      <c r="K219" s="706"/>
      <c r="L219" s="706"/>
      <c r="M219" s="352" t="s">
        <v>16</v>
      </c>
    </row>
    <row r="220" spans="1:13" x14ac:dyDescent="0.35">
      <c r="A220">
        <v>219</v>
      </c>
      <c r="B220" s="744" t="s">
        <v>1098</v>
      </c>
      <c r="C220" s="706"/>
      <c r="D220" s="706"/>
      <c r="E220" s="706"/>
      <c r="F220" s="706"/>
      <c r="G220" s="706"/>
      <c r="H220" s="706"/>
      <c r="I220" s="706"/>
      <c r="J220" s="706"/>
      <c r="K220" s="706"/>
      <c r="L220" s="706"/>
      <c r="M220" s="352" t="s">
        <v>16</v>
      </c>
    </row>
    <row r="221" spans="1:13" x14ac:dyDescent="0.35">
      <c r="A221">
        <v>220</v>
      </c>
      <c r="B221" s="744" t="s">
        <v>1099</v>
      </c>
      <c r="C221" s="706"/>
      <c r="D221" s="706"/>
      <c r="E221" s="706"/>
      <c r="F221" s="706"/>
      <c r="G221" s="706"/>
      <c r="H221" s="706"/>
      <c r="I221" s="706"/>
      <c r="J221" s="706"/>
      <c r="K221" s="706"/>
      <c r="L221" s="706"/>
      <c r="M221" s="352" t="s">
        <v>16</v>
      </c>
    </row>
    <row r="222" spans="1:13" x14ac:dyDescent="0.35">
      <c r="A222">
        <v>221</v>
      </c>
      <c r="B222" s="744" t="s">
        <v>1100</v>
      </c>
      <c r="C222" s="706"/>
      <c r="D222" s="706"/>
      <c r="E222" s="706"/>
      <c r="F222" s="706"/>
      <c r="G222" s="706"/>
      <c r="H222" s="707"/>
      <c r="I222" s="707"/>
      <c r="J222" s="706"/>
      <c r="K222" s="706"/>
      <c r="L222" s="706"/>
      <c r="M222" s="352" t="s">
        <v>16</v>
      </c>
    </row>
    <row r="223" spans="1:13" x14ac:dyDescent="0.35">
      <c r="A223">
        <v>222</v>
      </c>
      <c r="B223" s="744" t="s">
        <v>1101</v>
      </c>
      <c r="C223" s="706"/>
      <c r="D223" s="706"/>
      <c r="E223" s="706"/>
      <c r="F223" s="706"/>
      <c r="G223" s="706"/>
      <c r="H223" s="707"/>
      <c r="I223" s="707"/>
      <c r="J223" s="706"/>
      <c r="K223" s="706"/>
      <c r="L223" s="706"/>
      <c r="M223" s="352" t="s">
        <v>16</v>
      </c>
    </row>
    <row r="224" spans="1:13" x14ac:dyDescent="0.35">
      <c r="A224">
        <v>223</v>
      </c>
      <c r="B224" s="744" t="s">
        <v>1102</v>
      </c>
      <c r="C224" s="706"/>
      <c r="D224" s="706"/>
      <c r="E224" s="706"/>
      <c r="F224" s="706"/>
      <c r="G224" s="706"/>
      <c r="H224" s="707"/>
      <c r="I224" s="707"/>
      <c r="J224" s="706"/>
      <c r="K224" s="706"/>
      <c r="L224" s="706"/>
      <c r="M224" s="352" t="s">
        <v>16</v>
      </c>
    </row>
    <row r="225" spans="1:13" x14ac:dyDescent="0.35">
      <c r="A225">
        <v>224</v>
      </c>
      <c r="B225" s="748" t="s">
        <v>1103</v>
      </c>
      <c r="C225" s="708">
        <v>3585</v>
      </c>
      <c r="D225" s="708">
        <v>586</v>
      </c>
      <c r="E225" s="708">
        <v>1371</v>
      </c>
      <c r="F225" s="708">
        <v>17926</v>
      </c>
      <c r="G225" s="708"/>
      <c r="H225" s="709"/>
      <c r="I225" s="709"/>
      <c r="J225" s="708">
        <v>628</v>
      </c>
      <c r="K225" s="708">
        <v>2340</v>
      </c>
      <c r="L225" s="708">
        <v>617</v>
      </c>
      <c r="M225" s="352" t="s">
        <v>364</v>
      </c>
    </row>
    <row r="226" spans="1:13" x14ac:dyDescent="0.35">
      <c r="A226">
        <v>225</v>
      </c>
      <c r="B226" s="748" t="s">
        <v>1105</v>
      </c>
      <c r="C226" s="708">
        <v>1367</v>
      </c>
      <c r="D226" s="708">
        <v>535</v>
      </c>
      <c r="E226" s="708">
        <v>492</v>
      </c>
      <c r="F226" s="708">
        <v>8182</v>
      </c>
      <c r="G226" s="708"/>
      <c r="H226" s="708"/>
      <c r="I226" s="708"/>
      <c r="J226" s="708">
        <v>309</v>
      </c>
      <c r="K226" s="708">
        <v>921</v>
      </c>
      <c r="L226" s="708">
        <v>138</v>
      </c>
      <c r="M226" s="352" t="s">
        <v>364</v>
      </c>
    </row>
    <row r="227" spans="1:13" x14ac:dyDescent="0.35">
      <c r="A227">
        <v>226</v>
      </c>
      <c r="B227" s="748" t="s">
        <v>1106</v>
      </c>
      <c r="C227" s="708">
        <v>83</v>
      </c>
      <c r="D227" s="708">
        <v>145</v>
      </c>
      <c r="E227" s="708">
        <v>12</v>
      </c>
      <c r="F227" s="708">
        <v>319</v>
      </c>
      <c r="G227" s="708"/>
      <c r="H227" s="708"/>
      <c r="I227" s="708"/>
      <c r="J227" s="708">
        <v>2</v>
      </c>
      <c r="K227" s="708">
        <v>80</v>
      </c>
      <c r="L227" s="708">
        <v>1</v>
      </c>
      <c r="M227" s="352" t="s">
        <v>364</v>
      </c>
    </row>
    <row r="228" spans="1:13" x14ac:dyDescent="0.35">
      <c r="A228">
        <v>227</v>
      </c>
      <c r="B228" s="748" t="s">
        <v>1104</v>
      </c>
      <c r="C228" s="708">
        <v>75</v>
      </c>
      <c r="D228" s="708">
        <v>972</v>
      </c>
      <c r="E228" s="708">
        <v>19</v>
      </c>
      <c r="F228" s="708">
        <v>820</v>
      </c>
      <c r="G228" s="708"/>
      <c r="H228" s="708"/>
      <c r="I228" s="708"/>
      <c r="J228" s="708">
        <v>56</v>
      </c>
      <c r="K228" s="708">
        <v>20</v>
      </c>
      <c r="L228" s="709"/>
      <c r="M228" s="352" t="s">
        <v>364</v>
      </c>
    </row>
    <row r="229" spans="1:13" x14ac:dyDescent="0.35">
      <c r="A229">
        <v>228</v>
      </c>
      <c r="B229" s="748" t="s">
        <v>1107</v>
      </c>
      <c r="C229" s="709"/>
      <c r="D229" s="709"/>
      <c r="E229" s="709"/>
      <c r="F229" s="709"/>
      <c r="G229" s="709"/>
      <c r="H229" s="709"/>
      <c r="I229" s="709"/>
      <c r="J229" s="709"/>
      <c r="K229" s="709"/>
      <c r="L229" s="709"/>
      <c r="M229" s="352" t="s">
        <v>364</v>
      </c>
    </row>
    <row r="230" spans="1:13" x14ac:dyDescent="0.35">
      <c r="A230">
        <v>229</v>
      </c>
      <c r="B230" s="856" t="s">
        <v>1359</v>
      </c>
      <c r="C230" s="568">
        <v>5559</v>
      </c>
      <c r="D230" s="568">
        <v>776</v>
      </c>
      <c r="E230" s="568">
        <v>2756</v>
      </c>
      <c r="F230" s="568">
        <v>18758</v>
      </c>
      <c r="G230" s="568"/>
      <c r="H230" s="568"/>
      <c r="I230" s="568"/>
      <c r="J230" s="568">
        <v>1579</v>
      </c>
      <c r="K230" s="568">
        <v>3553</v>
      </c>
      <c r="L230" s="568">
        <v>427</v>
      </c>
      <c r="M230" s="352" t="s">
        <v>18</v>
      </c>
    </row>
    <row r="231" spans="1:13" x14ac:dyDescent="0.35">
      <c r="A231">
        <v>230</v>
      </c>
      <c r="B231" s="857" t="s">
        <v>1360</v>
      </c>
      <c r="C231" s="568">
        <v>5680</v>
      </c>
      <c r="D231" s="568">
        <v>761</v>
      </c>
      <c r="E231" s="568">
        <v>2615</v>
      </c>
      <c r="F231" s="568">
        <v>16096</v>
      </c>
      <c r="G231" s="568"/>
      <c r="H231" s="711"/>
      <c r="I231" s="711"/>
      <c r="J231" s="568">
        <v>1339</v>
      </c>
      <c r="K231" s="568">
        <v>3438</v>
      </c>
      <c r="L231" s="568">
        <v>903</v>
      </c>
      <c r="M231" s="352" t="s">
        <v>18</v>
      </c>
    </row>
    <row r="232" spans="1:13" x14ac:dyDescent="0.35">
      <c r="A232">
        <v>231</v>
      </c>
      <c r="B232" s="857" t="s">
        <v>1361</v>
      </c>
      <c r="C232" s="568">
        <v>4723</v>
      </c>
      <c r="D232" s="568">
        <v>801</v>
      </c>
      <c r="E232" s="568">
        <v>2956</v>
      </c>
      <c r="F232" s="568">
        <v>9740</v>
      </c>
      <c r="G232" s="568"/>
      <c r="H232" s="568"/>
      <c r="I232" s="568"/>
      <c r="J232" s="568">
        <v>533</v>
      </c>
      <c r="K232" s="568">
        <v>3690</v>
      </c>
      <c r="L232" s="568">
        <v>500</v>
      </c>
      <c r="M232" s="352" t="s">
        <v>18</v>
      </c>
    </row>
    <row r="233" spans="1:13" x14ac:dyDescent="0.35">
      <c r="A233">
        <v>232</v>
      </c>
      <c r="B233" s="742" t="s">
        <v>1110</v>
      </c>
      <c r="C233" s="568">
        <v>4101</v>
      </c>
      <c r="D233" s="568">
        <v>848</v>
      </c>
      <c r="E233" s="568">
        <v>2895</v>
      </c>
      <c r="F233" s="568">
        <v>11015</v>
      </c>
      <c r="G233" s="568"/>
      <c r="H233" s="568"/>
      <c r="I233" s="568"/>
      <c r="J233" s="568">
        <v>270</v>
      </c>
      <c r="K233" s="568">
        <v>3415</v>
      </c>
      <c r="L233" s="568">
        <v>416</v>
      </c>
      <c r="M233" s="352" t="s">
        <v>18</v>
      </c>
    </row>
    <row r="234" spans="1:13" x14ac:dyDescent="0.35">
      <c r="A234">
        <v>233</v>
      </c>
      <c r="B234" s="742" t="s">
        <v>1114</v>
      </c>
      <c r="C234" s="568">
        <v>3784</v>
      </c>
      <c r="D234" s="568">
        <v>886</v>
      </c>
      <c r="E234" s="568">
        <v>1726</v>
      </c>
      <c r="F234" s="568">
        <v>3552</v>
      </c>
      <c r="G234" s="568"/>
      <c r="H234" s="568"/>
      <c r="I234" s="568"/>
      <c r="J234" s="568">
        <v>1461</v>
      </c>
      <c r="K234" s="568">
        <v>1948</v>
      </c>
      <c r="L234" s="568">
        <v>375</v>
      </c>
      <c r="M234" s="352" t="s">
        <v>18</v>
      </c>
    </row>
    <row r="235" spans="1:13" x14ac:dyDescent="0.35">
      <c r="A235">
        <v>234</v>
      </c>
      <c r="B235" s="742" t="s">
        <v>1125</v>
      </c>
      <c r="C235" s="568">
        <v>2052</v>
      </c>
      <c r="D235" s="568">
        <v>796</v>
      </c>
      <c r="E235" s="568">
        <v>985</v>
      </c>
      <c r="F235" s="568">
        <v>2093</v>
      </c>
      <c r="G235" s="568"/>
      <c r="H235" s="711"/>
      <c r="I235" s="711"/>
      <c r="J235" s="568">
        <v>156</v>
      </c>
      <c r="K235" s="568">
        <v>1238</v>
      </c>
      <c r="L235" s="568">
        <v>658</v>
      </c>
      <c r="M235" s="352" t="s">
        <v>18</v>
      </c>
    </row>
    <row r="236" spans="1:13" x14ac:dyDescent="0.35">
      <c r="A236">
        <v>235</v>
      </c>
      <c r="B236" s="742" t="s">
        <v>1109</v>
      </c>
      <c r="C236" s="568">
        <v>1888</v>
      </c>
      <c r="D236" s="568">
        <v>753</v>
      </c>
      <c r="E236" s="568">
        <v>985</v>
      </c>
      <c r="F236" s="568">
        <v>8593</v>
      </c>
      <c r="G236" s="568"/>
      <c r="H236" s="568"/>
      <c r="I236" s="568"/>
      <c r="J236" s="568">
        <v>465</v>
      </c>
      <c r="K236" s="568">
        <v>1308</v>
      </c>
      <c r="L236" s="568">
        <v>115</v>
      </c>
      <c r="M236" s="352" t="s">
        <v>18</v>
      </c>
    </row>
    <row r="237" spans="1:13" x14ac:dyDescent="0.35">
      <c r="A237">
        <v>236</v>
      </c>
      <c r="B237" s="742" t="s">
        <v>1128</v>
      </c>
      <c r="C237" s="568">
        <v>1819</v>
      </c>
      <c r="D237" s="568">
        <v>806</v>
      </c>
      <c r="E237" s="568">
        <v>672</v>
      </c>
      <c r="F237" s="568">
        <v>5014</v>
      </c>
      <c r="G237" s="568"/>
      <c r="H237" s="711"/>
      <c r="I237" s="711"/>
      <c r="J237" s="568">
        <v>453</v>
      </c>
      <c r="K237" s="568">
        <v>834</v>
      </c>
      <c r="L237" s="568">
        <v>532</v>
      </c>
      <c r="M237" s="352" t="s">
        <v>18</v>
      </c>
    </row>
    <row r="238" spans="1:13" x14ac:dyDescent="0.35">
      <c r="A238">
        <v>237</v>
      </c>
      <c r="B238" s="742" t="s">
        <v>1113</v>
      </c>
      <c r="C238" s="568">
        <v>1736</v>
      </c>
      <c r="D238" s="568">
        <v>752</v>
      </c>
      <c r="E238" s="568">
        <v>685</v>
      </c>
      <c r="F238" s="568">
        <v>1948</v>
      </c>
      <c r="G238" s="568"/>
      <c r="H238" s="568"/>
      <c r="I238" s="568"/>
      <c r="J238" s="568">
        <v>96</v>
      </c>
      <c r="K238" s="568">
        <v>911</v>
      </c>
      <c r="L238" s="568">
        <v>729</v>
      </c>
      <c r="M238" s="352" t="s">
        <v>18</v>
      </c>
    </row>
    <row r="239" spans="1:13" x14ac:dyDescent="0.35">
      <c r="A239">
        <v>238</v>
      </c>
      <c r="B239" s="742" t="s">
        <v>1111</v>
      </c>
      <c r="C239" s="568">
        <v>1669</v>
      </c>
      <c r="D239" s="568">
        <v>847</v>
      </c>
      <c r="E239" s="568">
        <v>1165</v>
      </c>
      <c r="F239" s="568">
        <v>2484</v>
      </c>
      <c r="G239" s="568"/>
      <c r="H239" s="568"/>
      <c r="I239" s="568"/>
      <c r="J239" s="568">
        <v>225</v>
      </c>
      <c r="K239" s="568">
        <v>1376</v>
      </c>
      <c r="L239" s="568">
        <v>68</v>
      </c>
      <c r="M239" s="352" t="s">
        <v>18</v>
      </c>
    </row>
    <row r="240" spans="1:13" x14ac:dyDescent="0.35">
      <c r="A240">
        <v>239</v>
      </c>
      <c r="B240" s="742" t="s">
        <v>1124</v>
      </c>
      <c r="C240" s="568">
        <v>1256</v>
      </c>
      <c r="D240" s="568">
        <v>917</v>
      </c>
      <c r="E240" s="568">
        <v>506</v>
      </c>
      <c r="F240" s="568">
        <v>1291</v>
      </c>
      <c r="G240" s="568"/>
      <c r="H240" s="711"/>
      <c r="I240" s="711"/>
      <c r="J240" s="568">
        <v>678</v>
      </c>
      <c r="K240" s="568">
        <v>552</v>
      </c>
      <c r="L240" s="568">
        <v>26</v>
      </c>
      <c r="M240" s="352" t="s">
        <v>18</v>
      </c>
    </row>
    <row r="241" spans="1:13" x14ac:dyDescent="0.35">
      <c r="A241">
        <v>240</v>
      </c>
      <c r="B241" s="742" t="s">
        <v>1116</v>
      </c>
      <c r="C241" s="568">
        <v>1148</v>
      </c>
      <c r="D241" s="568">
        <v>779</v>
      </c>
      <c r="E241" s="568">
        <v>538</v>
      </c>
      <c r="F241" s="568">
        <v>3444</v>
      </c>
      <c r="G241" s="568"/>
      <c r="H241" s="710"/>
      <c r="I241" s="710"/>
      <c r="J241" s="568">
        <v>282</v>
      </c>
      <c r="K241" s="568">
        <v>691</v>
      </c>
      <c r="L241" s="568">
        <v>175</v>
      </c>
      <c r="M241" s="352" t="s">
        <v>18</v>
      </c>
    </row>
    <row r="242" spans="1:13" x14ac:dyDescent="0.35">
      <c r="A242">
        <v>241</v>
      </c>
      <c r="B242" s="742" t="s">
        <v>1115</v>
      </c>
      <c r="C242" s="568">
        <v>1136</v>
      </c>
      <c r="D242" s="568">
        <v>767</v>
      </c>
      <c r="E242" s="568">
        <v>572</v>
      </c>
      <c r="F242" s="568">
        <v>2272</v>
      </c>
      <c r="G242" s="568"/>
      <c r="H242" s="568"/>
      <c r="I242" s="568"/>
      <c r="J242" s="568">
        <v>291</v>
      </c>
      <c r="K242" s="568">
        <v>746</v>
      </c>
      <c r="L242" s="568">
        <v>99</v>
      </c>
      <c r="M242" s="352" t="s">
        <v>18</v>
      </c>
    </row>
    <row r="243" spans="1:13" x14ac:dyDescent="0.35">
      <c r="A243">
        <v>242</v>
      </c>
      <c r="B243" s="742" t="s">
        <v>1127</v>
      </c>
      <c r="C243" s="568">
        <v>956</v>
      </c>
      <c r="D243" s="568">
        <v>745</v>
      </c>
      <c r="E243" s="568">
        <v>346</v>
      </c>
      <c r="F243" s="568">
        <v>2876</v>
      </c>
      <c r="G243" s="568"/>
      <c r="H243" s="711"/>
      <c r="I243" s="711"/>
      <c r="J243" s="568">
        <v>328</v>
      </c>
      <c r="K243" s="568">
        <v>465</v>
      </c>
      <c r="L243" s="568">
        <v>163</v>
      </c>
      <c r="M243" s="352" t="s">
        <v>18</v>
      </c>
    </row>
    <row r="244" spans="1:13" x14ac:dyDescent="0.35">
      <c r="A244">
        <v>243</v>
      </c>
      <c r="B244" s="742" t="s">
        <v>1117</v>
      </c>
      <c r="C244" s="568">
        <v>759</v>
      </c>
      <c r="D244" s="568">
        <v>806</v>
      </c>
      <c r="E244" s="568">
        <v>398</v>
      </c>
      <c r="F244" s="568">
        <v>748</v>
      </c>
      <c r="G244" s="568"/>
      <c r="H244" s="710"/>
      <c r="I244" s="710"/>
      <c r="J244" s="568">
        <v>13</v>
      </c>
      <c r="K244" s="568">
        <v>494</v>
      </c>
      <c r="L244" s="568">
        <v>252</v>
      </c>
      <c r="M244" s="352" t="s">
        <v>18</v>
      </c>
    </row>
    <row r="245" spans="1:13" x14ac:dyDescent="0.35">
      <c r="A245">
        <v>244</v>
      </c>
      <c r="B245" s="742" t="s">
        <v>1123</v>
      </c>
      <c r="C245" s="568">
        <v>271</v>
      </c>
      <c r="D245" s="568">
        <v>835</v>
      </c>
      <c r="E245" s="568">
        <v>98</v>
      </c>
      <c r="F245" s="568">
        <v>279</v>
      </c>
      <c r="G245" s="568"/>
      <c r="H245" s="711"/>
      <c r="I245" s="711"/>
      <c r="J245" s="568">
        <v>128</v>
      </c>
      <c r="K245" s="568">
        <v>118</v>
      </c>
      <c r="L245" s="568">
        <v>25</v>
      </c>
      <c r="M245" s="352" t="s">
        <v>18</v>
      </c>
    </row>
    <row r="246" spans="1:13" x14ac:dyDescent="0.35">
      <c r="A246">
        <v>245</v>
      </c>
      <c r="B246" s="742" t="s">
        <v>1118</v>
      </c>
      <c r="C246" s="568">
        <v>91</v>
      </c>
      <c r="D246" s="568">
        <v>833</v>
      </c>
      <c r="E246" s="568">
        <v>35</v>
      </c>
      <c r="F246" s="568">
        <v>466</v>
      </c>
      <c r="G246" s="568"/>
      <c r="H246" s="710"/>
      <c r="I246" s="710"/>
      <c r="J246" s="568">
        <v>21</v>
      </c>
      <c r="K246" s="568">
        <v>42</v>
      </c>
      <c r="L246" s="568">
        <v>28</v>
      </c>
      <c r="M246" s="352" t="s">
        <v>18</v>
      </c>
    </row>
    <row r="247" spans="1:13" x14ac:dyDescent="0.35">
      <c r="A247">
        <v>246</v>
      </c>
      <c r="B247" s="742" t="s">
        <v>1136</v>
      </c>
      <c r="C247" s="568">
        <v>50</v>
      </c>
      <c r="D247" s="568">
        <v>766</v>
      </c>
      <c r="E247" s="568">
        <v>29</v>
      </c>
      <c r="F247" s="568">
        <v>67</v>
      </c>
      <c r="G247" s="568"/>
      <c r="H247" s="711"/>
      <c r="I247" s="711"/>
      <c r="J247" s="710"/>
      <c r="K247" s="568">
        <v>38</v>
      </c>
      <c r="L247" s="568">
        <v>13</v>
      </c>
      <c r="M247" s="352" t="s">
        <v>18</v>
      </c>
    </row>
    <row r="248" spans="1:13" x14ac:dyDescent="0.35">
      <c r="A248">
        <v>247</v>
      </c>
      <c r="B248" s="742" t="s">
        <v>1119</v>
      </c>
      <c r="C248" s="710"/>
      <c r="D248" s="710"/>
      <c r="E248" s="710"/>
      <c r="F248" s="710"/>
      <c r="G248" s="710"/>
      <c r="H248" s="710"/>
      <c r="I248" s="710"/>
      <c r="J248" s="710"/>
      <c r="K248" s="710"/>
      <c r="L248" s="710"/>
      <c r="M248" s="352" t="s">
        <v>18</v>
      </c>
    </row>
    <row r="249" spans="1:13" x14ac:dyDescent="0.35">
      <c r="A249">
        <v>248</v>
      </c>
      <c r="B249" s="742" t="s">
        <v>1120</v>
      </c>
      <c r="C249" s="710"/>
      <c r="D249" s="710"/>
      <c r="E249" s="710"/>
      <c r="F249" s="710"/>
      <c r="G249" s="710"/>
      <c r="H249" s="710"/>
      <c r="I249" s="710"/>
      <c r="J249" s="710"/>
      <c r="K249" s="710"/>
      <c r="L249" s="710"/>
      <c r="M249" s="352" t="s">
        <v>18</v>
      </c>
    </row>
    <row r="250" spans="1:13" x14ac:dyDescent="0.35">
      <c r="A250">
        <v>249</v>
      </c>
      <c r="B250" s="742" t="s">
        <v>1121</v>
      </c>
      <c r="C250" s="710"/>
      <c r="D250" s="710"/>
      <c r="E250" s="710"/>
      <c r="F250" s="710"/>
      <c r="G250" s="710"/>
      <c r="H250" s="710"/>
      <c r="I250" s="710"/>
      <c r="J250" s="710"/>
      <c r="K250" s="710"/>
      <c r="L250" s="710"/>
      <c r="M250" s="352" t="s">
        <v>18</v>
      </c>
    </row>
    <row r="251" spans="1:13" x14ac:dyDescent="0.35">
      <c r="A251">
        <v>250</v>
      </c>
      <c r="B251" s="742" t="s">
        <v>1122</v>
      </c>
      <c r="C251" s="710"/>
      <c r="D251" s="710"/>
      <c r="E251" s="710"/>
      <c r="F251" s="710"/>
      <c r="G251" s="710"/>
      <c r="H251" s="711"/>
      <c r="I251" s="711"/>
      <c r="J251" s="710"/>
      <c r="K251" s="710"/>
      <c r="L251" s="710"/>
      <c r="M251" s="352" t="s">
        <v>18</v>
      </c>
    </row>
    <row r="252" spans="1:13" x14ac:dyDescent="0.35">
      <c r="A252">
        <v>251</v>
      </c>
      <c r="B252" s="742" t="s">
        <v>1129</v>
      </c>
      <c r="C252" s="710"/>
      <c r="D252" s="710"/>
      <c r="E252" s="710"/>
      <c r="F252" s="710"/>
      <c r="G252" s="710"/>
      <c r="H252" s="711"/>
      <c r="I252" s="711"/>
      <c r="J252" s="710"/>
      <c r="K252" s="710"/>
      <c r="L252" s="710"/>
      <c r="M252" s="352" t="s">
        <v>18</v>
      </c>
    </row>
    <row r="253" spans="1:13" x14ac:dyDescent="0.35">
      <c r="A253">
        <v>252</v>
      </c>
      <c r="B253" s="742" t="s">
        <v>1130</v>
      </c>
      <c r="C253" s="710"/>
      <c r="D253" s="710"/>
      <c r="E253" s="710"/>
      <c r="F253" s="710"/>
      <c r="G253" s="710"/>
      <c r="H253" s="711"/>
      <c r="I253" s="711"/>
      <c r="J253" s="710"/>
      <c r="K253" s="710"/>
      <c r="L253" s="710"/>
      <c r="M253" s="352" t="s">
        <v>18</v>
      </c>
    </row>
    <row r="254" spans="1:13" x14ac:dyDescent="0.35">
      <c r="A254">
        <v>253</v>
      </c>
      <c r="B254" s="742" t="s">
        <v>1131</v>
      </c>
      <c r="C254" s="710"/>
      <c r="D254" s="710"/>
      <c r="E254" s="710"/>
      <c r="F254" s="710"/>
      <c r="G254" s="710"/>
      <c r="H254" s="711"/>
      <c r="I254" s="711"/>
      <c r="J254" s="710"/>
      <c r="K254" s="710"/>
      <c r="L254" s="710"/>
      <c r="M254" s="352" t="s">
        <v>18</v>
      </c>
    </row>
    <row r="255" spans="1:13" x14ac:dyDescent="0.35">
      <c r="A255">
        <v>254</v>
      </c>
      <c r="B255" s="742" t="s">
        <v>1132</v>
      </c>
      <c r="C255" s="710"/>
      <c r="D255" s="710"/>
      <c r="E255" s="710"/>
      <c r="F255" s="710"/>
      <c r="G255" s="710"/>
      <c r="H255" s="711"/>
      <c r="I255" s="711"/>
      <c r="J255" s="710"/>
      <c r="K255" s="710"/>
      <c r="L255" s="710"/>
      <c r="M255" s="352" t="s">
        <v>18</v>
      </c>
    </row>
    <row r="256" spans="1:13" x14ac:dyDescent="0.35">
      <c r="A256">
        <v>255</v>
      </c>
      <c r="B256" s="742" t="s">
        <v>1133</v>
      </c>
      <c r="C256" s="710"/>
      <c r="D256" s="710"/>
      <c r="E256" s="710"/>
      <c r="F256" s="710"/>
      <c r="G256" s="710"/>
      <c r="H256" s="711"/>
      <c r="I256" s="711"/>
      <c r="J256" s="710"/>
      <c r="K256" s="710"/>
      <c r="L256" s="710"/>
      <c r="M256" s="352" t="s">
        <v>18</v>
      </c>
    </row>
    <row r="257" spans="1:13" x14ac:dyDescent="0.35">
      <c r="A257">
        <v>256</v>
      </c>
      <c r="B257" s="742" t="s">
        <v>1134</v>
      </c>
      <c r="C257" s="710"/>
      <c r="D257" s="710"/>
      <c r="E257" s="710"/>
      <c r="F257" s="710"/>
      <c r="G257" s="710"/>
      <c r="H257" s="711"/>
      <c r="I257" s="711"/>
      <c r="J257" s="710"/>
      <c r="K257" s="710"/>
      <c r="L257" s="710"/>
      <c r="M257" s="352" t="s">
        <v>18</v>
      </c>
    </row>
    <row r="258" spans="1:13" x14ac:dyDescent="0.35">
      <c r="A258">
        <v>257</v>
      </c>
      <c r="B258" s="742" t="s">
        <v>1135</v>
      </c>
      <c r="C258" s="710"/>
      <c r="D258" s="710"/>
      <c r="E258" s="710"/>
      <c r="F258" s="710"/>
      <c r="G258" s="710"/>
      <c r="H258" s="711"/>
      <c r="I258" s="711"/>
      <c r="J258" s="710"/>
      <c r="K258" s="710"/>
      <c r="L258" s="710"/>
      <c r="M258" s="352" t="s">
        <v>18</v>
      </c>
    </row>
    <row r="259" spans="1:13" x14ac:dyDescent="0.35">
      <c r="A259">
        <v>258</v>
      </c>
      <c r="B259" s="742" t="s">
        <v>1137</v>
      </c>
      <c r="C259" s="710"/>
      <c r="D259" s="710"/>
      <c r="E259" s="710"/>
      <c r="F259" s="710"/>
      <c r="G259" s="710"/>
      <c r="H259" s="711"/>
      <c r="I259" s="711"/>
      <c r="J259" s="710"/>
      <c r="K259" s="710"/>
      <c r="L259" s="710"/>
      <c r="M259" s="352" t="s">
        <v>18</v>
      </c>
    </row>
    <row r="260" spans="1:13" x14ac:dyDescent="0.35">
      <c r="A260">
        <v>259</v>
      </c>
      <c r="B260" s="742" t="s">
        <v>1138</v>
      </c>
      <c r="C260" s="710"/>
      <c r="D260" s="710"/>
      <c r="E260" s="710"/>
      <c r="F260" s="710"/>
      <c r="G260" s="710"/>
      <c r="H260" s="711"/>
      <c r="I260" s="711"/>
      <c r="J260" s="710"/>
      <c r="K260" s="710"/>
      <c r="L260" s="710"/>
      <c r="M260" s="352" t="s">
        <v>18</v>
      </c>
    </row>
    <row r="261" spans="1:13" x14ac:dyDescent="0.35">
      <c r="A261">
        <v>260</v>
      </c>
      <c r="B261" s="742" t="s">
        <v>1139</v>
      </c>
      <c r="C261" s="710"/>
      <c r="D261" s="710"/>
      <c r="E261" s="710"/>
      <c r="F261" s="710"/>
      <c r="G261" s="710"/>
      <c r="H261" s="711"/>
      <c r="I261" s="711"/>
      <c r="J261" s="710"/>
      <c r="K261" s="710"/>
      <c r="L261" s="710"/>
      <c r="M261" s="352" t="s">
        <v>18</v>
      </c>
    </row>
    <row r="262" spans="1:13" x14ac:dyDescent="0.35">
      <c r="A262">
        <v>261</v>
      </c>
      <c r="B262" s="742" t="s">
        <v>1140</v>
      </c>
      <c r="C262" s="710"/>
      <c r="D262" s="710"/>
      <c r="E262" s="710"/>
      <c r="F262" s="710"/>
      <c r="G262" s="710"/>
      <c r="H262" s="711"/>
      <c r="I262" s="711"/>
      <c r="J262" s="710"/>
      <c r="K262" s="710"/>
      <c r="L262" s="710"/>
      <c r="M262" s="352" t="s">
        <v>18</v>
      </c>
    </row>
    <row r="263" spans="1:13" x14ac:dyDescent="0.35">
      <c r="A263">
        <v>262</v>
      </c>
      <c r="B263" s="742" t="s">
        <v>1141</v>
      </c>
      <c r="C263" s="710"/>
      <c r="D263" s="710"/>
      <c r="E263" s="710"/>
      <c r="F263" s="710"/>
      <c r="G263" s="710"/>
      <c r="H263" s="711"/>
      <c r="I263" s="711"/>
      <c r="J263" s="710"/>
      <c r="K263" s="710"/>
      <c r="L263" s="710"/>
      <c r="M263" s="352" t="s">
        <v>18</v>
      </c>
    </row>
    <row r="264" spans="1:13" x14ac:dyDescent="0.35">
      <c r="A264">
        <v>263</v>
      </c>
      <c r="B264" s="742" t="s">
        <v>1142</v>
      </c>
      <c r="C264" s="710"/>
      <c r="D264" s="710"/>
      <c r="E264" s="710"/>
      <c r="F264" s="710"/>
      <c r="G264" s="710"/>
      <c r="H264" s="711"/>
      <c r="I264" s="711"/>
      <c r="J264" s="710"/>
      <c r="K264" s="710"/>
      <c r="L264" s="710"/>
      <c r="M264" s="352" t="s">
        <v>18</v>
      </c>
    </row>
    <row r="265" spans="1:13" x14ac:dyDescent="0.35">
      <c r="A265">
        <v>264</v>
      </c>
      <c r="B265" s="742" t="s">
        <v>1143</v>
      </c>
      <c r="C265" s="710"/>
      <c r="D265" s="710"/>
      <c r="E265" s="710"/>
      <c r="F265" s="710"/>
      <c r="G265" s="710"/>
      <c r="H265" s="711"/>
      <c r="I265" s="711"/>
      <c r="J265" s="710"/>
      <c r="K265" s="710"/>
      <c r="L265" s="710"/>
      <c r="M265" s="352" t="s">
        <v>18</v>
      </c>
    </row>
    <row r="266" spans="1:13" x14ac:dyDescent="0.35">
      <c r="A266">
        <v>265</v>
      </c>
      <c r="B266" s="742" t="s">
        <v>1144</v>
      </c>
      <c r="C266" s="710"/>
      <c r="D266" s="710"/>
      <c r="E266" s="710"/>
      <c r="F266" s="710"/>
      <c r="G266" s="710"/>
      <c r="H266" s="711"/>
      <c r="I266" s="711"/>
      <c r="J266" s="710"/>
      <c r="K266" s="710"/>
      <c r="L266" s="710"/>
      <c r="M266" s="352" t="s">
        <v>18</v>
      </c>
    </row>
    <row r="267" spans="1:13" x14ac:dyDescent="0.35">
      <c r="A267">
        <v>266</v>
      </c>
      <c r="B267" s="742" t="s">
        <v>1145</v>
      </c>
      <c r="C267" s="710"/>
      <c r="D267" s="710"/>
      <c r="E267" s="710"/>
      <c r="F267" s="710"/>
      <c r="G267" s="710"/>
      <c r="H267" s="711"/>
      <c r="I267" s="711"/>
      <c r="J267" s="710"/>
      <c r="K267" s="710"/>
      <c r="L267" s="710"/>
      <c r="M267" s="352" t="s">
        <v>18</v>
      </c>
    </row>
    <row r="268" spans="1:13" x14ac:dyDescent="0.35">
      <c r="A268">
        <v>267</v>
      </c>
      <c r="B268" s="671" t="s">
        <v>387</v>
      </c>
      <c r="C268" s="713">
        <v>6259</v>
      </c>
      <c r="D268" s="713">
        <v>691</v>
      </c>
      <c r="E268" s="713">
        <v>3060</v>
      </c>
      <c r="F268" s="713">
        <v>13040</v>
      </c>
      <c r="G268" s="713"/>
      <c r="H268" s="712"/>
      <c r="I268" s="712"/>
      <c r="J268" s="713">
        <v>499</v>
      </c>
      <c r="K268" s="713">
        <v>4431</v>
      </c>
      <c r="L268" s="713">
        <v>1328</v>
      </c>
      <c r="M268" s="352" t="s">
        <v>19</v>
      </c>
    </row>
    <row r="269" spans="1:13" x14ac:dyDescent="0.35">
      <c r="A269">
        <v>268</v>
      </c>
      <c r="B269" s="674" t="s">
        <v>388</v>
      </c>
      <c r="C269" s="713">
        <v>4530</v>
      </c>
      <c r="D269" s="713">
        <v>267</v>
      </c>
      <c r="E269" s="713">
        <v>894</v>
      </c>
      <c r="F269" s="713">
        <v>23275</v>
      </c>
      <c r="G269" s="713"/>
      <c r="H269" s="712"/>
      <c r="I269" s="713"/>
      <c r="J269" s="713">
        <v>668</v>
      </c>
      <c r="K269" s="713">
        <v>3343</v>
      </c>
      <c r="L269" s="713">
        <v>519</v>
      </c>
      <c r="M269" s="352" t="s">
        <v>19</v>
      </c>
    </row>
    <row r="270" spans="1:13" x14ac:dyDescent="0.35">
      <c r="A270">
        <v>269</v>
      </c>
      <c r="B270" s="674" t="s">
        <v>394</v>
      </c>
      <c r="C270" s="713">
        <v>1265</v>
      </c>
      <c r="D270" s="713">
        <v>511</v>
      </c>
      <c r="E270" s="713">
        <v>603</v>
      </c>
      <c r="F270" s="713">
        <v>6014</v>
      </c>
      <c r="G270" s="713"/>
      <c r="H270" s="714"/>
      <c r="I270" s="714"/>
      <c r="J270" s="713">
        <v>3</v>
      </c>
      <c r="K270" s="713">
        <v>1180</v>
      </c>
      <c r="L270" s="713">
        <v>82</v>
      </c>
      <c r="M270" s="352" t="s">
        <v>19</v>
      </c>
    </row>
    <row r="271" spans="1:13" x14ac:dyDescent="0.35">
      <c r="A271">
        <v>270</v>
      </c>
      <c r="B271" s="674" t="s">
        <v>393</v>
      </c>
      <c r="C271" s="713">
        <v>745</v>
      </c>
      <c r="D271" s="713">
        <v>348</v>
      </c>
      <c r="E271" s="713">
        <v>188</v>
      </c>
      <c r="F271" s="713">
        <v>2409</v>
      </c>
      <c r="G271" s="713"/>
      <c r="H271" s="713"/>
      <c r="I271" s="713"/>
      <c r="J271" s="713">
        <v>153</v>
      </c>
      <c r="K271" s="713">
        <v>541</v>
      </c>
      <c r="L271" s="713">
        <v>51</v>
      </c>
      <c r="M271" s="352" t="s">
        <v>19</v>
      </c>
    </row>
    <row r="272" spans="1:13" x14ac:dyDescent="0.35">
      <c r="A272">
        <v>271</v>
      </c>
      <c r="B272" s="674" t="s">
        <v>389</v>
      </c>
      <c r="C272" s="713">
        <v>455</v>
      </c>
      <c r="D272" s="713">
        <v>256</v>
      </c>
      <c r="E272" s="713">
        <v>65</v>
      </c>
      <c r="F272" s="713">
        <v>4212</v>
      </c>
      <c r="G272" s="713"/>
      <c r="H272" s="712"/>
      <c r="I272" s="712"/>
      <c r="J272" s="713">
        <v>4</v>
      </c>
      <c r="K272" s="713">
        <v>255</v>
      </c>
      <c r="L272" s="713">
        <v>197</v>
      </c>
      <c r="M272" s="352" t="s">
        <v>19</v>
      </c>
    </row>
    <row r="273" spans="1:13" x14ac:dyDescent="0.35">
      <c r="A273">
        <v>272</v>
      </c>
      <c r="B273" s="674" t="s">
        <v>390</v>
      </c>
      <c r="C273" s="713">
        <v>292</v>
      </c>
      <c r="D273" s="713">
        <v>469</v>
      </c>
      <c r="E273" s="713">
        <v>109</v>
      </c>
      <c r="F273" s="713">
        <v>1449</v>
      </c>
      <c r="G273" s="713"/>
      <c r="H273" s="712"/>
      <c r="I273" s="713"/>
      <c r="J273" s="713">
        <v>48</v>
      </c>
      <c r="K273" s="713">
        <v>233</v>
      </c>
      <c r="L273" s="713">
        <v>12</v>
      </c>
      <c r="M273" s="352" t="s">
        <v>19</v>
      </c>
    </row>
    <row r="274" spans="1:13" x14ac:dyDescent="0.35">
      <c r="A274">
        <v>273</v>
      </c>
      <c r="B274" s="674" t="s">
        <v>391</v>
      </c>
      <c r="C274" s="713">
        <v>234</v>
      </c>
      <c r="D274" s="713">
        <v>268</v>
      </c>
      <c r="E274" s="713">
        <v>57</v>
      </c>
      <c r="F274" s="713">
        <v>4734</v>
      </c>
      <c r="G274" s="713"/>
      <c r="H274" s="713"/>
      <c r="I274" s="713"/>
      <c r="J274" s="714"/>
      <c r="K274" s="713">
        <v>211</v>
      </c>
      <c r="L274" s="713">
        <v>22</v>
      </c>
      <c r="M274" s="352" t="s">
        <v>19</v>
      </c>
    </row>
    <row r="275" spans="1:13" x14ac:dyDescent="0.35">
      <c r="A275">
        <v>274</v>
      </c>
      <c r="B275" s="674" t="s">
        <v>392</v>
      </c>
      <c r="C275" s="713">
        <v>42</v>
      </c>
      <c r="D275" s="713">
        <v>205</v>
      </c>
      <c r="E275" s="713">
        <v>9</v>
      </c>
      <c r="F275" s="713">
        <v>226</v>
      </c>
      <c r="G275" s="713"/>
      <c r="H275" s="712"/>
      <c r="I275" s="713"/>
      <c r="J275" s="714"/>
      <c r="K275" s="713">
        <v>42</v>
      </c>
      <c r="L275" s="714"/>
      <c r="M275" s="352" t="s">
        <v>19</v>
      </c>
    </row>
    <row r="276" spans="1:13" x14ac:dyDescent="0.35">
      <c r="A276">
        <v>275</v>
      </c>
      <c r="B276" s="674" t="s">
        <v>395</v>
      </c>
      <c r="C276" s="714"/>
      <c r="D276" s="714"/>
      <c r="E276" s="714"/>
      <c r="F276" s="714"/>
      <c r="G276" s="714"/>
      <c r="H276" s="714"/>
      <c r="I276" s="714"/>
      <c r="J276" s="714"/>
      <c r="K276" s="714"/>
      <c r="L276" s="714"/>
      <c r="M276" s="352" t="s">
        <v>19</v>
      </c>
    </row>
    <row r="277" spans="1:13" x14ac:dyDescent="0.35">
      <c r="A277">
        <v>276</v>
      </c>
      <c r="B277" s="858" t="s">
        <v>1362</v>
      </c>
      <c r="C277" s="572">
        <v>4504</v>
      </c>
      <c r="D277" s="572">
        <v>600</v>
      </c>
      <c r="E277" s="572">
        <v>1745</v>
      </c>
      <c r="F277" s="572">
        <v>460</v>
      </c>
      <c r="G277" s="572"/>
      <c r="H277" s="572"/>
      <c r="I277" s="572"/>
      <c r="J277" s="572">
        <v>1072</v>
      </c>
      <c r="K277" s="572">
        <v>2910</v>
      </c>
      <c r="L277" s="572">
        <v>522</v>
      </c>
      <c r="M277" s="352" t="s">
        <v>1343</v>
      </c>
    </row>
    <row r="278" spans="1:13" x14ac:dyDescent="0.35">
      <c r="A278">
        <v>277</v>
      </c>
      <c r="B278" s="743" t="s">
        <v>1148</v>
      </c>
      <c r="C278" s="572">
        <v>1940</v>
      </c>
      <c r="D278" s="572">
        <v>607</v>
      </c>
      <c r="E278" s="572">
        <v>559</v>
      </c>
      <c r="F278" s="572">
        <v>1751</v>
      </c>
      <c r="G278" s="572"/>
      <c r="H278" s="572"/>
      <c r="I278" s="572"/>
      <c r="J278" s="572">
        <v>688</v>
      </c>
      <c r="K278" s="572">
        <v>920</v>
      </c>
      <c r="L278" s="572">
        <v>332</v>
      </c>
      <c r="M278" s="352" t="s">
        <v>1343</v>
      </c>
    </row>
    <row r="279" spans="1:13" x14ac:dyDescent="0.35">
      <c r="A279">
        <v>278</v>
      </c>
      <c r="B279" s="743" t="s">
        <v>1146</v>
      </c>
      <c r="C279" s="572">
        <v>538</v>
      </c>
      <c r="D279" s="572">
        <v>452</v>
      </c>
      <c r="E279" s="572">
        <v>189</v>
      </c>
      <c r="F279" s="572">
        <v>1043</v>
      </c>
      <c r="G279" s="572"/>
      <c r="H279" s="572"/>
      <c r="I279" s="572"/>
      <c r="J279" s="572">
        <v>91</v>
      </c>
      <c r="K279" s="572">
        <v>418</v>
      </c>
      <c r="L279" s="572">
        <v>29</v>
      </c>
      <c r="M279" s="352" t="s">
        <v>1343</v>
      </c>
    </row>
    <row r="280" spans="1:13" x14ac:dyDescent="0.35">
      <c r="A280">
        <v>279</v>
      </c>
      <c r="B280" s="743" t="s">
        <v>1147</v>
      </c>
      <c r="C280" s="572">
        <v>452</v>
      </c>
      <c r="D280" s="572">
        <v>120</v>
      </c>
      <c r="E280" s="572">
        <v>42</v>
      </c>
      <c r="F280" s="572">
        <v>266</v>
      </c>
      <c r="G280" s="572"/>
      <c r="H280" s="572"/>
      <c r="I280" s="572"/>
      <c r="J280" s="572">
        <v>41</v>
      </c>
      <c r="K280" s="572">
        <v>348</v>
      </c>
      <c r="L280" s="572">
        <v>63</v>
      </c>
      <c r="M280" s="352" t="s">
        <v>1343</v>
      </c>
    </row>
    <row r="281" spans="1:13" x14ac:dyDescent="0.35">
      <c r="A281">
        <v>280</v>
      </c>
      <c r="B281" s="743" t="s">
        <v>1150</v>
      </c>
      <c r="C281" s="572">
        <v>162</v>
      </c>
      <c r="D281" s="572">
        <v>264</v>
      </c>
      <c r="E281" s="572">
        <v>22</v>
      </c>
      <c r="F281" s="572">
        <v>300</v>
      </c>
      <c r="G281" s="572"/>
      <c r="H281" s="572"/>
      <c r="I281" s="572"/>
      <c r="J281" s="572">
        <v>45</v>
      </c>
      <c r="K281" s="572">
        <v>85</v>
      </c>
      <c r="L281" s="572">
        <v>32</v>
      </c>
      <c r="M281" s="352" t="s">
        <v>1343</v>
      </c>
    </row>
    <row r="282" spans="1:13" x14ac:dyDescent="0.35">
      <c r="A282">
        <v>281</v>
      </c>
      <c r="B282" s="743" t="s">
        <v>1151</v>
      </c>
      <c r="C282" s="572">
        <v>150</v>
      </c>
      <c r="D282" s="572">
        <v>216</v>
      </c>
      <c r="E282" s="572">
        <v>5</v>
      </c>
      <c r="F282" s="572">
        <v>246</v>
      </c>
      <c r="G282" s="572"/>
      <c r="H282" s="572"/>
      <c r="I282" s="572"/>
      <c r="J282" s="573"/>
      <c r="K282" s="572">
        <v>25</v>
      </c>
      <c r="L282" s="572">
        <v>125</v>
      </c>
      <c r="M282" s="352" t="s">
        <v>1343</v>
      </c>
    </row>
    <row r="283" spans="1:13" x14ac:dyDescent="0.35">
      <c r="A283">
        <v>282</v>
      </c>
      <c r="B283" s="743" t="s">
        <v>1152</v>
      </c>
      <c r="C283" s="572">
        <v>99</v>
      </c>
      <c r="D283" s="572">
        <v>144</v>
      </c>
      <c r="E283" s="572">
        <v>4</v>
      </c>
      <c r="F283" s="572">
        <v>245</v>
      </c>
      <c r="G283" s="572"/>
      <c r="H283" s="572"/>
      <c r="I283" s="572"/>
      <c r="J283" s="573"/>
      <c r="K283" s="572">
        <v>26</v>
      </c>
      <c r="L283" s="572">
        <v>73</v>
      </c>
      <c r="M283" s="352" t="s">
        <v>1343</v>
      </c>
    </row>
    <row r="284" spans="1:13" x14ac:dyDescent="0.35">
      <c r="A284">
        <v>283</v>
      </c>
      <c r="B284" s="743" t="s">
        <v>1149</v>
      </c>
      <c r="C284" s="572">
        <v>84</v>
      </c>
      <c r="D284" s="572">
        <v>150</v>
      </c>
      <c r="E284" s="572">
        <v>0</v>
      </c>
      <c r="F284" s="572">
        <v>49</v>
      </c>
      <c r="G284" s="572"/>
      <c r="H284" s="572"/>
      <c r="I284" s="572"/>
      <c r="J284" s="572">
        <v>69</v>
      </c>
      <c r="K284" s="572">
        <v>2</v>
      </c>
      <c r="L284" s="572">
        <v>13</v>
      </c>
      <c r="M284" s="352" t="s">
        <v>1343</v>
      </c>
    </row>
    <row r="285" spans="1:13" x14ac:dyDescent="0.35">
      <c r="A285">
        <v>284</v>
      </c>
      <c r="B285" s="743" t="s">
        <v>1154</v>
      </c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352" t="s">
        <v>1343</v>
      </c>
    </row>
    <row r="286" spans="1:13" x14ac:dyDescent="0.35">
      <c r="A286">
        <v>285</v>
      </c>
      <c r="B286" s="743" t="s">
        <v>1155</v>
      </c>
      <c r="C286" s="573"/>
      <c r="D286" s="573"/>
      <c r="E286" s="573"/>
      <c r="F286" s="573"/>
      <c r="G286" s="573"/>
      <c r="H286" s="573"/>
      <c r="I286" s="573"/>
      <c r="J286" s="573"/>
      <c r="K286" s="573"/>
      <c r="L286" s="573"/>
      <c r="M286" s="352" t="s">
        <v>1343</v>
      </c>
    </row>
    <row r="287" spans="1:13" x14ac:dyDescent="0.35">
      <c r="A287">
        <v>286</v>
      </c>
      <c r="B287" s="859" t="s">
        <v>1363</v>
      </c>
      <c r="C287" s="581">
        <v>22491</v>
      </c>
      <c r="D287" s="581">
        <v>661</v>
      </c>
      <c r="E287" s="581">
        <v>8058</v>
      </c>
      <c r="F287" s="581">
        <v>34598</v>
      </c>
      <c r="G287" s="581"/>
      <c r="H287" s="581"/>
      <c r="I287" s="581"/>
      <c r="J287" s="581">
        <v>7887</v>
      </c>
      <c r="K287" s="581">
        <v>12186</v>
      </c>
      <c r="L287" s="581">
        <v>2418</v>
      </c>
      <c r="M287" s="352" t="s">
        <v>21</v>
      </c>
    </row>
    <row r="288" spans="1:13" x14ac:dyDescent="0.35">
      <c r="A288">
        <v>287</v>
      </c>
      <c r="B288" s="859" t="s">
        <v>1364</v>
      </c>
      <c r="C288" s="581">
        <v>9664</v>
      </c>
      <c r="D288" s="581">
        <v>849</v>
      </c>
      <c r="E288" s="581">
        <v>4539</v>
      </c>
      <c r="F288" s="581">
        <v>14114</v>
      </c>
      <c r="G288" s="581"/>
      <c r="H288" s="581"/>
      <c r="I288" s="581"/>
      <c r="J288" s="581">
        <v>4296</v>
      </c>
      <c r="K288" s="581">
        <v>5348</v>
      </c>
      <c r="L288" s="581">
        <v>20</v>
      </c>
      <c r="M288" s="352" t="s">
        <v>21</v>
      </c>
    </row>
    <row r="289" spans="1:13" x14ac:dyDescent="0.35">
      <c r="A289">
        <v>288</v>
      </c>
      <c r="B289" s="859" t="s">
        <v>1365</v>
      </c>
      <c r="C289" s="581">
        <v>6559</v>
      </c>
      <c r="D289" s="581">
        <v>445</v>
      </c>
      <c r="E289" s="581">
        <v>2024</v>
      </c>
      <c r="F289" s="581">
        <v>14576</v>
      </c>
      <c r="G289" s="581"/>
      <c r="H289" s="257"/>
      <c r="I289" s="257"/>
      <c r="J289" s="581">
        <v>1946</v>
      </c>
      <c r="K289" s="581">
        <v>4545</v>
      </c>
      <c r="L289" s="581">
        <v>68</v>
      </c>
      <c r="M289" s="352" t="s">
        <v>21</v>
      </c>
    </row>
    <row r="290" spans="1:13" x14ac:dyDescent="0.35">
      <c r="A290">
        <v>289</v>
      </c>
      <c r="B290" s="746" t="s">
        <v>1164</v>
      </c>
      <c r="C290" s="581">
        <v>5905</v>
      </c>
      <c r="D290" s="581">
        <v>783</v>
      </c>
      <c r="E290" s="581">
        <v>2358</v>
      </c>
      <c r="F290" s="581">
        <v>8627</v>
      </c>
      <c r="G290" s="581"/>
      <c r="H290" s="582"/>
      <c r="I290" s="581"/>
      <c r="J290" s="581">
        <v>2852</v>
      </c>
      <c r="K290" s="581">
        <v>3011</v>
      </c>
      <c r="L290" s="581">
        <v>43</v>
      </c>
      <c r="M290" s="352" t="s">
        <v>21</v>
      </c>
    </row>
    <row r="291" spans="1:13" x14ac:dyDescent="0.35">
      <c r="A291">
        <v>290</v>
      </c>
      <c r="B291" s="746" t="s">
        <v>1168</v>
      </c>
      <c r="C291" s="581">
        <v>3294</v>
      </c>
      <c r="D291" s="581">
        <v>449</v>
      </c>
      <c r="E291" s="581">
        <v>602</v>
      </c>
      <c r="F291" s="581">
        <v>5343</v>
      </c>
      <c r="G291" s="581"/>
      <c r="H291" s="581"/>
      <c r="I291" s="581"/>
      <c r="J291" s="581">
        <v>1616</v>
      </c>
      <c r="K291" s="581">
        <v>1340</v>
      </c>
      <c r="L291" s="581">
        <v>338</v>
      </c>
      <c r="M291" s="352" t="s">
        <v>21</v>
      </c>
    </row>
    <row r="292" spans="1:13" x14ac:dyDescent="0.35">
      <c r="A292">
        <v>291</v>
      </c>
      <c r="B292" s="746" t="s">
        <v>1172</v>
      </c>
      <c r="C292" s="581">
        <v>3220</v>
      </c>
      <c r="D292" s="581">
        <v>780</v>
      </c>
      <c r="E292" s="581">
        <v>1043</v>
      </c>
      <c r="F292" s="581">
        <v>4392</v>
      </c>
      <c r="G292" s="581"/>
      <c r="H292" s="257"/>
      <c r="I292" s="257"/>
      <c r="J292" s="581">
        <v>1606</v>
      </c>
      <c r="K292" s="581">
        <v>1337</v>
      </c>
      <c r="L292" s="581">
        <v>277</v>
      </c>
      <c r="M292" s="352" t="s">
        <v>21</v>
      </c>
    </row>
    <row r="293" spans="1:13" x14ac:dyDescent="0.35">
      <c r="A293">
        <v>292</v>
      </c>
      <c r="B293" s="746" t="s">
        <v>1170</v>
      </c>
      <c r="C293" s="581">
        <v>2531</v>
      </c>
      <c r="D293" s="581">
        <v>342</v>
      </c>
      <c r="E293" s="581">
        <v>528</v>
      </c>
      <c r="F293" s="581">
        <v>3955</v>
      </c>
      <c r="G293" s="581"/>
      <c r="H293" s="583"/>
      <c r="I293" s="583"/>
      <c r="J293" s="581">
        <v>301</v>
      </c>
      <c r="K293" s="581">
        <v>1543</v>
      </c>
      <c r="L293" s="581">
        <v>687</v>
      </c>
      <c r="M293" s="352" t="s">
        <v>21</v>
      </c>
    </row>
    <row r="294" spans="1:13" x14ac:dyDescent="0.35">
      <c r="A294">
        <v>293</v>
      </c>
      <c r="B294" s="746" t="s">
        <v>1173</v>
      </c>
      <c r="C294" s="581">
        <v>1891</v>
      </c>
      <c r="D294" s="581">
        <v>568</v>
      </c>
      <c r="E294" s="581">
        <v>568</v>
      </c>
      <c r="F294" s="581">
        <v>2962</v>
      </c>
      <c r="G294" s="581"/>
      <c r="H294" s="257"/>
      <c r="I294" s="257"/>
      <c r="J294" s="581">
        <v>721</v>
      </c>
      <c r="K294" s="581">
        <v>1001</v>
      </c>
      <c r="L294" s="581">
        <v>170</v>
      </c>
      <c r="M294" s="352" t="s">
        <v>21</v>
      </c>
    </row>
    <row r="295" spans="1:13" x14ac:dyDescent="0.35">
      <c r="A295">
        <v>294</v>
      </c>
      <c r="B295" s="746" t="s">
        <v>1171</v>
      </c>
      <c r="C295" s="581">
        <v>1141</v>
      </c>
      <c r="D295" s="581">
        <v>231</v>
      </c>
      <c r="E295" s="581">
        <v>35</v>
      </c>
      <c r="F295" s="581">
        <v>1556</v>
      </c>
      <c r="G295" s="581"/>
      <c r="H295" s="257"/>
      <c r="I295" s="257"/>
      <c r="J295" s="581">
        <v>882</v>
      </c>
      <c r="K295" s="581">
        <v>153</v>
      </c>
      <c r="L295" s="581">
        <v>106</v>
      </c>
      <c r="M295" s="352" t="s">
        <v>21</v>
      </c>
    </row>
    <row r="296" spans="1:13" x14ac:dyDescent="0.35">
      <c r="A296">
        <v>295</v>
      </c>
      <c r="B296" s="746" t="s">
        <v>1167</v>
      </c>
      <c r="C296" s="581">
        <v>960</v>
      </c>
      <c r="D296" s="581">
        <v>425</v>
      </c>
      <c r="E296" s="581">
        <v>209</v>
      </c>
      <c r="F296" s="581">
        <v>1477</v>
      </c>
      <c r="G296" s="581"/>
      <c r="H296" s="581"/>
      <c r="I296" s="581"/>
      <c r="J296" s="581">
        <v>428</v>
      </c>
      <c r="K296" s="581">
        <v>492</v>
      </c>
      <c r="L296" s="581">
        <v>40</v>
      </c>
      <c r="M296" s="352" t="s">
        <v>21</v>
      </c>
    </row>
    <row r="297" spans="1:13" x14ac:dyDescent="0.35">
      <c r="A297">
        <v>296</v>
      </c>
      <c r="B297" s="746" t="s">
        <v>1163</v>
      </c>
      <c r="C297" s="581">
        <v>913</v>
      </c>
      <c r="D297" s="581">
        <v>328</v>
      </c>
      <c r="E297" s="581">
        <v>181</v>
      </c>
      <c r="F297" s="581">
        <v>1405</v>
      </c>
      <c r="G297" s="581"/>
      <c r="H297" s="581"/>
      <c r="I297" s="581"/>
      <c r="J297" s="581">
        <v>328</v>
      </c>
      <c r="K297" s="581">
        <v>551</v>
      </c>
      <c r="L297" s="581">
        <v>34</v>
      </c>
      <c r="M297" s="352" t="s">
        <v>21</v>
      </c>
    </row>
    <row r="298" spans="1:13" x14ac:dyDescent="0.35">
      <c r="A298">
        <v>297</v>
      </c>
      <c r="B298" s="746" t="s">
        <v>1162</v>
      </c>
      <c r="C298" s="581">
        <v>846</v>
      </c>
      <c r="D298" s="581">
        <v>66</v>
      </c>
      <c r="E298" s="581">
        <v>46</v>
      </c>
      <c r="F298" s="581">
        <v>1454</v>
      </c>
      <c r="G298" s="581"/>
      <c r="H298" s="581"/>
      <c r="I298" s="581"/>
      <c r="J298" s="581">
        <v>139</v>
      </c>
      <c r="K298" s="581">
        <v>696</v>
      </c>
      <c r="L298" s="581">
        <v>11</v>
      </c>
      <c r="M298" s="352" t="s">
        <v>21</v>
      </c>
    </row>
    <row r="299" spans="1:13" x14ac:dyDescent="0.35">
      <c r="A299">
        <v>298</v>
      </c>
      <c r="B299" s="746" t="s">
        <v>1157</v>
      </c>
      <c r="C299" s="581">
        <v>738</v>
      </c>
      <c r="D299" s="581">
        <v>443</v>
      </c>
      <c r="E299" s="581">
        <v>46</v>
      </c>
      <c r="F299" s="581">
        <v>1138</v>
      </c>
      <c r="G299" s="581"/>
      <c r="H299" s="581"/>
      <c r="I299" s="581"/>
      <c r="J299" s="581">
        <v>615</v>
      </c>
      <c r="K299" s="581">
        <v>103</v>
      </c>
      <c r="L299" s="581">
        <v>20</v>
      </c>
      <c r="M299" s="352" t="s">
        <v>21</v>
      </c>
    </row>
    <row r="300" spans="1:13" x14ac:dyDescent="0.35">
      <c r="A300">
        <v>299</v>
      </c>
      <c r="B300" s="746" t="s">
        <v>1156</v>
      </c>
      <c r="C300" s="581">
        <v>609</v>
      </c>
      <c r="D300" s="581">
        <v>786</v>
      </c>
      <c r="E300" s="581">
        <v>57</v>
      </c>
      <c r="F300" s="581">
        <v>693</v>
      </c>
      <c r="G300" s="581"/>
      <c r="H300" s="582"/>
      <c r="I300" s="581"/>
      <c r="J300" s="581">
        <v>372</v>
      </c>
      <c r="K300" s="581">
        <v>72</v>
      </c>
      <c r="L300" s="581">
        <v>165</v>
      </c>
      <c r="M300" s="352" t="s">
        <v>21</v>
      </c>
    </row>
    <row r="301" spans="1:13" x14ac:dyDescent="0.35">
      <c r="A301">
        <v>300</v>
      </c>
      <c r="B301" s="746" t="s">
        <v>1176</v>
      </c>
      <c r="C301" s="581">
        <v>503</v>
      </c>
      <c r="D301" s="581">
        <v>202</v>
      </c>
      <c r="E301" s="581">
        <v>38</v>
      </c>
      <c r="F301" s="581">
        <v>774</v>
      </c>
      <c r="G301" s="581"/>
      <c r="H301" s="257"/>
      <c r="I301" s="257"/>
      <c r="J301" s="581">
        <v>155</v>
      </c>
      <c r="K301" s="581">
        <v>190</v>
      </c>
      <c r="L301" s="581">
        <v>158</v>
      </c>
      <c r="M301" s="352" t="s">
        <v>21</v>
      </c>
    </row>
    <row r="302" spans="1:13" x14ac:dyDescent="0.35">
      <c r="A302">
        <v>301</v>
      </c>
      <c r="B302" s="746" t="s">
        <v>1159</v>
      </c>
      <c r="C302" s="581">
        <v>467</v>
      </c>
      <c r="D302" s="581">
        <v>433</v>
      </c>
      <c r="E302" s="581">
        <v>53</v>
      </c>
      <c r="F302" s="581">
        <v>742</v>
      </c>
      <c r="G302" s="581"/>
      <c r="H302" s="581"/>
      <c r="I302" s="581"/>
      <c r="J302" s="581">
        <v>332</v>
      </c>
      <c r="K302" s="581">
        <v>123</v>
      </c>
      <c r="L302" s="581">
        <v>12</v>
      </c>
      <c r="M302" s="352" t="s">
        <v>21</v>
      </c>
    </row>
    <row r="303" spans="1:13" x14ac:dyDescent="0.35">
      <c r="A303">
        <v>302</v>
      </c>
      <c r="B303" s="746" t="s">
        <v>1158</v>
      </c>
      <c r="C303" s="581">
        <v>248</v>
      </c>
      <c r="D303" s="581">
        <v>297</v>
      </c>
      <c r="E303" s="581">
        <v>52</v>
      </c>
      <c r="F303" s="581">
        <v>375</v>
      </c>
      <c r="G303" s="581"/>
      <c r="H303" s="582"/>
      <c r="I303" s="581"/>
      <c r="J303" s="581">
        <v>5</v>
      </c>
      <c r="K303" s="581">
        <v>174</v>
      </c>
      <c r="L303" s="581">
        <v>69</v>
      </c>
      <c r="M303" s="352" t="s">
        <v>21</v>
      </c>
    </row>
    <row r="304" spans="1:13" x14ac:dyDescent="0.35">
      <c r="A304">
        <v>303</v>
      </c>
      <c r="B304" s="746" t="s">
        <v>1160</v>
      </c>
      <c r="C304" s="581">
        <v>162</v>
      </c>
      <c r="D304" s="581">
        <v>527</v>
      </c>
      <c r="E304" s="581">
        <v>49</v>
      </c>
      <c r="F304" s="581">
        <v>160</v>
      </c>
      <c r="G304" s="581"/>
      <c r="H304" s="581"/>
      <c r="I304" s="581"/>
      <c r="J304" s="581">
        <v>47</v>
      </c>
      <c r="K304" s="581">
        <v>93</v>
      </c>
      <c r="L304" s="581">
        <v>22</v>
      </c>
      <c r="M304" s="352" t="s">
        <v>21</v>
      </c>
    </row>
    <row r="305" spans="1:13" x14ac:dyDescent="0.35">
      <c r="A305">
        <v>304</v>
      </c>
      <c r="B305" s="746" t="s">
        <v>1161</v>
      </c>
      <c r="C305" s="581">
        <v>3</v>
      </c>
      <c r="D305" s="581">
        <v>1</v>
      </c>
      <c r="E305" s="581">
        <v>1</v>
      </c>
      <c r="F305" s="581">
        <v>6</v>
      </c>
      <c r="G305" s="582"/>
      <c r="H305" s="581"/>
      <c r="I305" s="581"/>
      <c r="J305" s="581">
        <v>1</v>
      </c>
      <c r="K305" s="581">
        <v>1</v>
      </c>
      <c r="L305" s="581">
        <v>1</v>
      </c>
      <c r="M305" s="352" t="s">
        <v>21</v>
      </c>
    </row>
    <row r="306" spans="1:13" x14ac:dyDescent="0.35">
      <c r="A306">
        <v>305</v>
      </c>
      <c r="B306" s="746" t="s">
        <v>1169</v>
      </c>
      <c r="C306" s="583"/>
      <c r="D306" s="583"/>
      <c r="E306" s="583"/>
      <c r="F306" s="583"/>
      <c r="G306" s="583"/>
      <c r="H306" s="582"/>
      <c r="I306" s="581"/>
      <c r="J306" s="583"/>
      <c r="K306" s="583"/>
      <c r="L306" s="583"/>
      <c r="M306" s="352" t="s">
        <v>21</v>
      </c>
    </row>
    <row r="307" spans="1:13" x14ac:dyDescent="0.35">
      <c r="A307">
        <v>306</v>
      </c>
      <c r="B307" s="746" t="s">
        <v>1175</v>
      </c>
      <c r="C307" s="583"/>
      <c r="D307" s="583"/>
      <c r="E307" s="583"/>
      <c r="F307" s="583"/>
      <c r="G307" s="583"/>
      <c r="H307" s="257"/>
      <c r="I307" s="257"/>
      <c r="J307" s="583"/>
      <c r="K307" s="583"/>
      <c r="L307" s="583"/>
      <c r="M307" s="352" t="s">
        <v>21</v>
      </c>
    </row>
    <row r="308" spans="1:13" x14ac:dyDescent="0.35">
      <c r="A308">
        <v>307</v>
      </c>
      <c r="B308" s="746" t="s">
        <v>1177</v>
      </c>
      <c r="C308" s="583"/>
      <c r="D308" s="583"/>
      <c r="E308" s="583"/>
      <c r="F308" s="583"/>
      <c r="G308" s="583"/>
      <c r="H308" s="257"/>
      <c r="I308" s="257"/>
      <c r="J308" s="583"/>
      <c r="K308" s="583"/>
      <c r="L308" s="583"/>
      <c r="M308" s="352" t="s">
        <v>21</v>
      </c>
    </row>
    <row r="309" spans="1:13" x14ac:dyDescent="0.35">
      <c r="A309">
        <v>308</v>
      </c>
      <c r="B309" s="860" t="s">
        <v>1366</v>
      </c>
      <c r="C309" s="715">
        <v>4089</v>
      </c>
      <c r="D309" s="715">
        <v>443</v>
      </c>
      <c r="E309" s="715">
        <v>898</v>
      </c>
      <c r="F309" s="715">
        <v>3401</v>
      </c>
      <c r="G309" s="715"/>
      <c r="H309" s="716"/>
      <c r="I309" s="715"/>
      <c r="J309" s="715">
        <v>983</v>
      </c>
      <c r="K309" s="715">
        <v>2025</v>
      </c>
      <c r="L309" s="715">
        <v>1081</v>
      </c>
      <c r="M309" s="352" t="s">
        <v>22</v>
      </c>
    </row>
    <row r="310" spans="1:13" x14ac:dyDescent="0.35">
      <c r="A310">
        <v>309</v>
      </c>
      <c r="B310" s="860" t="s">
        <v>1367</v>
      </c>
      <c r="C310" s="715">
        <v>1694</v>
      </c>
      <c r="D310" s="715">
        <v>584</v>
      </c>
      <c r="E310" s="715">
        <v>484</v>
      </c>
      <c r="F310" s="715">
        <v>2430</v>
      </c>
      <c r="G310" s="715"/>
      <c r="H310" s="716"/>
      <c r="I310" s="716"/>
      <c r="J310" s="715">
        <v>407</v>
      </c>
      <c r="K310" s="715">
        <v>829</v>
      </c>
      <c r="L310" s="715">
        <v>458</v>
      </c>
      <c r="M310" s="352" t="s">
        <v>22</v>
      </c>
    </row>
    <row r="311" spans="1:13" x14ac:dyDescent="0.35">
      <c r="A311">
        <v>310</v>
      </c>
      <c r="B311" s="860" t="s">
        <v>1368</v>
      </c>
      <c r="C311" s="715">
        <v>1385</v>
      </c>
      <c r="D311" s="715">
        <v>427</v>
      </c>
      <c r="E311" s="715">
        <v>178</v>
      </c>
      <c r="F311" s="715">
        <v>766</v>
      </c>
      <c r="G311" s="715"/>
      <c r="H311" s="716"/>
      <c r="I311" s="716"/>
      <c r="J311" s="715">
        <v>521</v>
      </c>
      <c r="K311" s="715">
        <v>417</v>
      </c>
      <c r="L311" s="715">
        <v>447</v>
      </c>
      <c r="M311" s="352" t="s">
        <v>22</v>
      </c>
    </row>
    <row r="312" spans="1:13" x14ac:dyDescent="0.35">
      <c r="A312">
        <v>311</v>
      </c>
      <c r="B312" s="749" t="s">
        <v>1191</v>
      </c>
      <c r="C312" s="715">
        <v>782</v>
      </c>
      <c r="D312" s="715">
        <v>511</v>
      </c>
      <c r="E312" s="715">
        <v>262</v>
      </c>
      <c r="F312" s="715">
        <v>941</v>
      </c>
      <c r="G312" s="715"/>
      <c r="H312" s="715"/>
      <c r="I312" s="715"/>
      <c r="J312" s="715">
        <v>117</v>
      </c>
      <c r="K312" s="715">
        <v>513</v>
      </c>
      <c r="L312" s="715">
        <v>152</v>
      </c>
      <c r="M312" s="352" t="s">
        <v>22</v>
      </c>
    </row>
    <row r="313" spans="1:13" x14ac:dyDescent="0.35">
      <c r="A313">
        <v>312</v>
      </c>
      <c r="B313" s="749" t="s">
        <v>1181</v>
      </c>
      <c r="C313" s="715">
        <v>731</v>
      </c>
      <c r="D313" s="715">
        <v>508</v>
      </c>
      <c r="E313" s="715">
        <v>131</v>
      </c>
      <c r="F313" s="715">
        <v>1118</v>
      </c>
      <c r="G313" s="715"/>
      <c r="H313" s="716"/>
      <c r="I313" s="716"/>
      <c r="J313" s="715">
        <v>84</v>
      </c>
      <c r="K313" s="715">
        <v>258</v>
      </c>
      <c r="L313" s="715">
        <v>389</v>
      </c>
      <c r="M313" s="352" t="s">
        <v>22</v>
      </c>
    </row>
    <row r="314" spans="1:13" x14ac:dyDescent="0.35">
      <c r="A314">
        <v>313</v>
      </c>
      <c r="B314" s="749" t="s">
        <v>1189</v>
      </c>
      <c r="C314" s="715">
        <v>446</v>
      </c>
      <c r="D314" s="715">
        <v>413</v>
      </c>
      <c r="E314" s="715">
        <v>33</v>
      </c>
      <c r="F314" s="715">
        <v>245</v>
      </c>
      <c r="G314" s="715"/>
      <c r="H314" s="716"/>
      <c r="I314" s="716"/>
      <c r="J314" s="715">
        <v>269</v>
      </c>
      <c r="K314" s="715">
        <v>80</v>
      </c>
      <c r="L314" s="715">
        <v>97</v>
      </c>
      <c r="M314" s="352" t="s">
        <v>22</v>
      </c>
    </row>
    <row r="315" spans="1:13" x14ac:dyDescent="0.35">
      <c r="A315">
        <v>314</v>
      </c>
      <c r="B315" s="749" t="s">
        <v>1178</v>
      </c>
      <c r="C315" s="715">
        <v>421</v>
      </c>
      <c r="D315" s="715">
        <v>165</v>
      </c>
      <c r="E315" s="715">
        <v>39</v>
      </c>
      <c r="F315" s="715">
        <v>1359</v>
      </c>
      <c r="G315" s="715"/>
      <c r="H315" s="716"/>
      <c r="I315" s="715"/>
      <c r="J315" s="715">
        <v>158</v>
      </c>
      <c r="K315" s="715">
        <v>236</v>
      </c>
      <c r="L315" s="715">
        <v>27</v>
      </c>
      <c r="M315" s="352" t="s">
        <v>22</v>
      </c>
    </row>
    <row r="316" spans="1:13" x14ac:dyDescent="0.35">
      <c r="A316">
        <v>315</v>
      </c>
      <c r="B316" s="749" t="s">
        <v>1186</v>
      </c>
      <c r="C316" s="715">
        <v>348</v>
      </c>
      <c r="D316" s="715">
        <v>356</v>
      </c>
      <c r="E316" s="715">
        <v>64</v>
      </c>
      <c r="F316" s="715">
        <v>461</v>
      </c>
      <c r="G316" s="715"/>
      <c r="H316" s="716"/>
      <c r="I316" s="715"/>
      <c r="J316" s="715">
        <v>111</v>
      </c>
      <c r="K316" s="715">
        <v>180</v>
      </c>
      <c r="L316" s="715">
        <v>57</v>
      </c>
      <c r="M316" s="352" t="s">
        <v>22</v>
      </c>
    </row>
    <row r="317" spans="1:13" x14ac:dyDescent="0.35">
      <c r="A317">
        <v>316</v>
      </c>
      <c r="B317" s="749" t="s">
        <v>1183</v>
      </c>
      <c r="C317" s="715">
        <v>139</v>
      </c>
      <c r="D317" s="715">
        <v>278</v>
      </c>
      <c r="E317" s="715">
        <v>32</v>
      </c>
      <c r="F317" s="715">
        <v>126</v>
      </c>
      <c r="G317" s="715"/>
      <c r="H317" s="716"/>
      <c r="I317" s="715"/>
      <c r="J317" s="715">
        <v>16</v>
      </c>
      <c r="K317" s="715">
        <v>115</v>
      </c>
      <c r="L317" s="715">
        <v>8</v>
      </c>
      <c r="M317" s="352" t="s">
        <v>22</v>
      </c>
    </row>
    <row r="318" spans="1:13" x14ac:dyDescent="0.35">
      <c r="A318">
        <v>317</v>
      </c>
      <c r="B318" s="749" t="s">
        <v>1185</v>
      </c>
      <c r="C318" s="715">
        <v>108</v>
      </c>
      <c r="D318" s="715">
        <v>100</v>
      </c>
      <c r="E318" s="715">
        <v>2</v>
      </c>
      <c r="F318" s="715">
        <v>79</v>
      </c>
      <c r="G318" s="715"/>
      <c r="H318" s="716"/>
      <c r="I318" s="715"/>
      <c r="J318" s="715">
        <v>13</v>
      </c>
      <c r="K318" s="715">
        <v>20</v>
      </c>
      <c r="L318" s="715">
        <v>75</v>
      </c>
      <c r="M318" s="352" t="s">
        <v>22</v>
      </c>
    </row>
    <row r="319" spans="1:13" x14ac:dyDescent="0.35">
      <c r="A319">
        <v>318</v>
      </c>
      <c r="B319" s="749" t="s">
        <v>1184</v>
      </c>
      <c r="C319" s="715">
        <v>84</v>
      </c>
      <c r="D319" s="715">
        <v>216</v>
      </c>
      <c r="E319" s="715">
        <v>8</v>
      </c>
      <c r="F319" s="715">
        <v>257</v>
      </c>
      <c r="G319" s="715"/>
      <c r="H319" s="717"/>
      <c r="I319" s="717"/>
      <c r="J319" s="715">
        <v>33</v>
      </c>
      <c r="K319" s="715">
        <v>37</v>
      </c>
      <c r="L319" s="715">
        <v>14</v>
      </c>
      <c r="M319" s="352" t="s">
        <v>22</v>
      </c>
    </row>
    <row r="320" spans="1:13" x14ac:dyDescent="0.35">
      <c r="A320">
        <v>319</v>
      </c>
      <c r="B320" s="749" t="s">
        <v>1187</v>
      </c>
      <c r="C320" s="717"/>
      <c r="D320" s="717"/>
      <c r="E320" s="717"/>
      <c r="F320" s="717"/>
      <c r="G320" s="717"/>
      <c r="H320" s="716"/>
      <c r="I320" s="716"/>
      <c r="J320" s="717"/>
      <c r="K320" s="717"/>
      <c r="L320" s="717"/>
      <c r="M320" s="352" t="s">
        <v>22</v>
      </c>
    </row>
    <row r="321" spans="1:13" x14ac:dyDescent="0.35">
      <c r="A321">
        <v>320</v>
      </c>
      <c r="B321" s="749" t="s">
        <v>1188</v>
      </c>
      <c r="C321" s="717"/>
      <c r="D321" s="717"/>
      <c r="E321" s="717"/>
      <c r="F321" s="717"/>
      <c r="G321" s="717"/>
      <c r="H321" s="716"/>
      <c r="I321" s="715"/>
      <c r="J321" s="717"/>
      <c r="K321" s="717"/>
      <c r="L321" s="717"/>
      <c r="M321" s="352" t="s">
        <v>22</v>
      </c>
    </row>
    <row r="322" spans="1:13" x14ac:dyDescent="0.35">
      <c r="A322">
        <v>321</v>
      </c>
      <c r="B322" s="749" t="s">
        <v>1190</v>
      </c>
      <c r="C322" s="717"/>
      <c r="D322" s="717"/>
      <c r="E322" s="717"/>
      <c r="F322" s="717"/>
      <c r="G322" s="717"/>
      <c r="H322" s="717"/>
      <c r="I322" s="717"/>
      <c r="J322" s="717"/>
      <c r="K322" s="717"/>
      <c r="L322" s="717"/>
      <c r="M322" s="352" t="s">
        <v>22</v>
      </c>
    </row>
    <row r="323" spans="1:13" x14ac:dyDescent="0.35">
      <c r="A323">
        <v>322</v>
      </c>
      <c r="B323" s="861" t="s">
        <v>1369</v>
      </c>
      <c r="C323" s="548">
        <v>1964</v>
      </c>
      <c r="D323" s="548">
        <v>938</v>
      </c>
      <c r="E323" s="548">
        <v>1358</v>
      </c>
      <c r="F323" s="548">
        <v>1075</v>
      </c>
      <c r="G323" s="548"/>
      <c r="H323" s="719"/>
      <c r="I323" s="548"/>
      <c r="J323" s="548">
        <v>494</v>
      </c>
      <c r="K323" s="548">
        <v>1449</v>
      </c>
      <c r="L323" s="548">
        <v>21</v>
      </c>
      <c r="M323" s="352" t="s">
        <v>23</v>
      </c>
    </row>
    <row r="324" spans="1:13" x14ac:dyDescent="0.35">
      <c r="A324">
        <v>323</v>
      </c>
      <c r="B324" s="861" t="s">
        <v>1370</v>
      </c>
      <c r="C324" s="548">
        <v>340</v>
      </c>
      <c r="D324" s="548">
        <v>992</v>
      </c>
      <c r="E324" s="548">
        <v>180</v>
      </c>
      <c r="F324" s="548">
        <v>511</v>
      </c>
      <c r="G324" s="548"/>
      <c r="H324" s="719"/>
      <c r="I324" s="548"/>
      <c r="J324" s="548">
        <v>157</v>
      </c>
      <c r="K324" s="548">
        <v>181</v>
      </c>
      <c r="L324" s="548">
        <v>2</v>
      </c>
      <c r="M324" s="352" t="s">
        <v>23</v>
      </c>
    </row>
    <row r="325" spans="1:13" x14ac:dyDescent="0.35">
      <c r="A325">
        <v>324</v>
      </c>
      <c r="B325" s="861" t="s">
        <v>1371</v>
      </c>
      <c r="C325" s="548">
        <v>224</v>
      </c>
      <c r="D325" s="548">
        <v>220</v>
      </c>
      <c r="E325" s="548">
        <v>15</v>
      </c>
      <c r="F325" s="548">
        <v>285</v>
      </c>
      <c r="G325" s="548"/>
      <c r="H325" s="548"/>
      <c r="I325" s="548"/>
      <c r="J325" s="548">
        <v>130</v>
      </c>
      <c r="K325" s="548">
        <v>68</v>
      </c>
      <c r="L325" s="548">
        <v>26</v>
      </c>
      <c r="M325" s="352" t="s">
        <v>23</v>
      </c>
    </row>
    <row r="326" spans="1:13" x14ac:dyDescent="0.35">
      <c r="A326">
        <v>325</v>
      </c>
      <c r="B326" s="750" t="s">
        <v>1204</v>
      </c>
      <c r="C326" s="548">
        <v>159</v>
      </c>
      <c r="D326" s="548">
        <v>129</v>
      </c>
      <c r="E326" s="548">
        <v>4</v>
      </c>
      <c r="F326" s="548">
        <v>179</v>
      </c>
      <c r="G326" s="548"/>
      <c r="H326" s="718"/>
      <c r="I326" s="718"/>
      <c r="J326" s="548">
        <v>127</v>
      </c>
      <c r="K326" s="548">
        <v>31</v>
      </c>
      <c r="L326" s="548">
        <v>1</v>
      </c>
      <c r="M326" s="352" t="s">
        <v>23</v>
      </c>
    </row>
    <row r="327" spans="1:13" x14ac:dyDescent="0.35">
      <c r="A327">
        <v>326</v>
      </c>
      <c r="B327" s="750" t="s">
        <v>1193</v>
      </c>
      <c r="C327" s="548">
        <v>94</v>
      </c>
      <c r="D327" s="548">
        <v>510</v>
      </c>
      <c r="E327" s="548">
        <v>1</v>
      </c>
      <c r="F327" s="548">
        <v>144</v>
      </c>
      <c r="G327" s="548"/>
      <c r="H327" s="719"/>
      <c r="I327" s="548"/>
      <c r="J327" s="548">
        <v>93</v>
      </c>
      <c r="K327" s="548">
        <v>1</v>
      </c>
      <c r="L327" s="718"/>
      <c r="M327" s="352" t="s">
        <v>23</v>
      </c>
    </row>
    <row r="328" spans="1:13" x14ac:dyDescent="0.35">
      <c r="A328">
        <v>327</v>
      </c>
      <c r="B328" s="750" t="s">
        <v>1197</v>
      </c>
      <c r="C328" s="548">
        <v>50</v>
      </c>
      <c r="D328" s="718"/>
      <c r="E328" s="718"/>
      <c r="F328" s="548">
        <v>35</v>
      </c>
      <c r="G328" s="718"/>
      <c r="H328" s="548"/>
      <c r="I328" s="548"/>
      <c r="J328" s="548">
        <v>31</v>
      </c>
      <c r="K328" s="718"/>
      <c r="L328" s="548">
        <v>19</v>
      </c>
      <c r="M328" s="352" t="s">
        <v>23</v>
      </c>
    </row>
    <row r="329" spans="1:13" x14ac:dyDescent="0.35">
      <c r="A329">
        <v>328</v>
      </c>
      <c r="B329" s="750" t="s">
        <v>1199</v>
      </c>
      <c r="C329" s="548">
        <v>24</v>
      </c>
      <c r="D329" s="718"/>
      <c r="E329" s="718"/>
      <c r="F329" s="548">
        <v>52</v>
      </c>
      <c r="G329" s="718"/>
      <c r="H329" s="548"/>
      <c r="I329" s="548"/>
      <c r="J329" s="548">
        <v>15</v>
      </c>
      <c r="K329" s="548">
        <v>9</v>
      </c>
      <c r="L329" s="718"/>
      <c r="M329" s="352" t="s">
        <v>23</v>
      </c>
    </row>
    <row r="330" spans="1:13" x14ac:dyDescent="0.35">
      <c r="A330">
        <v>329</v>
      </c>
      <c r="B330" s="750" t="s">
        <v>1205</v>
      </c>
      <c r="C330" s="548">
        <v>16</v>
      </c>
      <c r="D330" s="718"/>
      <c r="E330" s="718"/>
      <c r="F330" s="548">
        <v>16</v>
      </c>
      <c r="G330" s="718"/>
      <c r="H330" s="548"/>
      <c r="I330" s="548"/>
      <c r="J330" s="548">
        <v>16</v>
      </c>
      <c r="K330" s="718"/>
      <c r="L330" s="718"/>
      <c r="M330" s="352" t="s">
        <v>23</v>
      </c>
    </row>
    <row r="331" spans="1:13" x14ac:dyDescent="0.35">
      <c r="A331">
        <v>330</v>
      </c>
      <c r="B331" s="750" t="s">
        <v>1198</v>
      </c>
      <c r="C331" s="548">
        <v>7</v>
      </c>
      <c r="D331" s="548">
        <v>800</v>
      </c>
      <c r="E331" s="548">
        <v>0</v>
      </c>
      <c r="F331" s="548">
        <v>20</v>
      </c>
      <c r="G331" s="548"/>
      <c r="H331" s="548"/>
      <c r="I331" s="548"/>
      <c r="J331" s="548">
        <v>7</v>
      </c>
      <c r="K331" s="548">
        <v>1</v>
      </c>
      <c r="L331" s="718"/>
      <c r="M331" s="352" t="s">
        <v>23</v>
      </c>
    </row>
    <row r="332" spans="1:13" x14ac:dyDescent="0.35">
      <c r="A332">
        <v>331</v>
      </c>
      <c r="B332" s="750" t="s">
        <v>1192</v>
      </c>
      <c r="C332" s="718"/>
      <c r="D332" s="718"/>
      <c r="E332" s="718"/>
      <c r="F332" s="718"/>
      <c r="G332" s="718"/>
      <c r="H332" s="719"/>
      <c r="I332" s="548"/>
      <c r="J332" s="718"/>
      <c r="K332" s="718"/>
      <c r="L332" s="718"/>
      <c r="M332" s="352" t="s">
        <v>23</v>
      </c>
    </row>
    <row r="333" spans="1:13" x14ac:dyDescent="0.35">
      <c r="A333">
        <v>332</v>
      </c>
      <c r="B333" s="750" t="s">
        <v>1194</v>
      </c>
      <c r="C333" s="718"/>
      <c r="D333" s="718"/>
      <c r="E333" s="718"/>
      <c r="F333" s="718"/>
      <c r="G333" s="718"/>
      <c r="H333" s="548"/>
      <c r="I333" s="548"/>
      <c r="J333" s="718"/>
      <c r="K333" s="718"/>
      <c r="L333" s="718"/>
      <c r="M333" s="352" t="s">
        <v>23</v>
      </c>
    </row>
    <row r="334" spans="1:13" x14ac:dyDescent="0.35">
      <c r="A334">
        <v>333</v>
      </c>
      <c r="B334" s="750" t="s">
        <v>1200</v>
      </c>
      <c r="C334" s="718"/>
      <c r="D334" s="718"/>
      <c r="E334" s="718"/>
      <c r="F334" s="718"/>
      <c r="G334" s="718"/>
      <c r="H334" s="548"/>
      <c r="I334" s="548"/>
      <c r="J334" s="718"/>
      <c r="K334" s="718"/>
      <c r="L334" s="718"/>
      <c r="M334" s="352" t="s">
        <v>23</v>
      </c>
    </row>
    <row r="335" spans="1:13" x14ac:dyDescent="0.35">
      <c r="A335">
        <v>334</v>
      </c>
      <c r="B335" s="750" t="s">
        <v>1201</v>
      </c>
      <c r="C335" s="718"/>
      <c r="D335" s="718"/>
      <c r="E335" s="718"/>
      <c r="F335" s="718"/>
      <c r="G335" s="718"/>
      <c r="H335" s="718"/>
      <c r="I335" s="718"/>
      <c r="J335" s="718"/>
      <c r="K335" s="718"/>
      <c r="L335" s="718"/>
      <c r="M335" s="352" t="s">
        <v>23</v>
      </c>
    </row>
    <row r="336" spans="1:13" x14ac:dyDescent="0.35">
      <c r="A336">
        <v>335</v>
      </c>
      <c r="B336" s="750" t="s">
        <v>1202</v>
      </c>
      <c r="C336" s="718"/>
      <c r="D336" s="718"/>
      <c r="E336" s="718"/>
      <c r="F336" s="718"/>
      <c r="G336" s="718"/>
      <c r="H336" s="718"/>
      <c r="I336" s="718"/>
      <c r="J336" s="718"/>
      <c r="K336" s="718"/>
      <c r="L336" s="718"/>
      <c r="M336" s="352" t="s">
        <v>23</v>
      </c>
    </row>
    <row r="337" spans="1:13" x14ac:dyDescent="0.35">
      <c r="A337">
        <v>336</v>
      </c>
      <c r="B337" s="857" t="s">
        <v>1372</v>
      </c>
      <c r="C337" s="568">
        <v>214</v>
      </c>
      <c r="D337" s="568">
        <v>333</v>
      </c>
      <c r="E337" s="568">
        <v>33</v>
      </c>
      <c r="F337" s="568">
        <v>431</v>
      </c>
      <c r="G337" s="568"/>
      <c r="H337" s="568"/>
      <c r="I337" s="568"/>
      <c r="J337" s="568">
        <v>108</v>
      </c>
      <c r="K337" s="568">
        <v>99</v>
      </c>
      <c r="L337" s="568">
        <v>7</v>
      </c>
      <c r="M337" s="352" t="s">
        <v>24</v>
      </c>
    </row>
    <row r="338" spans="1:13" x14ac:dyDescent="0.35">
      <c r="A338">
        <v>337</v>
      </c>
      <c r="B338" s="857" t="s">
        <v>1373</v>
      </c>
      <c r="C338" s="568">
        <v>214</v>
      </c>
      <c r="D338" s="568">
        <v>301</v>
      </c>
      <c r="E338" s="568">
        <v>31</v>
      </c>
      <c r="F338" s="568">
        <v>172</v>
      </c>
      <c r="G338" s="568"/>
      <c r="H338" s="568"/>
      <c r="I338" s="570"/>
      <c r="J338" s="568">
        <v>42</v>
      </c>
      <c r="K338" s="568">
        <v>103</v>
      </c>
      <c r="L338" s="568">
        <v>69</v>
      </c>
      <c r="M338" s="352" t="s">
        <v>24</v>
      </c>
    </row>
    <row r="339" spans="1:13" x14ac:dyDescent="0.35">
      <c r="A339">
        <v>338</v>
      </c>
      <c r="B339" s="857" t="s">
        <v>1374</v>
      </c>
      <c r="C339" s="568">
        <v>115</v>
      </c>
      <c r="D339" s="568">
        <v>763</v>
      </c>
      <c r="E339" s="568">
        <v>29</v>
      </c>
      <c r="F339" s="568">
        <v>211</v>
      </c>
      <c r="G339" s="568"/>
      <c r="H339" s="570"/>
      <c r="I339" s="570"/>
      <c r="J339" s="568">
        <v>76</v>
      </c>
      <c r="K339" s="568">
        <v>38</v>
      </c>
      <c r="L339" s="568">
        <v>1</v>
      </c>
      <c r="M339" s="352" t="s">
        <v>24</v>
      </c>
    </row>
    <row r="340" spans="1:13" x14ac:dyDescent="0.35">
      <c r="A340">
        <v>339</v>
      </c>
      <c r="B340" s="742" t="s">
        <v>1208</v>
      </c>
      <c r="C340" s="568">
        <v>67</v>
      </c>
      <c r="D340" s="570"/>
      <c r="E340" s="570"/>
      <c r="F340" s="568">
        <v>63</v>
      </c>
      <c r="G340" s="570"/>
      <c r="H340" s="570"/>
      <c r="I340" s="570"/>
      <c r="J340" s="568">
        <v>67</v>
      </c>
      <c r="K340" s="570"/>
      <c r="L340" s="570"/>
      <c r="M340" s="352" t="s">
        <v>24</v>
      </c>
    </row>
    <row r="341" spans="1:13" x14ac:dyDescent="0.35">
      <c r="A341">
        <v>340</v>
      </c>
      <c r="B341" s="742" t="s">
        <v>1215</v>
      </c>
      <c r="C341" s="568">
        <v>31</v>
      </c>
      <c r="D341" s="568">
        <v>433</v>
      </c>
      <c r="E341" s="568">
        <v>4</v>
      </c>
      <c r="F341" s="568">
        <v>50</v>
      </c>
      <c r="G341" s="568"/>
      <c r="H341" s="570"/>
      <c r="I341" s="570"/>
      <c r="J341" s="568">
        <v>17</v>
      </c>
      <c r="K341" s="568">
        <v>10</v>
      </c>
      <c r="L341" s="568">
        <v>4</v>
      </c>
      <c r="M341" s="352" t="s">
        <v>24</v>
      </c>
    </row>
    <row r="342" spans="1:13" x14ac:dyDescent="0.35">
      <c r="A342">
        <v>341</v>
      </c>
      <c r="B342" s="742" t="s">
        <v>1216</v>
      </c>
      <c r="C342" s="568">
        <v>5</v>
      </c>
      <c r="D342" s="570"/>
      <c r="E342" s="570"/>
      <c r="F342" s="568">
        <v>5</v>
      </c>
      <c r="G342" s="570"/>
      <c r="H342" s="570"/>
      <c r="I342" s="570"/>
      <c r="J342" s="568">
        <v>5</v>
      </c>
      <c r="K342" s="570"/>
      <c r="L342" s="570"/>
      <c r="M342" s="352" t="s">
        <v>24</v>
      </c>
    </row>
    <row r="343" spans="1:13" x14ac:dyDescent="0.35">
      <c r="A343">
        <v>342</v>
      </c>
      <c r="B343" s="742" t="s">
        <v>1206</v>
      </c>
      <c r="C343" s="570"/>
      <c r="D343" s="570"/>
      <c r="E343" s="570"/>
      <c r="F343" s="570"/>
      <c r="G343" s="570"/>
      <c r="H343" s="570"/>
      <c r="I343" s="570"/>
      <c r="J343" s="570"/>
      <c r="K343" s="570"/>
      <c r="L343" s="570"/>
      <c r="M343" s="352" t="s">
        <v>24</v>
      </c>
    </row>
    <row r="344" spans="1:13" x14ac:dyDescent="0.35">
      <c r="A344">
        <v>343</v>
      </c>
      <c r="B344" s="742" t="s">
        <v>1209</v>
      </c>
      <c r="C344" s="570"/>
      <c r="D344" s="570"/>
      <c r="E344" s="570"/>
      <c r="F344" s="570"/>
      <c r="G344" s="570"/>
      <c r="H344" s="568"/>
      <c r="I344" s="568"/>
      <c r="J344" s="570"/>
      <c r="K344" s="570"/>
      <c r="L344" s="570"/>
      <c r="M344" s="352" t="s">
        <v>24</v>
      </c>
    </row>
    <row r="345" spans="1:13" x14ac:dyDescent="0.35">
      <c r="A345">
        <v>344</v>
      </c>
      <c r="B345" s="742" t="s">
        <v>1210</v>
      </c>
      <c r="C345" s="570"/>
      <c r="D345" s="570"/>
      <c r="E345" s="570"/>
      <c r="F345" s="570"/>
      <c r="G345" s="570"/>
      <c r="H345" s="569"/>
      <c r="I345" s="569"/>
      <c r="J345" s="570"/>
      <c r="K345" s="570"/>
      <c r="L345" s="570"/>
      <c r="M345" s="352" t="s">
        <v>24</v>
      </c>
    </row>
    <row r="346" spans="1:13" x14ac:dyDescent="0.35">
      <c r="A346">
        <v>345</v>
      </c>
      <c r="B346" s="742" t="s">
        <v>1212</v>
      </c>
      <c r="C346" s="570"/>
      <c r="D346" s="570"/>
      <c r="E346" s="570"/>
      <c r="F346" s="570"/>
      <c r="G346" s="570"/>
      <c r="H346" s="568"/>
      <c r="I346" s="568"/>
      <c r="J346" s="570"/>
      <c r="K346" s="570"/>
      <c r="L346" s="570"/>
      <c r="M346" s="352" t="s">
        <v>24</v>
      </c>
    </row>
    <row r="347" spans="1:13" x14ac:dyDescent="0.35">
      <c r="A347">
        <v>346</v>
      </c>
      <c r="B347" s="742" t="s">
        <v>1213</v>
      </c>
      <c r="C347" s="570"/>
      <c r="D347" s="570"/>
      <c r="E347" s="570"/>
      <c r="F347" s="570"/>
      <c r="G347" s="570"/>
      <c r="H347" s="568"/>
      <c r="I347" s="570"/>
      <c r="J347" s="570"/>
      <c r="K347" s="570"/>
      <c r="L347" s="570"/>
      <c r="M347" s="352" t="s">
        <v>24</v>
      </c>
    </row>
    <row r="348" spans="1:13" x14ac:dyDescent="0.35">
      <c r="A348">
        <v>347</v>
      </c>
      <c r="B348" s="742" t="s">
        <v>1217</v>
      </c>
      <c r="C348" s="570"/>
      <c r="D348" s="570"/>
      <c r="E348" s="570"/>
      <c r="F348" s="570"/>
      <c r="G348" s="570"/>
      <c r="H348" s="568"/>
      <c r="I348" s="568"/>
      <c r="J348" s="570"/>
      <c r="K348" s="570"/>
      <c r="L348" s="570"/>
      <c r="M348" s="352" t="s">
        <v>24</v>
      </c>
    </row>
    <row r="349" spans="1:13" x14ac:dyDescent="0.35">
      <c r="A349">
        <v>348</v>
      </c>
      <c r="B349" s="742" t="s">
        <v>1218</v>
      </c>
      <c r="C349" s="570"/>
      <c r="D349" s="570"/>
      <c r="E349" s="570"/>
      <c r="F349" s="570"/>
      <c r="G349" s="570"/>
      <c r="H349" s="568"/>
      <c r="I349" s="568"/>
      <c r="J349" s="570"/>
      <c r="K349" s="570"/>
      <c r="L349" s="570"/>
      <c r="M349" s="352" t="s">
        <v>24</v>
      </c>
    </row>
    <row r="350" spans="1:13" x14ac:dyDescent="0.35">
      <c r="A350">
        <v>349</v>
      </c>
      <c r="B350" s="862" t="s">
        <v>1375</v>
      </c>
      <c r="C350" s="584">
        <v>3441</v>
      </c>
      <c r="D350" s="584">
        <v>592</v>
      </c>
      <c r="E350" s="584">
        <v>1410</v>
      </c>
      <c r="F350" s="584">
        <v>1860</v>
      </c>
      <c r="G350" s="584"/>
      <c r="H350" s="720"/>
      <c r="I350" s="720"/>
      <c r="J350" s="584">
        <v>1021</v>
      </c>
      <c r="K350" s="584">
        <v>2380</v>
      </c>
      <c r="L350" s="584">
        <v>40</v>
      </c>
      <c r="M350" s="352" t="s">
        <v>25</v>
      </c>
    </row>
    <row r="351" spans="1:13" x14ac:dyDescent="0.35">
      <c r="A351">
        <v>350</v>
      </c>
      <c r="B351" s="862" t="s">
        <v>1376</v>
      </c>
      <c r="C351" s="584">
        <v>1499</v>
      </c>
      <c r="D351" s="584">
        <v>440</v>
      </c>
      <c r="E351" s="584">
        <v>282</v>
      </c>
      <c r="F351" s="584">
        <v>224</v>
      </c>
      <c r="G351" s="584"/>
      <c r="H351" s="720"/>
      <c r="I351" s="720"/>
      <c r="J351" s="584">
        <v>839</v>
      </c>
      <c r="K351" s="584">
        <v>641</v>
      </c>
      <c r="L351" s="584">
        <v>19</v>
      </c>
      <c r="M351" s="352" t="s">
        <v>25</v>
      </c>
    </row>
    <row r="352" spans="1:13" x14ac:dyDescent="0.35">
      <c r="A352">
        <v>351</v>
      </c>
      <c r="B352" s="862" t="s">
        <v>1377</v>
      </c>
      <c r="C352" s="584">
        <v>1253</v>
      </c>
      <c r="D352" s="584">
        <v>894</v>
      </c>
      <c r="E352" s="584">
        <v>788</v>
      </c>
      <c r="F352" s="584">
        <v>1041</v>
      </c>
      <c r="G352" s="584"/>
      <c r="H352" s="720"/>
      <c r="I352" s="720"/>
      <c r="J352" s="584">
        <v>215</v>
      </c>
      <c r="K352" s="584">
        <v>881</v>
      </c>
      <c r="L352" s="584">
        <v>157</v>
      </c>
      <c r="M352" s="352" t="s">
        <v>25</v>
      </c>
    </row>
    <row r="353" spans="1:13" x14ac:dyDescent="0.35">
      <c r="A353">
        <v>352</v>
      </c>
      <c r="B353" s="747" t="s">
        <v>1220</v>
      </c>
      <c r="C353" s="584">
        <v>505</v>
      </c>
      <c r="D353" s="584">
        <v>118</v>
      </c>
      <c r="E353" s="584">
        <v>19</v>
      </c>
      <c r="F353" s="584">
        <v>290</v>
      </c>
      <c r="G353" s="584"/>
      <c r="H353" s="584"/>
      <c r="I353" s="584"/>
      <c r="J353" s="584">
        <v>248</v>
      </c>
      <c r="K353" s="584">
        <v>161</v>
      </c>
      <c r="L353" s="584">
        <v>96</v>
      </c>
      <c r="M353" s="352" t="s">
        <v>25</v>
      </c>
    </row>
    <row r="354" spans="1:13" x14ac:dyDescent="0.35">
      <c r="A354">
        <v>353</v>
      </c>
      <c r="B354" s="747" t="s">
        <v>1219</v>
      </c>
      <c r="C354" s="584">
        <v>77</v>
      </c>
      <c r="D354" s="584">
        <v>250</v>
      </c>
      <c r="E354" s="584">
        <v>3</v>
      </c>
      <c r="F354" s="584">
        <v>146</v>
      </c>
      <c r="G354" s="584"/>
      <c r="H354" s="720"/>
      <c r="I354" s="720"/>
      <c r="J354" s="720"/>
      <c r="K354" s="584">
        <v>12</v>
      </c>
      <c r="L354" s="584">
        <v>65</v>
      </c>
      <c r="M354" s="352" t="s">
        <v>25</v>
      </c>
    </row>
    <row r="355" spans="1:13" x14ac:dyDescent="0.35">
      <c r="A355">
        <v>354</v>
      </c>
      <c r="B355" s="747" t="s">
        <v>1221</v>
      </c>
      <c r="C355" s="584">
        <v>71</v>
      </c>
      <c r="D355" s="584">
        <v>732</v>
      </c>
      <c r="E355" s="584">
        <v>30</v>
      </c>
      <c r="F355" s="584">
        <v>68</v>
      </c>
      <c r="G355" s="584"/>
      <c r="H355" s="584"/>
      <c r="I355" s="720"/>
      <c r="J355" s="584">
        <v>16</v>
      </c>
      <c r="K355" s="584">
        <v>41</v>
      </c>
      <c r="L355" s="584">
        <v>14</v>
      </c>
      <c r="M355" s="352" t="s">
        <v>25</v>
      </c>
    </row>
    <row r="356" spans="1:13" x14ac:dyDescent="0.35">
      <c r="A356">
        <v>355</v>
      </c>
      <c r="B356" s="747" t="s">
        <v>1227</v>
      </c>
      <c r="C356" s="584">
        <v>22</v>
      </c>
      <c r="D356" s="584">
        <v>159</v>
      </c>
      <c r="E356" s="584">
        <v>3</v>
      </c>
      <c r="F356" s="584">
        <v>20</v>
      </c>
      <c r="G356" s="584"/>
      <c r="H356" s="584"/>
      <c r="I356" s="584"/>
      <c r="J356" s="584">
        <v>2</v>
      </c>
      <c r="K356" s="584">
        <v>20</v>
      </c>
      <c r="L356" s="720"/>
      <c r="M356" s="352" t="s">
        <v>25</v>
      </c>
    </row>
    <row r="357" spans="1:13" x14ac:dyDescent="0.35">
      <c r="A357">
        <v>356</v>
      </c>
      <c r="B357" s="747" t="s">
        <v>1224</v>
      </c>
      <c r="C357" s="584">
        <v>11</v>
      </c>
      <c r="D357" s="584">
        <v>455</v>
      </c>
      <c r="E357" s="584">
        <v>5</v>
      </c>
      <c r="F357" s="584">
        <v>11</v>
      </c>
      <c r="G357" s="584"/>
      <c r="H357" s="584"/>
      <c r="I357" s="584"/>
      <c r="J357" s="720"/>
      <c r="K357" s="584">
        <v>11</v>
      </c>
      <c r="L357" s="720"/>
      <c r="M357" s="352" t="s">
        <v>25</v>
      </c>
    </row>
    <row r="358" spans="1:13" x14ac:dyDescent="0.35">
      <c r="A358">
        <v>357</v>
      </c>
      <c r="B358" s="747" t="s">
        <v>1226</v>
      </c>
      <c r="C358" s="584">
        <v>7</v>
      </c>
      <c r="D358" s="584">
        <v>200</v>
      </c>
      <c r="E358" s="584">
        <v>1</v>
      </c>
      <c r="F358" s="584">
        <v>11</v>
      </c>
      <c r="G358" s="584"/>
      <c r="H358" s="720"/>
      <c r="I358" s="720"/>
      <c r="J358" s="720"/>
      <c r="K358" s="584">
        <v>5</v>
      </c>
      <c r="L358" s="584">
        <v>2</v>
      </c>
      <c r="M358" s="352" t="s">
        <v>25</v>
      </c>
    </row>
    <row r="359" spans="1:13" x14ac:dyDescent="0.35">
      <c r="A359">
        <v>358</v>
      </c>
      <c r="B359" s="747" t="s">
        <v>1228</v>
      </c>
      <c r="C359" s="720"/>
      <c r="D359" s="720"/>
      <c r="E359" s="720"/>
      <c r="F359" s="720"/>
      <c r="G359" s="720"/>
      <c r="H359" s="584"/>
      <c r="I359" s="584"/>
      <c r="J359" s="720"/>
      <c r="K359" s="720"/>
      <c r="L359" s="720"/>
      <c r="M359" s="352" t="s">
        <v>25</v>
      </c>
    </row>
    <row r="360" spans="1:13" x14ac:dyDescent="0.35">
      <c r="A360">
        <v>359</v>
      </c>
      <c r="B360" s="858" t="s">
        <v>1378</v>
      </c>
      <c r="C360" s="572">
        <v>1350</v>
      </c>
      <c r="D360" s="572">
        <v>576</v>
      </c>
      <c r="E360" s="572">
        <v>761</v>
      </c>
      <c r="F360" s="572">
        <v>562</v>
      </c>
      <c r="G360" s="572"/>
      <c r="H360" s="574"/>
      <c r="I360" s="574"/>
      <c r="J360" s="573"/>
      <c r="K360" s="572">
        <v>1321</v>
      </c>
      <c r="L360" s="572">
        <v>29</v>
      </c>
      <c r="M360" s="352" t="s">
        <v>26</v>
      </c>
    </row>
    <row r="361" spans="1:13" x14ac:dyDescent="0.35">
      <c r="A361">
        <v>360</v>
      </c>
      <c r="B361" s="858" t="s">
        <v>1379</v>
      </c>
      <c r="C361" s="572">
        <v>826</v>
      </c>
      <c r="D361" s="572">
        <v>328</v>
      </c>
      <c r="E361" s="572">
        <v>138</v>
      </c>
      <c r="F361" s="572">
        <v>1148</v>
      </c>
      <c r="G361" s="572"/>
      <c r="H361" s="572"/>
      <c r="I361" s="572"/>
      <c r="J361" s="572">
        <v>220</v>
      </c>
      <c r="K361" s="572">
        <v>421</v>
      </c>
      <c r="L361" s="572">
        <v>185</v>
      </c>
      <c r="M361" s="352" t="s">
        <v>26</v>
      </c>
    </row>
    <row r="362" spans="1:13" x14ac:dyDescent="0.35">
      <c r="A362">
        <v>361</v>
      </c>
      <c r="B362" s="858" t="s">
        <v>1380</v>
      </c>
      <c r="C362" s="572">
        <v>516</v>
      </c>
      <c r="D362" s="572">
        <v>273</v>
      </c>
      <c r="E362" s="572">
        <v>42</v>
      </c>
      <c r="F362" s="572">
        <v>466</v>
      </c>
      <c r="G362" s="572"/>
      <c r="H362" s="572"/>
      <c r="I362" s="572"/>
      <c r="J362" s="572">
        <v>213</v>
      </c>
      <c r="K362" s="572">
        <v>154</v>
      </c>
      <c r="L362" s="572">
        <v>149</v>
      </c>
      <c r="M362" s="352" t="s">
        <v>26</v>
      </c>
    </row>
    <row r="363" spans="1:13" x14ac:dyDescent="0.35">
      <c r="A363">
        <v>362</v>
      </c>
      <c r="B363" s="743" t="s">
        <v>1231</v>
      </c>
      <c r="C363" s="572">
        <v>0</v>
      </c>
      <c r="D363" s="573"/>
      <c r="E363" s="573"/>
      <c r="F363" s="572">
        <v>1</v>
      </c>
      <c r="G363" s="573"/>
      <c r="H363" s="572"/>
      <c r="I363" s="572"/>
      <c r="J363" s="573"/>
      <c r="K363" s="573"/>
      <c r="L363" s="572">
        <v>0</v>
      </c>
      <c r="M363" s="352" t="s">
        <v>26</v>
      </c>
    </row>
    <row r="364" spans="1:13" x14ac:dyDescent="0.35">
      <c r="A364">
        <v>363</v>
      </c>
      <c r="B364" s="743" t="s">
        <v>1233</v>
      </c>
      <c r="C364" s="573"/>
      <c r="D364" s="573"/>
      <c r="E364" s="573"/>
      <c r="F364" s="573"/>
      <c r="G364" s="573"/>
      <c r="H364" s="574"/>
      <c r="I364" s="572"/>
      <c r="J364" s="573"/>
      <c r="K364" s="573"/>
      <c r="L364" s="573"/>
      <c r="M364" s="352" t="s">
        <v>26</v>
      </c>
    </row>
    <row r="365" spans="1:13" x14ac:dyDescent="0.35">
      <c r="A365">
        <v>364</v>
      </c>
      <c r="B365" s="863" t="s">
        <v>1381</v>
      </c>
      <c r="C365" s="713">
        <v>5676</v>
      </c>
      <c r="D365" s="713">
        <v>858</v>
      </c>
      <c r="E365" s="713">
        <v>3762</v>
      </c>
      <c r="F365" s="713">
        <v>6481</v>
      </c>
      <c r="G365" s="713"/>
      <c r="H365" s="713"/>
      <c r="I365" s="713"/>
      <c r="J365" s="713">
        <v>1245</v>
      </c>
      <c r="K365" s="713">
        <v>4385</v>
      </c>
      <c r="L365" s="713">
        <v>46</v>
      </c>
      <c r="M365" s="352" t="s">
        <v>27</v>
      </c>
    </row>
    <row r="366" spans="1:13" x14ac:dyDescent="0.35">
      <c r="A366">
        <v>365</v>
      </c>
      <c r="B366" s="864" t="s">
        <v>1382</v>
      </c>
      <c r="C366" s="713">
        <v>5220</v>
      </c>
      <c r="D366" s="713">
        <v>416</v>
      </c>
      <c r="E366" s="713">
        <v>424</v>
      </c>
      <c r="F366" s="713">
        <v>7588</v>
      </c>
      <c r="G366" s="713"/>
      <c r="H366" s="722"/>
      <c r="I366" s="722"/>
      <c r="J366" s="713">
        <v>1850</v>
      </c>
      <c r="K366" s="713">
        <v>1020</v>
      </c>
      <c r="L366" s="713">
        <v>2350</v>
      </c>
      <c r="M366" s="352" t="s">
        <v>27</v>
      </c>
    </row>
    <row r="367" spans="1:13" x14ac:dyDescent="0.35">
      <c r="A367">
        <v>366</v>
      </c>
      <c r="B367" s="751" t="s">
        <v>1244</v>
      </c>
      <c r="C367" s="713">
        <v>2075</v>
      </c>
      <c r="D367" s="713">
        <v>659</v>
      </c>
      <c r="E367" s="713">
        <v>403</v>
      </c>
      <c r="F367" s="713">
        <v>1998</v>
      </c>
      <c r="G367" s="713"/>
      <c r="H367" s="713"/>
      <c r="I367" s="713"/>
      <c r="J367" s="713">
        <v>881</v>
      </c>
      <c r="K367" s="713">
        <v>611</v>
      </c>
      <c r="L367" s="713">
        <v>583</v>
      </c>
      <c r="M367" s="352" t="s">
        <v>27</v>
      </c>
    </row>
    <row r="368" spans="1:13" x14ac:dyDescent="0.35">
      <c r="A368">
        <v>367</v>
      </c>
      <c r="B368" s="751" t="s">
        <v>1243</v>
      </c>
      <c r="C368" s="713">
        <v>1830</v>
      </c>
      <c r="D368" s="713">
        <v>458</v>
      </c>
      <c r="E368" s="713">
        <v>424</v>
      </c>
      <c r="F368" s="713">
        <v>1981</v>
      </c>
      <c r="G368" s="713"/>
      <c r="H368" s="722"/>
      <c r="I368" s="722"/>
      <c r="J368" s="713">
        <v>718</v>
      </c>
      <c r="K368" s="713">
        <v>925</v>
      </c>
      <c r="L368" s="713">
        <v>187</v>
      </c>
      <c r="M368" s="352" t="s">
        <v>27</v>
      </c>
    </row>
    <row r="369" spans="1:13" x14ac:dyDescent="0.35">
      <c r="A369">
        <v>368</v>
      </c>
      <c r="B369" s="751" t="s">
        <v>1248</v>
      </c>
      <c r="C369" s="713">
        <v>806</v>
      </c>
      <c r="D369" s="713">
        <v>302</v>
      </c>
      <c r="E369" s="713">
        <v>147</v>
      </c>
      <c r="F369" s="713">
        <v>941</v>
      </c>
      <c r="G369" s="713"/>
      <c r="H369" s="713"/>
      <c r="I369" s="713"/>
      <c r="J369" s="713">
        <v>274</v>
      </c>
      <c r="K369" s="713">
        <v>488</v>
      </c>
      <c r="L369" s="713">
        <v>45</v>
      </c>
      <c r="M369" s="352" t="s">
        <v>27</v>
      </c>
    </row>
    <row r="370" spans="1:13" x14ac:dyDescent="0.35">
      <c r="A370">
        <v>369</v>
      </c>
      <c r="B370" s="751" t="s">
        <v>1238</v>
      </c>
      <c r="C370" s="713">
        <v>655</v>
      </c>
      <c r="D370" s="713">
        <v>875</v>
      </c>
      <c r="E370" s="713">
        <v>306</v>
      </c>
      <c r="F370" s="713">
        <v>673</v>
      </c>
      <c r="G370" s="713"/>
      <c r="H370" s="721"/>
      <c r="I370" s="721"/>
      <c r="J370" s="713">
        <v>273</v>
      </c>
      <c r="K370" s="713">
        <v>350</v>
      </c>
      <c r="L370" s="713">
        <v>32</v>
      </c>
      <c r="M370" s="352" t="s">
        <v>27</v>
      </c>
    </row>
    <row r="371" spans="1:13" x14ac:dyDescent="0.35">
      <c r="A371">
        <v>370</v>
      </c>
      <c r="B371" s="751" t="s">
        <v>1242</v>
      </c>
      <c r="C371" s="713">
        <v>420</v>
      </c>
      <c r="D371" s="713">
        <v>186</v>
      </c>
      <c r="E371" s="713">
        <v>20</v>
      </c>
      <c r="F371" s="713">
        <v>453</v>
      </c>
      <c r="G371" s="713"/>
      <c r="H371" s="722"/>
      <c r="I371" s="722"/>
      <c r="J371" s="713">
        <v>69</v>
      </c>
      <c r="K371" s="713">
        <v>109</v>
      </c>
      <c r="L371" s="713">
        <v>242</v>
      </c>
      <c r="M371" s="352" t="s">
        <v>27</v>
      </c>
    </row>
    <row r="372" spans="1:13" x14ac:dyDescent="0.35">
      <c r="A372">
        <v>371</v>
      </c>
      <c r="B372" s="751" t="s">
        <v>1239</v>
      </c>
      <c r="C372" s="713">
        <v>68</v>
      </c>
      <c r="D372" s="721"/>
      <c r="E372" s="721"/>
      <c r="F372" s="713">
        <v>24</v>
      </c>
      <c r="G372" s="721"/>
      <c r="H372" s="722"/>
      <c r="I372" s="722"/>
      <c r="J372" s="721"/>
      <c r="K372" s="713">
        <v>48</v>
      </c>
      <c r="L372" s="713">
        <v>20</v>
      </c>
      <c r="M372" s="352" t="s">
        <v>27</v>
      </c>
    </row>
    <row r="373" spans="1:13" x14ac:dyDescent="0.35">
      <c r="A373">
        <v>372</v>
      </c>
      <c r="B373" s="751" t="s">
        <v>1246</v>
      </c>
      <c r="C373" s="713">
        <v>34</v>
      </c>
      <c r="D373" s="721"/>
      <c r="E373" s="721"/>
      <c r="F373" s="713">
        <v>12</v>
      </c>
      <c r="G373" s="721"/>
      <c r="H373" s="721"/>
      <c r="I373" s="721"/>
      <c r="J373" s="713">
        <v>12</v>
      </c>
      <c r="K373" s="713">
        <v>6</v>
      </c>
      <c r="L373" s="713">
        <v>16</v>
      </c>
      <c r="M373" s="352" t="s">
        <v>27</v>
      </c>
    </row>
    <row r="374" spans="1:13" x14ac:dyDescent="0.35">
      <c r="A374">
        <v>373</v>
      </c>
      <c r="B374" s="751" t="s">
        <v>1235</v>
      </c>
      <c r="C374" s="713">
        <v>17</v>
      </c>
      <c r="D374" s="713">
        <v>130</v>
      </c>
      <c r="E374" s="713">
        <v>4</v>
      </c>
      <c r="F374" s="713">
        <v>103</v>
      </c>
      <c r="G374" s="713"/>
      <c r="H374" s="713"/>
      <c r="I374" s="713"/>
      <c r="J374" s="721"/>
      <c r="K374" s="713">
        <v>3</v>
      </c>
      <c r="L374" s="713">
        <v>14</v>
      </c>
      <c r="M374" s="352" t="s">
        <v>27</v>
      </c>
    </row>
    <row r="375" spans="1:13" x14ac:dyDescent="0.35">
      <c r="A375">
        <v>374</v>
      </c>
      <c r="B375" s="751" t="s">
        <v>1236</v>
      </c>
      <c r="C375" s="721"/>
      <c r="D375" s="721"/>
      <c r="E375" s="721"/>
      <c r="F375" s="721"/>
      <c r="G375" s="721"/>
      <c r="H375" s="713"/>
      <c r="I375" s="721"/>
      <c r="J375" s="721"/>
      <c r="K375" s="721"/>
      <c r="L375" s="721"/>
      <c r="M375" s="352" t="s">
        <v>27</v>
      </c>
    </row>
    <row r="376" spans="1:13" x14ac:dyDescent="0.35">
      <c r="A376">
        <v>375</v>
      </c>
      <c r="B376" s="751" t="s">
        <v>1237</v>
      </c>
      <c r="C376" s="721"/>
      <c r="D376" s="721"/>
      <c r="E376" s="721"/>
      <c r="F376" s="721"/>
      <c r="G376" s="721"/>
      <c r="H376" s="713"/>
      <c r="I376" s="713"/>
      <c r="J376" s="721"/>
      <c r="K376" s="721"/>
      <c r="L376" s="721"/>
      <c r="M376" s="352" t="s">
        <v>27</v>
      </c>
    </row>
    <row r="377" spans="1:13" x14ac:dyDescent="0.35">
      <c r="A377">
        <v>376</v>
      </c>
      <c r="B377" s="751" t="s">
        <v>1241</v>
      </c>
      <c r="C377" s="721"/>
      <c r="D377" s="721"/>
      <c r="E377" s="721"/>
      <c r="F377" s="721"/>
      <c r="G377" s="721"/>
      <c r="H377" s="722"/>
      <c r="I377" s="722"/>
      <c r="J377" s="721"/>
      <c r="K377" s="721"/>
      <c r="L377" s="721"/>
      <c r="M377" s="352" t="s">
        <v>27</v>
      </c>
    </row>
    <row r="378" spans="1:13" x14ac:dyDescent="0.35">
      <c r="A378">
        <v>377</v>
      </c>
      <c r="B378" s="751" t="s">
        <v>1245</v>
      </c>
      <c r="C378" s="721"/>
      <c r="D378" s="721"/>
      <c r="E378" s="721"/>
      <c r="F378" s="721"/>
      <c r="G378" s="721"/>
      <c r="H378" s="713"/>
      <c r="I378" s="713"/>
      <c r="J378" s="721"/>
      <c r="K378" s="721"/>
      <c r="L378" s="721"/>
      <c r="M378" s="352" t="s">
        <v>27</v>
      </c>
    </row>
    <row r="379" spans="1:13" x14ac:dyDescent="0.35">
      <c r="A379">
        <v>378</v>
      </c>
      <c r="B379" s="751" t="s">
        <v>1247</v>
      </c>
      <c r="C379" s="721"/>
      <c r="D379" s="721"/>
      <c r="E379" s="721"/>
      <c r="F379" s="721"/>
      <c r="G379" s="721"/>
      <c r="H379" s="721"/>
      <c r="I379" s="721"/>
      <c r="J379" s="721"/>
      <c r="K379" s="721"/>
      <c r="L379" s="721"/>
      <c r="M379" s="352" t="s">
        <v>27</v>
      </c>
    </row>
    <row r="380" spans="1:13" x14ac:dyDescent="0.35">
      <c r="A380">
        <v>379</v>
      </c>
      <c r="B380" s="757" t="s">
        <v>1383</v>
      </c>
      <c r="C380" s="578">
        <v>4864</v>
      </c>
      <c r="D380" s="578">
        <v>985</v>
      </c>
      <c r="E380" s="578">
        <v>2287</v>
      </c>
      <c r="F380" s="578">
        <v>5021</v>
      </c>
      <c r="G380" s="578"/>
      <c r="H380" s="578"/>
      <c r="I380" s="580"/>
      <c r="J380" s="578">
        <v>934</v>
      </c>
      <c r="K380" s="578">
        <v>2322</v>
      </c>
      <c r="L380" s="578">
        <v>1608</v>
      </c>
      <c r="M380" s="352" t="s">
        <v>28</v>
      </c>
    </row>
    <row r="381" spans="1:13" x14ac:dyDescent="0.35">
      <c r="A381">
        <v>380</v>
      </c>
      <c r="B381" s="757" t="s">
        <v>1384</v>
      </c>
      <c r="C381" s="578">
        <v>3960</v>
      </c>
      <c r="D381" s="578">
        <v>578</v>
      </c>
      <c r="E381" s="578">
        <v>476</v>
      </c>
      <c r="F381" s="578">
        <v>3216</v>
      </c>
      <c r="G381" s="578"/>
      <c r="H381" s="578"/>
      <c r="I381" s="578"/>
      <c r="J381" s="578">
        <v>2869</v>
      </c>
      <c r="K381" s="578">
        <v>823</v>
      </c>
      <c r="L381" s="578">
        <v>268</v>
      </c>
      <c r="M381" s="352" t="s">
        <v>28</v>
      </c>
    </row>
    <row r="382" spans="1:13" x14ac:dyDescent="0.35">
      <c r="A382">
        <v>381</v>
      </c>
      <c r="B382" s="757" t="s">
        <v>1385</v>
      </c>
      <c r="C382" s="578">
        <v>2432</v>
      </c>
      <c r="D382" s="578">
        <v>196</v>
      </c>
      <c r="E382" s="578">
        <v>98</v>
      </c>
      <c r="F382" s="578">
        <v>3502</v>
      </c>
      <c r="G382" s="578"/>
      <c r="H382" s="580"/>
      <c r="I382" s="580"/>
      <c r="J382" s="578">
        <v>1268</v>
      </c>
      <c r="K382" s="578">
        <v>499</v>
      </c>
      <c r="L382" s="578">
        <v>665</v>
      </c>
      <c r="M382" s="352" t="s">
        <v>28</v>
      </c>
    </row>
    <row r="383" spans="1:13" x14ac:dyDescent="0.35">
      <c r="A383">
        <v>382</v>
      </c>
      <c r="B383" s="745" t="s">
        <v>1250</v>
      </c>
      <c r="C383" s="578">
        <v>1674</v>
      </c>
      <c r="D383" s="578">
        <v>560</v>
      </c>
      <c r="E383" s="578">
        <v>325</v>
      </c>
      <c r="F383" s="578">
        <v>1827</v>
      </c>
      <c r="G383" s="578"/>
      <c r="H383" s="580"/>
      <c r="I383" s="580"/>
      <c r="J383" s="578">
        <v>652</v>
      </c>
      <c r="K383" s="578">
        <v>580</v>
      </c>
      <c r="L383" s="578">
        <v>442</v>
      </c>
      <c r="M383" s="352" t="s">
        <v>28</v>
      </c>
    </row>
    <row r="384" spans="1:13" x14ac:dyDescent="0.35">
      <c r="A384">
        <v>383</v>
      </c>
      <c r="B384" s="745" t="s">
        <v>1253</v>
      </c>
      <c r="C384" s="578">
        <v>1247</v>
      </c>
      <c r="D384" s="578">
        <v>259</v>
      </c>
      <c r="E384" s="578">
        <v>112</v>
      </c>
      <c r="F384" s="578">
        <v>1029</v>
      </c>
      <c r="G384" s="578"/>
      <c r="H384" s="578"/>
      <c r="I384" s="578"/>
      <c r="J384" s="578">
        <v>280</v>
      </c>
      <c r="K384" s="578">
        <v>432</v>
      </c>
      <c r="L384" s="578">
        <v>535</v>
      </c>
      <c r="M384" s="352" t="s">
        <v>28</v>
      </c>
    </row>
    <row r="385" spans="1:13" x14ac:dyDescent="0.35">
      <c r="A385">
        <v>384</v>
      </c>
      <c r="B385" s="745" t="s">
        <v>1254</v>
      </c>
      <c r="C385" s="724"/>
      <c r="D385" s="724"/>
      <c r="E385" s="724"/>
      <c r="F385" s="724"/>
      <c r="G385" s="724"/>
      <c r="H385" s="170"/>
      <c r="I385" s="170"/>
      <c r="J385" s="724"/>
      <c r="K385" s="724"/>
      <c r="L385" s="724"/>
      <c r="M385" s="352" t="s">
        <v>28</v>
      </c>
    </row>
    <row r="386" spans="1:13" x14ac:dyDescent="0.35">
      <c r="A386">
        <v>385</v>
      </c>
      <c r="B386" s="746" t="s">
        <v>1261</v>
      </c>
      <c r="C386" s="581">
        <v>67467</v>
      </c>
      <c r="D386" s="581">
        <v>621</v>
      </c>
      <c r="E386" s="581">
        <v>25708</v>
      </c>
      <c r="F386" s="581">
        <v>37667</v>
      </c>
      <c r="G386" s="581"/>
      <c r="H386" s="257"/>
      <c r="I386" s="257"/>
      <c r="J386" s="581">
        <v>8520</v>
      </c>
      <c r="K386" s="581">
        <v>41365</v>
      </c>
      <c r="L386" s="581">
        <v>17582</v>
      </c>
      <c r="M386" s="352" t="s">
        <v>29</v>
      </c>
    </row>
    <row r="387" spans="1:13" x14ac:dyDescent="0.35">
      <c r="A387">
        <v>386</v>
      </c>
      <c r="B387" s="746" t="s">
        <v>1256</v>
      </c>
      <c r="C387" s="581">
        <v>45953</v>
      </c>
      <c r="D387" s="581">
        <v>628</v>
      </c>
      <c r="E387" s="581">
        <v>15534</v>
      </c>
      <c r="F387" s="581">
        <v>19508</v>
      </c>
      <c r="G387" s="581"/>
      <c r="H387" s="582"/>
      <c r="I387" s="581"/>
      <c r="J387" s="581">
        <v>7375</v>
      </c>
      <c r="K387" s="581">
        <v>24751</v>
      </c>
      <c r="L387" s="581">
        <v>13827</v>
      </c>
      <c r="M387" s="352" t="s">
        <v>29</v>
      </c>
    </row>
    <row r="388" spans="1:13" x14ac:dyDescent="0.35">
      <c r="A388">
        <v>387</v>
      </c>
      <c r="B388" s="746" t="s">
        <v>1258</v>
      </c>
      <c r="C388" s="581">
        <v>38377</v>
      </c>
      <c r="D388" s="581">
        <v>822</v>
      </c>
      <c r="E388" s="581">
        <v>23563</v>
      </c>
      <c r="F388" s="581">
        <v>37039</v>
      </c>
      <c r="G388" s="581"/>
      <c r="H388" s="582"/>
      <c r="I388" s="581"/>
      <c r="J388" s="581">
        <v>5637</v>
      </c>
      <c r="K388" s="581">
        <v>28650</v>
      </c>
      <c r="L388" s="581">
        <v>4090</v>
      </c>
      <c r="M388" s="352" t="s">
        <v>29</v>
      </c>
    </row>
    <row r="389" spans="1:13" x14ac:dyDescent="0.35">
      <c r="A389">
        <v>388</v>
      </c>
      <c r="B389" s="746" t="s">
        <v>1259</v>
      </c>
      <c r="C389" s="581">
        <v>30595</v>
      </c>
      <c r="D389" s="581">
        <v>730</v>
      </c>
      <c r="E389" s="581">
        <v>18202</v>
      </c>
      <c r="F389" s="581">
        <v>23929</v>
      </c>
      <c r="G389" s="581"/>
      <c r="H389" s="582"/>
      <c r="I389" s="581"/>
      <c r="J389" s="581">
        <v>1581</v>
      </c>
      <c r="K389" s="581">
        <v>24934</v>
      </c>
      <c r="L389" s="581">
        <v>4081</v>
      </c>
      <c r="M389" s="352" t="s">
        <v>29</v>
      </c>
    </row>
    <row r="390" spans="1:13" x14ac:dyDescent="0.35">
      <c r="A390">
        <v>389</v>
      </c>
      <c r="B390" s="746" t="s">
        <v>1262</v>
      </c>
      <c r="C390" s="581">
        <v>27885</v>
      </c>
      <c r="D390" s="581">
        <v>985</v>
      </c>
      <c r="E390" s="581">
        <v>19356</v>
      </c>
      <c r="F390" s="581">
        <v>11483</v>
      </c>
      <c r="G390" s="581"/>
      <c r="H390" s="257"/>
      <c r="I390" s="257"/>
      <c r="J390" s="581">
        <v>6261</v>
      </c>
      <c r="K390" s="581">
        <v>19650</v>
      </c>
      <c r="L390" s="581">
        <v>1974</v>
      </c>
      <c r="M390" s="352" t="s">
        <v>29</v>
      </c>
    </row>
    <row r="391" spans="1:13" x14ac:dyDescent="0.35">
      <c r="A391">
        <v>390</v>
      </c>
      <c r="B391" s="746" t="s">
        <v>1331</v>
      </c>
      <c r="C391" s="581">
        <v>21154</v>
      </c>
      <c r="D391" s="581">
        <v>690</v>
      </c>
      <c r="E391" s="581">
        <v>10462</v>
      </c>
      <c r="F391" s="581">
        <v>15021</v>
      </c>
      <c r="G391" s="581"/>
      <c r="H391" s="583"/>
      <c r="I391" s="583"/>
      <c r="J391" s="581">
        <v>132</v>
      </c>
      <c r="K391" s="581">
        <v>15162</v>
      </c>
      <c r="L391" s="581" t="s">
        <v>1335</v>
      </c>
      <c r="M391" s="352" t="s">
        <v>29</v>
      </c>
    </row>
    <row r="392" spans="1:13" x14ac:dyDescent="0.35">
      <c r="A392">
        <v>391</v>
      </c>
      <c r="B392" s="746" t="s">
        <v>1264</v>
      </c>
      <c r="C392" s="581">
        <v>14410</v>
      </c>
      <c r="D392" s="581">
        <v>505</v>
      </c>
      <c r="E392" s="581">
        <v>5263</v>
      </c>
      <c r="F392" s="581">
        <v>7125</v>
      </c>
      <c r="G392" s="581"/>
      <c r="H392" s="257"/>
      <c r="I392" s="257"/>
      <c r="J392" s="581">
        <v>901</v>
      </c>
      <c r="K392" s="581">
        <v>10429</v>
      </c>
      <c r="L392" s="581">
        <v>3080</v>
      </c>
      <c r="M392" s="352" t="s">
        <v>29</v>
      </c>
    </row>
    <row r="393" spans="1:13" x14ac:dyDescent="0.35">
      <c r="A393">
        <v>392</v>
      </c>
      <c r="B393" s="746" t="s">
        <v>1332</v>
      </c>
      <c r="C393" s="581">
        <v>11981</v>
      </c>
      <c r="D393" s="581">
        <v>634</v>
      </c>
      <c r="E393" s="581">
        <v>5291</v>
      </c>
      <c r="F393" s="581">
        <v>6366</v>
      </c>
      <c r="G393" s="581"/>
      <c r="H393" s="257"/>
      <c r="I393" s="257"/>
      <c r="J393" s="581">
        <v>2389</v>
      </c>
      <c r="K393" s="581">
        <v>8350</v>
      </c>
      <c r="L393" s="581">
        <v>1242</v>
      </c>
      <c r="M393" s="352" t="s">
        <v>29</v>
      </c>
    </row>
    <row r="394" spans="1:13" x14ac:dyDescent="0.35">
      <c r="A394">
        <v>393</v>
      </c>
      <c r="B394" s="746" t="s">
        <v>1260</v>
      </c>
      <c r="C394" s="581">
        <v>7431</v>
      </c>
      <c r="D394" s="581">
        <v>662</v>
      </c>
      <c r="E394" s="581">
        <v>2885</v>
      </c>
      <c r="F394" s="581">
        <v>6217</v>
      </c>
      <c r="G394" s="581"/>
      <c r="H394" s="257"/>
      <c r="I394" s="257"/>
      <c r="J394" s="581">
        <v>2073</v>
      </c>
      <c r="K394" s="581">
        <v>4361</v>
      </c>
      <c r="L394" s="581">
        <v>997</v>
      </c>
      <c r="M394" s="352" t="s">
        <v>29</v>
      </c>
    </row>
    <row r="395" spans="1:13" x14ac:dyDescent="0.35">
      <c r="A395">
        <v>394</v>
      </c>
      <c r="B395" s="746" t="s">
        <v>1255</v>
      </c>
      <c r="C395" s="581">
        <v>6287</v>
      </c>
      <c r="D395" s="581">
        <v>93</v>
      </c>
      <c r="E395" s="581">
        <v>276</v>
      </c>
      <c r="F395" s="581">
        <v>4317</v>
      </c>
      <c r="G395" s="581"/>
      <c r="H395" s="582"/>
      <c r="I395" s="581"/>
      <c r="J395" s="581">
        <v>1219</v>
      </c>
      <c r="K395" s="581">
        <v>2975</v>
      </c>
      <c r="L395" s="581">
        <v>2093</v>
      </c>
      <c r="M395" s="352" t="s">
        <v>29</v>
      </c>
    </row>
    <row r="396" spans="1:13" x14ac:dyDescent="0.35">
      <c r="A396">
        <v>395</v>
      </c>
      <c r="B396" s="746" t="s">
        <v>1257</v>
      </c>
      <c r="C396" s="581">
        <v>5747</v>
      </c>
      <c r="D396" s="581">
        <v>421</v>
      </c>
      <c r="E396" s="581">
        <v>1934</v>
      </c>
      <c r="F396" s="581">
        <v>4911</v>
      </c>
      <c r="G396" s="581"/>
      <c r="H396" s="582"/>
      <c r="I396" s="582"/>
      <c r="J396" s="581">
        <v>884</v>
      </c>
      <c r="K396" s="581">
        <v>4599</v>
      </c>
      <c r="L396" s="581">
        <v>264</v>
      </c>
      <c r="M396" s="352" t="s">
        <v>29</v>
      </c>
    </row>
    <row r="397" spans="1:13" x14ac:dyDescent="0.35">
      <c r="A397">
        <v>396</v>
      </c>
      <c r="B397" s="746" t="s">
        <v>1263</v>
      </c>
      <c r="C397" s="581">
        <v>757</v>
      </c>
      <c r="D397" s="581">
        <v>162</v>
      </c>
      <c r="E397" s="581">
        <v>91</v>
      </c>
      <c r="F397" s="581">
        <v>688</v>
      </c>
      <c r="G397" s="581"/>
      <c r="H397" s="257"/>
      <c r="I397" s="257"/>
      <c r="J397" s="581">
        <v>112</v>
      </c>
      <c r="K397" s="581">
        <v>562</v>
      </c>
      <c r="L397" s="581">
        <v>84</v>
      </c>
      <c r="M397" s="352" t="s">
        <v>29</v>
      </c>
    </row>
    <row r="398" spans="1:13" x14ac:dyDescent="0.35">
      <c r="A398">
        <v>397</v>
      </c>
      <c r="B398" s="746" t="s">
        <v>1265</v>
      </c>
      <c r="C398" s="581">
        <v>215</v>
      </c>
      <c r="D398" s="581">
        <v>407</v>
      </c>
      <c r="E398" s="581">
        <v>52</v>
      </c>
      <c r="F398" s="581">
        <v>169</v>
      </c>
      <c r="G398" s="581"/>
      <c r="H398" s="257"/>
      <c r="I398" s="257"/>
      <c r="J398" s="581">
        <v>18</v>
      </c>
      <c r="K398" s="581">
        <v>128</v>
      </c>
      <c r="L398" s="581">
        <v>69</v>
      </c>
      <c r="M398" s="352" t="s">
        <v>29</v>
      </c>
    </row>
    <row r="399" spans="1:13" x14ac:dyDescent="0.35">
      <c r="A399">
        <v>398</v>
      </c>
      <c r="B399" s="752" t="s">
        <v>1284</v>
      </c>
      <c r="C399" s="725">
        <v>40814</v>
      </c>
      <c r="D399" s="725">
        <v>1005</v>
      </c>
      <c r="E399" s="725">
        <v>30855</v>
      </c>
      <c r="F399" s="725">
        <v>29481</v>
      </c>
      <c r="G399" s="726"/>
      <c r="H399" s="379"/>
      <c r="I399" s="379"/>
      <c r="J399" s="725">
        <v>7189</v>
      </c>
      <c r="K399" s="725">
        <v>30691</v>
      </c>
      <c r="L399" s="725">
        <v>2934</v>
      </c>
      <c r="M399" s="352" t="s">
        <v>30</v>
      </c>
    </row>
    <row r="400" spans="1:13" x14ac:dyDescent="0.35">
      <c r="A400">
        <v>399</v>
      </c>
      <c r="B400" s="753" t="s">
        <v>1282</v>
      </c>
      <c r="C400" s="725">
        <v>33845</v>
      </c>
      <c r="D400" s="725">
        <v>856</v>
      </c>
      <c r="E400" s="725">
        <v>22</v>
      </c>
      <c r="F400" s="725">
        <v>27750</v>
      </c>
      <c r="G400" s="725"/>
      <c r="H400" s="379"/>
      <c r="I400" s="379"/>
      <c r="J400" s="725">
        <v>3172</v>
      </c>
      <c r="K400" s="725">
        <v>2570</v>
      </c>
      <c r="L400" s="725">
        <v>4973</v>
      </c>
      <c r="M400" s="352" t="s">
        <v>30</v>
      </c>
    </row>
    <row r="401" spans="1:13" x14ac:dyDescent="0.35">
      <c r="A401">
        <v>400</v>
      </c>
      <c r="B401" s="753" t="s">
        <v>1280</v>
      </c>
      <c r="C401" s="725">
        <v>19584</v>
      </c>
      <c r="D401" s="725">
        <v>874</v>
      </c>
      <c r="E401" s="725">
        <v>1110</v>
      </c>
      <c r="F401" s="725">
        <v>2120</v>
      </c>
      <c r="G401" s="725"/>
      <c r="H401" s="379"/>
      <c r="I401" s="379"/>
      <c r="J401" s="725">
        <v>1299</v>
      </c>
      <c r="K401" s="725">
        <v>12704</v>
      </c>
      <c r="L401" s="725">
        <v>5581</v>
      </c>
      <c r="M401" s="352" t="s">
        <v>30</v>
      </c>
    </row>
    <row r="402" spans="1:13" x14ac:dyDescent="0.35">
      <c r="A402">
        <v>401</v>
      </c>
      <c r="B402" s="753" t="s">
        <v>1276</v>
      </c>
      <c r="C402" s="725">
        <v>16805</v>
      </c>
      <c r="D402" s="725">
        <v>590</v>
      </c>
      <c r="E402" s="725">
        <v>8159</v>
      </c>
      <c r="F402" s="725">
        <v>26803</v>
      </c>
      <c r="G402" s="725"/>
      <c r="H402" s="725"/>
      <c r="I402" s="725"/>
      <c r="J402" s="725">
        <v>1814</v>
      </c>
      <c r="K402" s="725">
        <v>13829</v>
      </c>
      <c r="L402" s="725">
        <v>1162</v>
      </c>
      <c r="M402" s="352" t="s">
        <v>30</v>
      </c>
    </row>
    <row r="403" spans="1:13" x14ac:dyDescent="0.35">
      <c r="A403">
        <v>402</v>
      </c>
      <c r="B403" s="753" t="s">
        <v>1278</v>
      </c>
      <c r="C403" s="725">
        <v>14574</v>
      </c>
      <c r="D403" s="725">
        <v>762</v>
      </c>
      <c r="E403" s="725">
        <v>10114</v>
      </c>
      <c r="F403" s="725">
        <v>23501</v>
      </c>
      <c r="G403" s="725"/>
      <c r="H403" s="725"/>
      <c r="I403" s="725"/>
      <c r="J403" s="725">
        <v>324</v>
      </c>
      <c r="K403" s="725">
        <v>13274</v>
      </c>
      <c r="L403" s="725">
        <v>976</v>
      </c>
      <c r="M403" s="352" t="s">
        <v>30</v>
      </c>
    </row>
    <row r="404" spans="1:13" x14ac:dyDescent="0.35">
      <c r="A404">
        <v>403</v>
      </c>
      <c r="B404" s="753" t="s">
        <v>1285</v>
      </c>
      <c r="C404" s="725">
        <v>13551</v>
      </c>
      <c r="D404" s="725">
        <v>742</v>
      </c>
      <c r="E404" s="725">
        <v>4275</v>
      </c>
      <c r="F404" s="725">
        <v>9629</v>
      </c>
      <c r="G404" s="725"/>
      <c r="H404" s="379"/>
      <c r="I404" s="379"/>
      <c r="J404" s="725">
        <v>3213</v>
      </c>
      <c r="K404" s="725">
        <v>5763</v>
      </c>
      <c r="L404" s="725">
        <v>4575</v>
      </c>
      <c r="M404" s="352" t="s">
        <v>30</v>
      </c>
    </row>
    <row r="405" spans="1:13" x14ac:dyDescent="0.35">
      <c r="A405">
        <v>404</v>
      </c>
      <c r="B405" s="753" t="s">
        <v>1277</v>
      </c>
      <c r="C405" s="725">
        <v>10535</v>
      </c>
      <c r="D405" s="725">
        <v>500</v>
      </c>
      <c r="E405" s="725">
        <v>4158</v>
      </c>
      <c r="F405" s="725">
        <v>15935</v>
      </c>
      <c r="G405" s="725"/>
      <c r="H405" s="726"/>
      <c r="I405" s="726"/>
      <c r="J405" s="725">
        <v>1667</v>
      </c>
      <c r="K405" s="725">
        <v>8316</v>
      </c>
      <c r="L405" s="725">
        <v>552</v>
      </c>
      <c r="M405" s="352" t="s">
        <v>30</v>
      </c>
    </row>
    <row r="406" spans="1:13" x14ac:dyDescent="0.35">
      <c r="A406">
        <v>405</v>
      </c>
      <c r="B406" s="753" t="s">
        <v>1267</v>
      </c>
      <c r="C406" s="725">
        <v>7418</v>
      </c>
      <c r="D406" s="725">
        <v>825</v>
      </c>
      <c r="E406" s="725">
        <v>4403</v>
      </c>
      <c r="F406" s="725">
        <v>8935</v>
      </c>
      <c r="G406" s="725"/>
      <c r="H406" s="726"/>
      <c r="I406" s="726"/>
      <c r="J406" s="725">
        <v>1525</v>
      </c>
      <c r="K406" s="725">
        <v>5340</v>
      </c>
      <c r="L406" s="725">
        <v>553</v>
      </c>
      <c r="M406" s="352" t="s">
        <v>30</v>
      </c>
    </row>
    <row r="407" spans="1:13" x14ac:dyDescent="0.35">
      <c r="A407">
        <v>406</v>
      </c>
      <c r="B407" s="753" t="s">
        <v>1279</v>
      </c>
      <c r="C407" s="725">
        <v>6896</v>
      </c>
      <c r="D407" s="725">
        <v>811</v>
      </c>
      <c r="E407" s="725">
        <v>4560</v>
      </c>
      <c r="F407" s="725">
        <v>5247</v>
      </c>
      <c r="G407" s="725"/>
      <c r="H407" s="379"/>
      <c r="I407" s="379"/>
      <c r="J407" s="725">
        <v>373</v>
      </c>
      <c r="K407" s="725">
        <v>5623</v>
      </c>
      <c r="L407" s="725">
        <v>900</v>
      </c>
      <c r="M407" s="352" t="s">
        <v>30</v>
      </c>
    </row>
    <row r="408" spans="1:13" x14ac:dyDescent="0.35">
      <c r="A408">
        <v>407</v>
      </c>
      <c r="B408" s="753" t="s">
        <v>1281</v>
      </c>
      <c r="C408" s="725">
        <v>6534</v>
      </c>
      <c r="D408" s="725">
        <v>616</v>
      </c>
      <c r="E408" s="725">
        <v>2124</v>
      </c>
      <c r="F408" s="725">
        <v>5750</v>
      </c>
      <c r="G408" s="725"/>
      <c r="H408" s="379"/>
      <c r="I408" s="379"/>
      <c r="J408" s="725">
        <v>91</v>
      </c>
      <c r="K408" s="725">
        <v>3449</v>
      </c>
      <c r="L408" s="725">
        <v>2994</v>
      </c>
      <c r="M408" s="352" t="s">
        <v>30</v>
      </c>
    </row>
    <row r="409" spans="1:13" x14ac:dyDescent="0.35">
      <c r="A409">
        <v>408</v>
      </c>
      <c r="B409" s="753" t="s">
        <v>1268</v>
      </c>
      <c r="C409" s="725">
        <v>4913</v>
      </c>
      <c r="D409" s="725">
        <v>810</v>
      </c>
      <c r="E409" s="725">
        <v>3644</v>
      </c>
      <c r="F409" s="725">
        <v>6386</v>
      </c>
      <c r="G409" s="725"/>
      <c r="H409" s="726"/>
      <c r="I409" s="726"/>
      <c r="J409" s="725">
        <v>371</v>
      </c>
      <c r="K409" s="725">
        <v>4501</v>
      </c>
      <c r="L409" s="725">
        <v>41</v>
      </c>
      <c r="M409" s="352" t="s">
        <v>30</v>
      </c>
    </row>
    <row r="410" spans="1:13" x14ac:dyDescent="0.35">
      <c r="A410">
        <v>409</v>
      </c>
      <c r="B410" s="753" t="s">
        <v>1272</v>
      </c>
      <c r="C410" s="725">
        <v>4315</v>
      </c>
      <c r="D410" s="725">
        <v>90</v>
      </c>
      <c r="E410" s="725">
        <v>278</v>
      </c>
      <c r="F410" s="725">
        <v>10064</v>
      </c>
      <c r="G410" s="725"/>
      <c r="H410" s="726"/>
      <c r="I410" s="726"/>
      <c r="J410" s="725">
        <v>555</v>
      </c>
      <c r="K410" s="725">
        <v>3076</v>
      </c>
      <c r="L410" s="725">
        <v>684</v>
      </c>
      <c r="M410" s="352" t="s">
        <v>30</v>
      </c>
    </row>
    <row r="411" spans="1:13" x14ac:dyDescent="0.35">
      <c r="A411">
        <v>410</v>
      </c>
      <c r="B411" s="753" t="s">
        <v>1283</v>
      </c>
      <c r="C411" s="725">
        <v>4226</v>
      </c>
      <c r="D411" s="725">
        <v>506</v>
      </c>
      <c r="E411" s="725">
        <v>1334</v>
      </c>
      <c r="F411" s="725">
        <v>14074</v>
      </c>
      <c r="G411" s="725"/>
      <c r="H411" s="379"/>
      <c r="I411" s="379"/>
      <c r="J411" s="725">
        <v>494</v>
      </c>
      <c r="K411" s="725">
        <v>2634</v>
      </c>
      <c r="L411" s="725">
        <v>1098</v>
      </c>
      <c r="M411" s="352" t="s">
        <v>30</v>
      </c>
    </row>
    <row r="412" spans="1:13" x14ac:dyDescent="0.35">
      <c r="A412">
        <v>411</v>
      </c>
      <c r="B412" s="753" t="s">
        <v>1271</v>
      </c>
      <c r="C412" s="725">
        <v>3510</v>
      </c>
      <c r="D412" s="725">
        <v>497</v>
      </c>
      <c r="E412" s="725">
        <v>1147</v>
      </c>
      <c r="F412" s="725">
        <v>7044</v>
      </c>
      <c r="G412" s="725"/>
      <c r="H412" s="726"/>
      <c r="I412" s="726"/>
      <c r="J412" s="725">
        <v>216</v>
      </c>
      <c r="K412" s="725">
        <v>2310</v>
      </c>
      <c r="L412" s="725">
        <v>984</v>
      </c>
      <c r="M412" s="352" t="s">
        <v>30</v>
      </c>
    </row>
    <row r="413" spans="1:13" x14ac:dyDescent="0.35">
      <c r="A413">
        <v>412</v>
      </c>
      <c r="B413" s="753" t="s">
        <v>1289</v>
      </c>
      <c r="C413" s="725">
        <v>2604</v>
      </c>
      <c r="D413" s="725">
        <v>536</v>
      </c>
      <c r="E413" s="725">
        <v>988</v>
      </c>
      <c r="F413" s="725">
        <v>2258</v>
      </c>
      <c r="G413" s="725"/>
      <c r="H413" s="379"/>
      <c r="I413" s="379"/>
      <c r="J413" s="725">
        <v>306</v>
      </c>
      <c r="K413" s="725">
        <v>1843</v>
      </c>
      <c r="L413" s="725">
        <v>455</v>
      </c>
      <c r="M413" s="352" t="s">
        <v>30</v>
      </c>
    </row>
    <row r="414" spans="1:13" x14ac:dyDescent="0.35">
      <c r="A414">
        <v>413</v>
      </c>
      <c r="B414" s="753" t="s">
        <v>1273</v>
      </c>
      <c r="C414" s="725">
        <v>1585</v>
      </c>
      <c r="D414" s="725">
        <v>401</v>
      </c>
      <c r="E414" s="725">
        <v>442</v>
      </c>
      <c r="F414" s="725">
        <v>1701</v>
      </c>
      <c r="G414" s="725"/>
      <c r="H414" s="726"/>
      <c r="I414" s="726"/>
      <c r="J414" s="725">
        <v>133</v>
      </c>
      <c r="K414" s="725">
        <v>1103</v>
      </c>
      <c r="L414" s="725">
        <v>349</v>
      </c>
      <c r="M414" s="352" t="s">
        <v>30</v>
      </c>
    </row>
    <row r="415" spans="1:13" x14ac:dyDescent="0.35">
      <c r="A415">
        <v>414</v>
      </c>
      <c r="B415" s="753" t="s">
        <v>1286</v>
      </c>
      <c r="C415" s="725">
        <v>1548</v>
      </c>
      <c r="D415" s="725">
        <v>348</v>
      </c>
      <c r="E415" s="725">
        <v>297</v>
      </c>
      <c r="F415" s="725">
        <v>4550</v>
      </c>
      <c r="G415" s="725"/>
      <c r="H415" s="379"/>
      <c r="I415" s="379"/>
      <c r="J415" s="727"/>
      <c r="K415" s="725">
        <v>853</v>
      </c>
      <c r="L415" s="725">
        <v>695</v>
      </c>
      <c r="M415" s="352" t="s">
        <v>30</v>
      </c>
    </row>
    <row r="416" spans="1:13" x14ac:dyDescent="0.35">
      <c r="A416">
        <v>415</v>
      </c>
      <c r="B416" s="753" t="s">
        <v>1275</v>
      </c>
      <c r="C416" s="725">
        <v>759</v>
      </c>
      <c r="D416" s="725">
        <v>501</v>
      </c>
      <c r="E416" s="725">
        <v>273</v>
      </c>
      <c r="F416" s="725">
        <v>1550</v>
      </c>
      <c r="G416" s="725"/>
      <c r="H416" s="726"/>
      <c r="I416" s="726"/>
      <c r="J416" s="725">
        <v>36</v>
      </c>
      <c r="K416" s="725">
        <v>545</v>
      </c>
      <c r="L416" s="725">
        <v>178</v>
      </c>
      <c r="M416" s="352" t="s">
        <v>30</v>
      </c>
    </row>
    <row r="417" spans="1:13" x14ac:dyDescent="0.35">
      <c r="A417">
        <v>416</v>
      </c>
      <c r="B417" s="753" t="s">
        <v>1266</v>
      </c>
      <c r="C417" s="725">
        <v>554</v>
      </c>
      <c r="D417" s="725">
        <v>441</v>
      </c>
      <c r="E417" s="725">
        <v>181</v>
      </c>
      <c r="F417" s="725">
        <v>1021</v>
      </c>
      <c r="G417" s="725"/>
      <c r="H417" s="726"/>
      <c r="I417" s="725"/>
      <c r="J417" s="725">
        <v>25</v>
      </c>
      <c r="K417" s="725">
        <v>410</v>
      </c>
      <c r="L417" s="725">
        <v>119</v>
      </c>
      <c r="M417" s="352" t="s">
        <v>30</v>
      </c>
    </row>
    <row r="418" spans="1:13" x14ac:dyDescent="0.35">
      <c r="A418">
        <v>417</v>
      </c>
      <c r="B418" s="753" t="s">
        <v>1274</v>
      </c>
      <c r="C418" s="725">
        <v>302</v>
      </c>
      <c r="D418" s="725">
        <v>401</v>
      </c>
      <c r="E418" s="725">
        <v>63</v>
      </c>
      <c r="F418" s="725">
        <v>598</v>
      </c>
      <c r="G418" s="725"/>
      <c r="H418" s="726"/>
      <c r="I418" s="726"/>
      <c r="J418" s="725">
        <v>87</v>
      </c>
      <c r="K418" s="725">
        <v>157</v>
      </c>
      <c r="L418" s="725">
        <v>58</v>
      </c>
      <c r="M418" s="352" t="s">
        <v>30</v>
      </c>
    </row>
    <row r="419" spans="1:13" x14ac:dyDescent="0.35">
      <c r="A419">
        <v>418</v>
      </c>
      <c r="B419" s="753" t="s">
        <v>1269</v>
      </c>
      <c r="C419" s="725">
        <v>153</v>
      </c>
      <c r="D419" s="725">
        <v>249</v>
      </c>
      <c r="E419" s="725">
        <v>20</v>
      </c>
      <c r="F419" s="725">
        <v>431</v>
      </c>
      <c r="G419" s="725"/>
      <c r="H419" s="726"/>
      <c r="I419" s="726"/>
      <c r="J419" s="725">
        <v>50</v>
      </c>
      <c r="K419" s="725">
        <v>79</v>
      </c>
      <c r="L419" s="725">
        <v>24</v>
      </c>
      <c r="M419" s="352" t="s">
        <v>30</v>
      </c>
    </row>
    <row r="420" spans="1:13" x14ac:dyDescent="0.35">
      <c r="A420">
        <v>419</v>
      </c>
      <c r="B420" s="753" t="s">
        <v>1270</v>
      </c>
      <c r="C420" s="725">
        <v>25</v>
      </c>
      <c r="D420" s="725">
        <v>200</v>
      </c>
      <c r="E420" s="725">
        <v>4</v>
      </c>
      <c r="F420" s="725">
        <v>131</v>
      </c>
      <c r="G420" s="725"/>
      <c r="H420" s="726"/>
      <c r="I420" s="726"/>
      <c r="J420" s="727"/>
      <c r="K420" s="725">
        <v>20</v>
      </c>
      <c r="L420" s="725">
        <v>5</v>
      </c>
      <c r="M420" s="352" t="s">
        <v>30</v>
      </c>
    </row>
    <row r="421" spans="1:13" x14ac:dyDescent="0.35">
      <c r="A421">
        <v>420</v>
      </c>
      <c r="B421" s="753" t="s">
        <v>1287</v>
      </c>
      <c r="C421" s="727"/>
      <c r="D421" s="728"/>
      <c r="E421" s="728"/>
      <c r="F421" s="727"/>
      <c r="G421" s="728"/>
      <c r="H421" s="379"/>
      <c r="I421" s="379"/>
      <c r="J421" s="727"/>
      <c r="K421" s="727"/>
      <c r="L421" s="727"/>
      <c r="M421" s="352" t="s">
        <v>30</v>
      </c>
    </row>
    <row r="422" spans="1:13" x14ac:dyDescent="0.35">
      <c r="A422">
        <v>421</v>
      </c>
      <c r="B422" s="753" t="s">
        <v>1288</v>
      </c>
      <c r="C422" s="727"/>
      <c r="D422" s="728"/>
      <c r="E422" s="728"/>
      <c r="F422" s="727"/>
      <c r="G422" s="728"/>
      <c r="H422" s="379"/>
      <c r="I422" s="379"/>
      <c r="J422" s="727"/>
      <c r="K422" s="727"/>
      <c r="L422" s="727"/>
      <c r="M422" s="352" t="s">
        <v>30</v>
      </c>
    </row>
    <row r="423" spans="1:13" x14ac:dyDescent="0.35">
      <c r="A423">
        <v>422</v>
      </c>
      <c r="B423" s="754" t="s">
        <v>1291</v>
      </c>
      <c r="C423" s="846" t="s">
        <v>1337</v>
      </c>
      <c r="D423" s="846">
        <v>876</v>
      </c>
      <c r="E423" s="846">
        <v>36452</v>
      </c>
      <c r="F423" s="846">
        <v>46554</v>
      </c>
      <c r="G423" s="846"/>
      <c r="H423" s="846"/>
      <c r="I423" s="846"/>
      <c r="J423" s="846">
        <v>1591</v>
      </c>
      <c r="K423" s="846">
        <v>41609</v>
      </c>
      <c r="L423" s="846" t="s">
        <v>1338</v>
      </c>
      <c r="M423" s="352" t="s">
        <v>31</v>
      </c>
    </row>
    <row r="424" spans="1:13" x14ac:dyDescent="0.35">
      <c r="A424">
        <v>423</v>
      </c>
      <c r="B424" s="754" t="s">
        <v>1292</v>
      </c>
      <c r="C424" s="846" t="s">
        <v>1339</v>
      </c>
      <c r="D424" s="846">
        <v>664</v>
      </c>
      <c r="E424" s="846">
        <v>7224</v>
      </c>
      <c r="F424" s="846">
        <v>14071</v>
      </c>
      <c r="G424" s="846"/>
      <c r="H424" s="846"/>
      <c r="I424" s="846"/>
      <c r="J424" s="846">
        <v>116</v>
      </c>
      <c r="K424" s="846">
        <v>10878</v>
      </c>
      <c r="L424" s="846">
        <v>3466</v>
      </c>
      <c r="M424" s="352" t="s">
        <v>31</v>
      </c>
    </row>
    <row r="425" spans="1:13" x14ac:dyDescent="0.35">
      <c r="A425">
        <v>424</v>
      </c>
      <c r="B425" s="754" t="s">
        <v>1293</v>
      </c>
      <c r="C425" s="846">
        <v>39831</v>
      </c>
      <c r="D425" s="846">
        <v>672</v>
      </c>
      <c r="E425" s="846">
        <v>11653</v>
      </c>
      <c r="F425" s="846">
        <v>32521</v>
      </c>
      <c r="G425" s="846"/>
      <c r="H425" s="846"/>
      <c r="I425" s="846"/>
      <c r="J425" s="846">
        <v>1377</v>
      </c>
      <c r="K425" s="846">
        <v>17344</v>
      </c>
      <c r="L425" s="846" t="s">
        <v>1340</v>
      </c>
      <c r="M425" s="352" t="s">
        <v>31</v>
      </c>
    </row>
    <row r="426" spans="1:13" x14ac:dyDescent="0.35">
      <c r="A426">
        <v>425</v>
      </c>
      <c r="B426" s="756" t="s">
        <v>908</v>
      </c>
      <c r="C426" s="846">
        <v>14851</v>
      </c>
      <c r="D426" s="846">
        <v>6703</v>
      </c>
      <c r="E426" s="846">
        <v>703</v>
      </c>
      <c r="F426" s="846">
        <v>17020</v>
      </c>
      <c r="G426" s="846"/>
      <c r="H426" s="846"/>
      <c r="I426" s="846"/>
      <c r="J426" s="846">
        <v>2637</v>
      </c>
      <c r="K426" s="846">
        <v>9530</v>
      </c>
      <c r="L426" s="846">
        <v>2684</v>
      </c>
      <c r="M426" s="352" t="s">
        <v>31</v>
      </c>
    </row>
    <row r="427" spans="1:13" x14ac:dyDescent="0.35">
      <c r="A427">
        <v>426</v>
      </c>
      <c r="B427" s="754" t="s">
        <v>1290</v>
      </c>
      <c r="C427" s="846">
        <v>13165</v>
      </c>
      <c r="D427" s="846">
        <v>906</v>
      </c>
      <c r="E427" s="846">
        <v>8555</v>
      </c>
      <c r="F427" s="846" t="s">
        <v>1336</v>
      </c>
      <c r="G427" s="846"/>
      <c r="H427" s="846"/>
      <c r="I427" s="846"/>
      <c r="J427" s="846">
        <v>1507</v>
      </c>
      <c r="K427" s="846">
        <v>9444</v>
      </c>
      <c r="L427" s="846">
        <v>2214</v>
      </c>
      <c r="M427" s="352" t="s">
        <v>31</v>
      </c>
    </row>
    <row r="428" spans="1:13" x14ac:dyDescent="0.35">
      <c r="A428">
        <v>427</v>
      </c>
      <c r="B428" s="755" t="s">
        <v>907</v>
      </c>
      <c r="C428" s="846">
        <v>12803</v>
      </c>
      <c r="D428" s="846">
        <v>5689</v>
      </c>
      <c r="E428" s="846">
        <v>726</v>
      </c>
      <c r="F428" s="846">
        <v>12151</v>
      </c>
      <c r="G428" s="846"/>
      <c r="H428" s="846"/>
      <c r="I428" s="846"/>
      <c r="J428" s="846">
        <v>1514</v>
      </c>
      <c r="K428" s="846">
        <v>7833</v>
      </c>
      <c r="L428" s="846">
        <v>3457</v>
      </c>
      <c r="M428" s="352" t="s">
        <v>31</v>
      </c>
    </row>
    <row r="429" spans="1:13" x14ac:dyDescent="0.35">
      <c r="A429">
        <v>428</v>
      </c>
      <c r="B429" s="757" t="s">
        <v>544</v>
      </c>
      <c r="C429" s="578">
        <v>78970</v>
      </c>
      <c r="D429" s="578">
        <v>760</v>
      </c>
      <c r="E429" s="578">
        <v>48306</v>
      </c>
      <c r="F429" s="578">
        <v>28784</v>
      </c>
      <c r="G429" s="578"/>
      <c r="H429" s="723"/>
      <c r="I429" s="723"/>
      <c r="J429" s="578">
        <v>9708</v>
      </c>
      <c r="K429" s="578">
        <v>63527</v>
      </c>
      <c r="L429" s="578">
        <v>5735</v>
      </c>
      <c r="M429" s="352" t="s">
        <v>32</v>
      </c>
    </row>
    <row r="430" spans="1:13" x14ac:dyDescent="0.35">
      <c r="A430">
        <v>429</v>
      </c>
      <c r="B430" s="757" t="s">
        <v>547</v>
      </c>
      <c r="C430" s="578">
        <v>63328</v>
      </c>
      <c r="D430" s="578">
        <v>625</v>
      </c>
      <c r="E430" s="578">
        <v>27789</v>
      </c>
      <c r="F430" s="578">
        <v>26418</v>
      </c>
      <c r="G430" s="578"/>
      <c r="H430" s="723"/>
      <c r="I430" s="723"/>
      <c r="J430" s="578">
        <v>6971</v>
      </c>
      <c r="K430" s="578">
        <v>44472</v>
      </c>
      <c r="L430" s="578">
        <v>11885</v>
      </c>
      <c r="M430" s="352" t="s">
        <v>32</v>
      </c>
    </row>
    <row r="431" spans="1:13" x14ac:dyDescent="0.35">
      <c r="A431">
        <v>430</v>
      </c>
      <c r="B431" s="757" t="s">
        <v>536</v>
      </c>
      <c r="C431" s="578">
        <v>29507</v>
      </c>
      <c r="D431" s="578">
        <v>594</v>
      </c>
      <c r="E431" s="578">
        <v>10347</v>
      </c>
      <c r="F431" s="578">
        <v>20988</v>
      </c>
      <c r="G431" s="578"/>
      <c r="H431" s="723"/>
      <c r="I431" s="578"/>
      <c r="J431" s="578">
        <v>5475</v>
      </c>
      <c r="K431" s="578">
        <v>17425</v>
      </c>
      <c r="L431" s="578">
        <v>6607</v>
      </c>
      <c r="M431" s="352" t="s">
        <v>32</v>
      </c>
    </row>
    <row r="432" spans="1:13" x14ac:dyDescent="0.35">
      <c r="A432">
        <v>431</v>
      </c>
      <c r="B432" s="757" t="s">
        <v>910</v>
      </c>
      <c r="C432" s="578">
        <v>20180</v>
      </c>
      <c r="D432" s="578">
        <v>573</v>
      </c>
      <c r="E432" s="578">
        <v>8397</v>
      </c>
      <c r="F432" s="578">
        <v>23978</v>
      </c>
      <c r="G432" s="578"/>
      <c r="H432" s="723"/>
      <c r="I432" s="723"/>
      <c r="J432" s="578">
        <v>5145</v>
      </c>
      <c r="K432" s="578">
        <v>14667</v>
      </c>
      <c r="L432" s="578">
        <v>368</v>
      </c>
      <c r="M432" s="352" t="s">
        <v>32</v>
      </c>
    </row>
    <row r="433" spans="1:13" x14ac:dyDescent="0.35">
      <c r="A433">
        <v>432</v>
      </c>
      <c r="B433" s="757" t="s">
        <v>535</v>
      </c>
      <c r="C433" s="578">
        <v>15640</v>
      </c>
      <c r="D433" s="578">
        <v>805</v>
      </c>
      <c r="E433" s="578">
        <v>10345</v>
      </c>
      <c r="F433" s="578">
        <v>17505</v>
      </c>
      <c r="G433" s="578"/>
      <c r="H433" s="578"/>
      <c r="I433" s="578"/>
      <c r="J433" s="578">
        <v>1760</v>
      </c>
      <c r="K433" s="578">
        <v>12853</v>
      </c>
      <c r="L433" s="578">
        <v>1027</v>
      </c>
      <c r="M433" s="352" t="s">
        <v>32</v>
      </c>
    </row>
    <row r="434" spans="1:13" x14ac:dyDescent="0.35">
      <c r="A434">
        <v>433</v>
      </c>
      <c r="B434" s="757" t="s">
        <v>911</v>
      </c>
      <c r="C434" s="578">
        <v>10146</v>
      </c>
      <c r="D434" s="578">
        <v>503</v>
      </c>
      <c r="E434" s="578">
        <v>3357</v>
      </c>
      <c r="F434" s="578">
        <v>5315</v>
      </c>
      <c r="G434" s="578"/>
      <c r="H434" s="723"/>
      <c r="I434" s="723"/>
      <c r="J434" s="578">
        <v>2599</v>
      </c>
      <c r="K434" s="578">
        <v>6671</v>
      </c>
      <c r="L434" s="578">
        <v>876</v>
      </c>
      <c r="M434" s="352" t="s">
        <v>32</v>
      </c>
    </row>
    <row r="435" spans="1:13" x14ac:dyDescent="0.35">
      <c r="A435">
        <v>434</v>
      </c>
      <c r="B435" s="757" t="s">
        <v>909</v>
      </c>
      <c r="C435" s="578">
        <v>8717</v>
      </c>
      <c r="D435" s="578">
        <v>616</v>
      </c>
      <c r="E435" s="578">
        <v>2581</v>
      </c>
      <c r="F435" s="578">
        <v>11604</v>
      </c>
      <c r="G435" s="578"/>
      <c r="H435" s="723"/>
      <c r="I435" s="723"/>
      <c r="J435" s="578">
        <v>1</v>
      </c>
      <c r="K435" s="578">
        <v>4188</v>
      </c>
      <c r="L435" s="578">
        <v>4528</v>
      </c>
      <c r="M435" s="352" t="s">
        <v>32</v>
      </c>
    </row>
    <row r="436" spans="1:13" x14ac:dyDescent="0.35">
      <c r="A436">
        <v>435</v>
      </c>
      <c r="B436" s="757" t="s">
        <v>626</v>
      </c>
      <c r="C436" s="578">
        <v>5726</v>
      </c>
      <c r="D436" s="578">
        <v>505</v>
      </c>
      <c r="E436" s="578">
        <v>1882</v>
      </c>
      <c r="F436" s="578">
        <v>8078</v>
      </c>
      <c r="G436" s="578"/>
      <c r="H436" s="723"/>
      <c r="I436" s="723"/>
      <c r="J436" s="578">
        <v>690</v>
      </c>
      <c r="K436" s="578">
        <v>3728</v>
      </c>
      <c r="L436" s="578">
        <v>1308</v>
      </c>
      <c r="M436" s="352" t="s">
        <v>32</v>
      </c>
    </row>
    <row r="437" spans="1:13" x14ac:dyDescent="0.35">
      <c r="A437">
        <v>436</v>
      </c>
      <c r="B437" s="757" t="s">
        <v>545</v>
      </c>
      <c r="C437" s="578">
        <v>3974</v>
      </c>
      <c r="D437" s="578">
        <v>227</v>
      </c>
      <c r="E437" s="578">
        <v>586</v>
      </c>
      <c r="F437" s="578">
        <v>4505</v>
      </c>
      <c r="G437" s="578"/>
      <c r="H437" s="723"/>
      <c r="I437" s="723"/>
      <c r="J437" s="578">
        <v>1024</v>
      </c>
      <c r="K437" s="578">
        <v>2586</v>
      </c>
      <c r="L437" s="578">
        <v>364</v>
      </c>
      <c r="M437" s="352" t="s">
        <v>32</v>
      </c>
    </row>
    <row r="438" spans="1:13" x14ac:dyDescent="0.35">
      <c r="A438">
        <v>437</v>
      </c>
      <c r="B438" s="757" t="s">
        <v>548</v>
      </c>
      <c r="C438" s="578">
        <v>3341</v>
      </c>
      <c r="D438" s="578">
        <v>108</v>
      </c>
      <c r="E438" s="578">
        <v>93</v>
      </c>
      <c r="F438" s="578">
        <v>2115</v>
      </c>
      <c r="G438" s="578"/>
      <c r="H438" s="723"/>
      <c r="I438" s="723"/>
      <c r="J438" s="578">
        <v>42</v>
      </c>
      <c r="K438" s="578">
        <v>858</v>
      </c>
      <c r="L438" s="578">
        <v>2441</v>
      </c>
      <c r="M438" s="352" t="s">
        <v>32</v>
      </c>
    </row>
    <row r="439" spans="1:13" x14ac:dyDescent="0.35">
      <c r="A439">
        <v>438</v>
      </c>
      <c r="B439" s="757" t="s">
        <v>538</v>
      </c>
      <c r="C439" s="578">
        <v>2412</v>
      </c>
      <c r="D439" s="578">
        <v>158</v>
      </c>
      <c r="E439" s="578">
        <v>174</v>
      </c>
      <c r="F439" s="578">
        <v>2640</v>
      </c>
      <c r="G439" s="578"/>
      <c r="H439" s="723"/>
      <c r="I439" s="723"/>
      <c r="J439" s="578">
        <v>179</v>
      </c>
      <c r="K439" s="578">
        <v>1104</v>
      </c>
      <c r="L439" s="578">
        <v>1129</v>
      </c>
      <c r="M439" s="352" t="s">
        <v>32</v>
      </c>
    </row>
    <row r="440" spans="1:13" x14ac:dyDescent="0.35">
      <c r="A440">
        <v>439</v>
      </c>
      <c r="B440" s="757" t="s">
        <v>546</v>
      </c>
      <c r="C440" s="578">
        <v>2304</v>
      </c>
      <c r="D440" s="578">
        <v>127</v>
      </c>
      <c r="E440" s="578">
        <v>69</v>
      </c>
      <c r="F440" s="578">
        <v>3501</v>
      </c>
      <c r="G440" s="578"/>
      <c r="H440" s="723"/>
      <c r="I440" s="723"/>
      <c r="J440" s="578">
        <v>625</v>
      </c>
      <c r="K440" s="578">
        <v>543</v>
      </c>
      <c r="L440" s="578">
        <v>1136</v>
      </c>
      <c r="M440" s="352" t="s">
        <v>32</v>
      </c>
    </row>
    <row r="441" spans="1:13" x14ac:dyDescent="0.35">
      <c r="A441">
        <v>440</v>
      </c>
      <c r="B441" s="757" t="s">
        <v>1333</v>
      </c>
      <c r="C441" s="578">
        <v>154</v>
      </c>
      <c r="D441" s="578">
        <v>353</v>
      </c>
      <c r="E441" s="578">
        <v>41</v>
      </c>
      <c r="F441" s="578">
        <v>294</v>
      </c>
      <c r="G441" s="578"/>
      <c r="H441" s="724"/>
      <c r="I441" s="724"/>
      <c r="J441" s="578">
        <v>4</v>
      </c>
      <c r="K441" s="578">
        <v>117</v>
      </c>
      <c r="L441" s="578">
        <v>33</v>
      </c>
      <c r="M441" s="352" t="s">
        <v>32</v>
      </c>
    </row>
    <row r="442" spans="1:13" x14ac:dyDescent="0.35">
      <c r="A442">
        <v>441</v>
      </c>
      <c r="B442" s="757" t="s">
        <v>913</v>
      </c>
      <c r="C442" s="578">
        <v>134</v>
      </c>
      <c r="D442" s="578">
        <v>255</v>
      </c>
      <c r="E442" s="578">
        <v>19</v>
      </c>
      <c r="F442" s="578">
        <v>328</v>
      </c>
      <c r="G442" s="578"/>
      <c r="H442" s="724"/>
      <c r="I442" s="724"/>
      <c r="J442" s="578">
        <v>29</v>
      </c>
      <c r="K442" s="578">
        <v>75</v>
      </c>
      <c r="L442" s="578">
        <v>30</v>
      </c>
      <c r="M442" s="352" t="s">
        <v>32</v>
      </c>
    </row>
    <row r="443" spans="1:13" x14ac:dyDescent="0.35">
      <c r="A443">
        <v>442</v>
      </c>
      <c r="B443" s="757" t="s">
        <v>628</v>
      </c>
      <c r="C443" s="578">
        <v>67</v>
      </c>
      <c r="D443" s="578">
        <v>197</v>
      </c>
      <c r="E443" s="578">
        <v>5</v>
      </c>
      <c r="F443" s="578">
        <v>91</v>
      </c>
      <c r="G443" s="578"/>
      <c r="H443" s="723"/>
      <c r="I443" s="723"/>
      <c r="J443" s="578">
        <v>27</v>
      </c>
      <c r="K443" s="578">
        <v>23</v>
      </c>
      <c r="L443" s="578">
        <v>17</v>
      </c>
      <c r="M443" s="352" t="s">
        <v>32</v>
      </c>
    </row>
    <row r="444" spans="1:13" x14ac:dyDescent="0.35">
      <c r="A444">
        <v>443</v>
      </c>
      <c r="B444" s="757" t="s">
        <v>627</v>
      </c>
      <c r="C444" s="578">
        <v>37</v>
      </c>
      <c r="D444" s="578">
        <v>313</v>
      </c>
      <c r="E444" s="578">
        <v>3</v>
      </c>
      <c r="F444" s="578">
        <v>39</v>
      </c>
      <c r="G444" s="578"/>
      <c r="H444" s="723"/>
      <c r="I444" s="578"/>
      <c r="J444" s="580"/>
      <c r="K444" s="578">
        <v>10</v>
      </c>
      <c r="L444" s="578">
        <v>27</v>
      </c>
      <c r="M444" s="352" t="s">
        <v>32</v>
      </c>
    </row>
    <row r="445" spans="1:13" x14ac:dyDescent="0.35">
      <c r="A445">
        <v>444</v>
      </c>
      <c r="B445" s="757" t="s">
        <v>912</v>
      </c>
      <c r="C445" s="578">
        <v>19</v>
      </c>
      <c r="D445" s="578">
        <v>533</v>
      </c>
      <c r="E445" s="578">
        <v>7</v>
      </c>
      <c r="F445" s="578">
        <v>113</v>
      </c>
      <c r="G445" s="578"/>
      <c r="H445" s="723"/>
      <c r="I445" s="723"/>
      <c r="J445" s="580"/>
      <c r="K445" s="578">
        <v>14</v>
      </c>
      <c r="L445" s="578">
        <v>5</v>
      </c>
      <c r="M445" s="352" t="s">
        <v>32</v>
      </c>
    </row>
    <row r="446" spans="1:13" x14ac:dyDescent="0.35">
      <c r="A446">
        <v>445</v>
      </c>
      <c r="B446" s="758" t="s">
        <v>554</v>
      </c>
      <c r="C446" s="562">
        <v>8153</v>
      </c>
      <c r="D446" s="562">
        <v>587</v>
      </c>
      <c r="E446" s="562">
        <v>2975</v>
      </c>
      <c r="F446" s="562">
        <v>12741</v>
      </c>
      <c r="G446" s="562"/>
      <c r="H446" s="563"/>
      <c r="I446" s="563"/>
      <c r="J446" s="562">
        <v>1229</v>
      </c>
      <c r="K446" s="562">
        <v>5071</v>
      </c>
      <c r="L446" s="562">
        <v>1852</v>
      </c>
      <c r="M446" s="352" t="s">
        <v>33</v>
      </c>
    </row>
    <row r="447" spans="1:13" x14ac:dyDescent="0.35">
      <c r="A447">
        <v>446</v>
      </c>
      <c r="B447" s="758" t="s">
        <v>556</v>
      </c>
      <c r="C447" s="562">
        <v>5286</v>
      </c>
      <c r="D447" s="562">
        <v>768</v>
      </c>
      <c r="E447" s="562">
        <v>2847</v>
      </c>
      <c r="F447" s="562">
        <v>8067</v>
      </c>
      <c r="G447" s="562"/>
      <c r="H447" s="563"/>
      <c r="I447" s="563"/>
      <c r="J447" s="562">
        <v>1056</v>
      </c>
      <c r="K447" s="562">
        <v>3705</v>
      </c>
      <c r="L447" s="562">
        <v>524</v>
      </c>
      <c r="M447" s="352" t="s">
        <v>33</v>
      </c>
    </row>
    <row r="448" spans="1:13" x14ac:dyDescent="0.35">
      <c r="A448">
        <v>447</v>
      </c>
      <c r="B448" s="758" t="s">
        <v>557</v>
      </c>
      <c r="C448" s="562">
        <v>5234</v>
      </c>
      <c r="D448" s="562">
        <v>220</v>
      </c>
      <c r="E448" s="562">
        <v>555</v>
      </c>
      <c r="F448" s="562">
        <v>3915</v>
      </c>
      <c r="G448" s="562"/>
      <c r="H448" s="563"/>
      <c r="I448" s="562"/>
      <c r="J448" s="562">
        <v>2568</v>
      </c>
      <c r="K448" s="562">
        <v>2528</v>
      </c>
      <c r="L448" s="562">
        <v>139</v>
      </c>
      <c r="M448" s="352" t="s">
        <v>33</v>
      </c>
    </row>
    <row r="449" spans="1:13" x14ac:dyDescent="0.35">
      <c r="A449">
        <v>448</v>
      </c>
      <c r="B449" s="758" t="s">
        <v>558</v>
      </c>
      <c r="C449" s="562">
        <v>4066</v>
      </c>
      <c r="D449" s="562">
        <v>497</v>
      </c>
      <c r="E449" s="562">
        <v>1359</v>
      </c>
      <c r="F449" s="562">
        <v>2771</v>
      </c>
      <c r="G449" s="562"/>
      <c r="H449" s="563"/>
      <c r="I449" s="563"/>
      <c r="J449" s="562">
        <v>752</v>
      </c>
      <c r="K449" s="562">
        <v>2736</v>
      </c>
      <c r="L449" s="562">
        <v>579</v>
      </c>
      <c r="M449" s="352" t="s">
        <v>33</v>
      </c>
    </row>
    <row r="450" spans="1:13" x14ac:dyDescent="0.35">
      <c r="A450">
        <v>449</v>
      </c>
      <c r="B450" s="758" t="s">
        <v>914</v>
      </c>
      <c r="C450" s="562">
        <v>1006</v>
      </c>
      <c r="D450" s="562">
        <v>532</v>
      </c>
      <c r="E450" s="562">
        <v>395</v>
      </c>
      <c r="F450" s="562">
        <v>4583</v>
      </c>
      <c r="G450" s="562"/>
      <c r="H450" s="562"/>
      <c r="I450" s="562"/>
      <c r="J450" s="562">
        <v>144</v>
      </c>
      <c r="K450" s="562">
        <v>743</v>
      </c>
      <c r="L450" s="562">
        <v>119</v>
      </c>
      <c r="M450" s="352" t="s">
        <v>33</v>
      </c>
    </row>
    <row r="451" spans="1:13" x14ac:dyDescent="0.35">
      <c r="A451">
        <v>450</v>
      </c>
      <c r="B451" s="759" t="s">
        <v>559</v>
      </c>
      <c r="C451" s="562">
        <v>188</v>
      </c>
      <c r="D451" s="562">
        <v>605</v>
      </c>
      <c r="E451" s="562">
        <v>49</v>
      </c>
      <c r="F451" s="562">
        <v>258</v>
      </c>
      <c r="G451" s="562"/>
      <c r="H451" s="562"/>
      <c r="I451" s="562"/>
      <c r="J451" s="562">
        <v>32</v>
      </c>
      <c r="K451" s="562">
        <v>81</v>
      </c>
      <c r="L451" s="562">
        <v>75</v>
      </c>
      <c r="M451" s="352" t="s">
        <v>33</v>
      </c>
    </row>
    <row r="452" spans="1:13" x14ac:dyDescent="0.35">
      <c r="A452">
        <v>451</v>
      </c>
      <c r="B452" s="758" t="s">
        <v>550</v>
      </c>
      <c r="C452" s="562">
        <v>71</v>
      </c>
      <c r="D452" s="562">
        <v>458</v>
      </c>
      <c r="E452" s="562">
        <v>15</v>
      </c>
      <c r="F452" s="562">
        <v>109</v>
      </c>
      <c r="G452" s="562"/>
      <c r="H452" s="563"/>
      <c r="I452" s="563"/>
      <c r="J452" s="562">
        <v>18</v>
      </c>
      <c r="K452" s="562">
        <v>33</v>
      </c>
      <c r="L452" s="562">
        <v>20</v>
      </c>
      <c r="M452" s="352" t="s">
        <v>33</v>
      </c>
    </row>
    <row r="453" spans="1:13" x14ac:dyDescent="0.35">
      <c r="A453">
        <v>452</v>
      </c>
      <c r="B453" s="758" t="s">
        <v>549</v>
      </c>
      <c r="C453" s="562">
        <v>38</v>
      </c>
      <c r="D453" s="562">
        <v>294</v>
      </c>
      <c r="E453" s="562">
        <v>6</v>
      </c>
      <c r="F453" s="562">
        <v>115</v>
      </c>
      <c r="G453" s="562"/>
      <c r="H453" s="563"/>
      <c r="I453" s="562"/>
      <c r="J453" s="562">
        <v>10</v>
      </c>
      <c r="K453" s="562">
        <v>21</v>
      </c>
      <c r="L453" s="562">
        <v>6</v>
      </c>
      <c r="M453" s="352" t="s">
        <v>33</v>
      </c>
    </row>
    <row r="454" spans="1:13" x14ac:dyDescent="0.35">
      <c r="A454">
        <v>453</v>
      </c>
      <c r="B454" s="758" t="s">
        <v>551</v>
      </c>
      <c r="C454" s="562">
        <v>3</v>
      </c>
      <c r="D454" s="562">
        <v>769</v>
      </c>
      <c r="E454" s="562">
        <v>1</v>
      </c>
      <c r="F454" s="562">
        <v>27</v>
      </c>
      <c r="G454" s="562"/>
      <c r="H454" s="563"/>
      <c r="I454" s="563"/>
      <c r="J454" s="562">
        <v>0</v>
      </c>
      <c r="K454" s="562">
        <v>2</v>
      </c>
      <c r="L454" s="562">
        <v>1</v>
      </c>
      <c r="M454" s="352" t="s">
        <v>33</v>
      </c>
    </row>
    <row r="455" spans="1:13" x14ac:dyDescent="0.35">
      <c r="A455">
        <v>454</v>
      </c>
      <c r="B455" s="758" t="s">
        <v>553</v>
      </c>
      <c r="C455" s="562">
        <v>1</v>
      </c>
      <c r="D455" s="562">
        <v>629</v>
      </c>
      <c r="E455" s="562">
        <v>0</v>
      </c>
      <c r="F455" s="562">
        <v>11</v>
      </c>
      <c r="G455" s="562"/>
      <c r="H455" s="563"/>
      <c r="I455" s="563"/>
      <c r="J455" s="562">
        <v>1</v>
      </c>
      <c r="K455" s="562">
        <v>1</v>
      </c>
      <c r="L455" s="729"/>
      <c r="M455" s="352" t="s">
        <v>33</v>
      </c>
    </row>
    <row r="456" spans="1:13" x14ac:dyDescent="0.35">
      <c r="A456">
        <v>455</v>
      </c>
      <c r="B456" s="759" t="s">
        <v>552</v>
      </c>
      <c r="C456" s="184"/>
      <c r="D456" s="184"/>
      <c r="E456" s="184"/>
      <c r="F456" s="184"/>
      <c r="G456" s="562"/>
      <c r="H456" s="562"/>
      <c r="I456" s="562"/>
      <c r="J456" s="562"/>
      <c r="K456" s="562"/>
      <c r="L456" s="184"/>
      <c r="M456" s="352" t="s">
        <v>33</v>
      </c>
    </row>
    <row r="457" spans="1:13" x14ac:dyDescent="0.35">
      <c r="A457">
        <v>456</v>
      </c>
      <c r="B457" s="760" t="s">
        <v>560</v>
      </c>
      <c r="C457" s="731">
        <v>4798</v>
      </c>
      <c r="D457" s="731">
        <v>200</v>
      </c>
      <c r="E457" s="731">
        <v>448</v>
      </c>
      <c r="F457" s="731">
        <v>4828</v>
      </c>
      <c r="G457" s="731"/>
      <c r="H457" s="730"/>
      <c r="I457" s="731"/>
      <c r="J457" s="733"/>
      <c r="K457" s="731">
        <v>2238</v>
      </c>
      <c r="L457" s="731">
        <v>2560</v>
      </c>
      <c r="M457" s="352" t="s">
        <v>34</v>
      </c>
    </row>
    <row r="458" spans="1:13" x14ac:dyDescent="0.35">
      <c r="A458">
        <v>457</v>
      </c>
      <c r="B458" s="760" t="s">
        <v>564</v>
      </c>
      <c r="C458" s="731">
        <v>4355</v>
      </c>
      <c r="D458" s="731">
        <v>710</v>
      </c>
      <c r="E458" s="731">
        <v>1847</v>
      </c>
      <c r="F458" s="731">
        <v>2889</v>
      </c>
      <c r="G458" s="731"/>
      <c r="H458" s="730"/>
      <c r="I458" s="730"/>
      <c r="J458" s="731">
        <v>1524</v>
      </c>
      <c r="K458" s="731">
        <v>2602</v>
      </c>
      <c r="L458" s="731">
        <v>229</v>
      </c>
      <c r="M458" s="352" t="s">
        <v>34</v>
      </c>
    </row>
    <row r="459" spans="1:13" x14ac:dyDescent="0.35">
      <c r="A459">
        <v>458</v>
      </c>
      <c r="B459" s="760" t="s">
        <v>562</v>
      </c>
      <c r="C459" s="731">
        <v>3920</v>
      </c>
      <c r="D459" s="731">
        <v>1248</v>
      </c>
      <c r="E459" s="731">
        <v>2195</v>
      </c>
      <c r="F459" s="731">
        <v>3458</v>
      </c>
      <c r="G459" s="730"/>
      <c r="H459" s="730"/>
      <c r="I459" s="730"/>
      <c r="J459" s="731">
        <v>1630</v>
      </c>
      <c r="K459" s="731">
        <v>1759</v>
      </c>
      <c r="L459" s="731">
        <v>531</v>
      </c>
      <c r="M459" s="352" t="s">
        <v>34</v>
      </c>
    </row>
    <row r="460" spans="1:13" x14ac:dyDescent="0.35">
      <c r="A460">
        <v>459</v>
      </c>
      <c r="B460" s="760" t="s">
        <v>916</v>
      </c>
      <c r="C460" s="731">
        <v>3769</v>
      </c>
      <c r="D460" s="731">
        <v>1078</v>
      </c>
      <c r="E460" s="731">
        <v>2850</v>
      </c>
      <c r="F460" s="731">
        <v>1385</v>
      </c>
      <c r="G460" s="730"/>
      <c r="H460" s="148"/>
      <c r="I460" s="148"/>
      <c r="J460" s="731">
        <v>845</v>
      </c>
      <c r="K460" s="731">
        <v>2644</v>
      </c>
      <c r="L460" s="731">
        <v>280</v>
      </c>
      <c r="M460" s="352" t="s">
        <v>34</v>
      </c>
    </row>
    <row r="461" spans="1:13" x14ac:dyDescent="0.35">
      <c r="A461">
        <v>460</v>
      </c>
      <c r="B461" s="760" t="s">
        <v>565</v>
      </c>
      <c r="C461" s="731">
        <v>3239</v>
      </c>
      <c r="D461" s="731">
        <v>207</v>
      </c>
      <c r="E461" s="731">
        <v>400</v>
      </c>
      <c r="F461" s="731">
        <v>2678</v>
      </c>
      <c r="G461" s="731"/>
      <c r="H461" s="730"/>
      <c r="I461" s="730"/>
      <c r="J461" s="731">
        <v>763</v>
      </c>
      <c r="K461" s="731">
        <v>1934</v>
      </c>
      <c r="L461" s="731">
        <v>542</v>
      </c>
      <c r="M461" s="352" t="s">
        <v>34</v>
      </c>
    </row>
    <row r="462" spans="1:13" x14ac:dyDescent="0.35">
      <c r="A462">
        <v>461</v>
      </c>
      <c r="B462" s="760" t="s">
        <v>566</v>
      </c>
      <c r="C462" s="731">
        <v>2073</v>
      </c>
      <c r="D462" s="731">
        <v>850</v>
      </c>
      <c r="E462" s="731">
        <v>952</v>
      </c>
      <c r="F462" s="731">
        <v>2350</v>
      </c>
      <c r="G462" s="731"/>
      <c r="H462" s="731"/>
      <c r="I462" s="731"/>
      <c r="J462" s="731">
        <v>299</v>
      </c>
      <c r="K462" s="731">
        <v>1120</v>
      </c>
      <c r="L462" s="731">
        <v>654</v>
      </c>
      <c r="M462" s="352" t="s">
        <v>34</v>
      </c>
    </row>
    <row r="463" spans="1:13" x14ac:dyDescent="0.35">
      <c r="A463">
        <v>462</v>
      </c>
      <c r="B463" s="760" t="s">
        <v>563</v>
      </c>
      <c r="C463" s="731">
        <v>467</v>
      </c>
      <c r="D463" s="731">
        <v>32</v>
      </c>
      <c r="E463" s="731">
        <v>7</v>
      </c>
      <c r="F463" s="731">
        <v>249</v>
      </c>
      <c r="G463" s="731"/>
      <c r="H463" s="731"/>
      <c r="I463" s="731"/>
      <c r="J463" s="731">
        <v>177</v>
      </c>
      <c r="K463" s="731">
        <v>223</v>
      </c>
      <c r="L463" s="731">
        <v>67</v>
      </c>
      <c r="M463" s="352" t="s">
        <v>34</v>
      </c>
    </row>
    <row r="464" spans="1:13" x14ac:dyDescent="0.35">
      <c r="A464">
        <v>463</v>
      </c>
      <c r="B464" s="760" t="s">
        <v>567</v>
      </c>
      <c r="C464" s="731">
        <v>29</v>
      </c>
      <c r="D464" s="732"/>
      <c r="E464" s="732"/>
      <c r="F464" s="732"/>
      <c r="G464" s="732"/>
      <c r="H464" s="148"/>
      <c r="I464" s="148"/>
      <c r="J464" s="731">
        <v>29</v>
      </c>
      <c r="K464" s="732"/>
      <c r="L464" s="732"/>
      <c r="M464" s="352" t="s">
        <v>34</v>
      </c>
    </row>
    <row r="465" spans="1:13" x14ac:dyDescent="0.35">
      <c r="A465">
        <v>464</v>
      </c>
      <c r="B465" s="760" t="s">
        <v>915</v>
      </c>
      <c r="C465" s="733"/>
      <c r="D465" s="733"/>
      <c r="E465" s="733"/>
      <c r="F465" s="733"/>
      <c r="G465" s="732"/>
      <c r="H465" s="730"/>
      <c r="I465" s="731"/>
      <c r="J465" s="733"/>
      <c r="K465" s="733"/>
      <c r="L465" s="733"/>
      <c r="M465" s="352" t="s">
        <v>34</v>
      </c>
    </row>
    <row r="466" spans="1:13" x14ac:dyDescent="0.35">
      <c r="A466">
        <v>465</v>
      </c>
      <c r="B466" s="760" t="s">
        <v>568</v>
      </c>
      <c r="C466" s="733"/>
      <c r="D466" s="732"/>
      <c r="E466" s="732"/>
      <c r="F466" s="732"/>
      <c r="G466" s="732"/>
      <c r="H466" s="148"/>
      <c r="I466" s="148"/>
      <c r="J466" s="733"/>
      <c r="K466" s="732"/>
      <c r="L466" s="732"/>
      <c r="M466" s="352" t="s">
        <v>34</v>
      </c>
    </row>
    <row r="467" spans="1:13" x14ac:dyDescent="0.35">
      <c r="A467">
        <v>466</v>
      </c>
      <c r="B467" s="761" t="s">
        <v>570</v>
      </c>
      <c r="C467" s="568">
        <v>14262</v>
      </c>
      <c r="D467" s="568">
        <v>799</v>
      </c>
      <c r="E467" s="568">
        <v>5463</v>
      </c>
      <c r="F467" s="568">
        <v>14482</v>
      </c>
      <c r="G467" s="568"/>
      <c r="H467" s="569"/>
      <c r="I467" s="569"/>
      <c r="J467" s="568">
        <v>6305</v>
      </c>
      <c r="K467" s="568">
        <v>6834</v>
      </c>
      <c r="L467" s="568">
        <v>1123</v>
      </c>
      <c r="M467" s="352" t="s">
        <v>35</v>
      </c>
    </row>
    <row r="468" spans="1:13" x14ac:dyDescent="0.35">
      <c r="A468">
        <v>467</v>
      </c>
      <c r="B468" s="761" t="s">
        <v>918</v>
      </c>
      <c r="C468" s="568">
        <v>7974</v>
      </c>
      <c r="D468" s="568">
        <v>363</v>
      </c>
      <c r="E468" s="568">
        <v>1870</v>
      </c>
      <c r="F468" s="568">
        <v>9611</v>
      </c>
      <c r="G468" s="568"/>
      <c r="H468" s="187"/>
      <c r="I468" s="187"/>
      <c r="J468" s="568">
        <v>1492</v>
      </c>
      <c r="K468" s="568">
        <v>5158</v>
      </c>
      <c r="L468" s="568">
        <v>1324</v>
      </c>
      <c r="M468" s="352" t="s">
        <v>35</v>
      </c>
    </row>
    <row r="469" spans="1:13" x14ac:dyDescent="0.35">
      <c r="A469">
        <v>468</v>
      </c>
      <c r="B469" s="761" t="s">
        <v>572</v>
      </c>
      <c r="C469" s="568">
        <v>3711</v>
      </c>
      <c r="D469" s="568">
        <v>713</v>
      </c>
      <c r="E469" s="568">
        <v>937</v>
      </c>
      <c r="F469" s="568">
        <v>3540</v>
      </c>
      <c r="G469" s="568"/>
      <c r="H469" s="187"/>
      <c r="I469" s="187"/>
      <c r="J469" s="568">
        <v>1012</v>
      </c>
      <c r="K469" s="568">
        <v>1314</v>
      </c>
      <c r="L469" s="568">
        <v>1385</v>
      </c>
      <c r="M469" s="352" t="s">
        <v>35</v>
      </c>
    </row>
    <row r="470" spans="1:13" x14ac:dyDescent="0.35">
      <c r="A470">
        <v>469</v>
      </c>
      <c r="B470" s="761" t="s">
        <v>579</v>
      </c>
      <c r="C470" s="568">
        <v>3031</v>
      </c>
      <c r="D470" s="568">
        <v>551</v>
      </c>
      <c r="E470" s="568">
        <v>793</v>
      </c>
      <c r="F470" s="568">
        <v>4435</v>
      </c>
      <c r="G470" s="568"/>
      <c r="H470" s="569"/>
      <c r="I470" s="568"/>
      <c r="J470" s="568">
        <v>375</v>
      </c>
      <c r="K470" s="568">
        <v>1440</v>
      </c>
      <c r="L470" s="568">
        <v>1216</v>
      </c>
      <c r="M470" s="352" t="s">
        <v>35</v>
      </c>
    </row>
    <row r="471" spans="1:13" x14ac:dyDescent="0.35">
      <c r="A471">
        <v>470</v>
      </c>
      <c r="B471" s="761" t="s">
        <v>577</v>
      </c>
      <c r="C471" s="568">
        <v>2175</v>
      </c>
      <c r="D471" s="568">
        <v>638</v>
      </c>
      <c r="E471" s="568">
        <v>372</v>
      </c>
      <c r="F471" s="568">
        <v>2796</v>
      </c>
      <c r="G471" s="568"/>
      <c r="H471" s="569"/>
      <c r="I471" s="568"/>
      <c r="J471" s="568">
        <v>789</v>
      </c>
      <c r="K471" s="568">
        <v>583</v>
      </c>
      <c r="L471" s="568">
        <v>803</v>
      </c>
      <c r="M471" s="352" t="s">
        <v>35</v>
      </c>
    </row>
    <row r="472" spans="1:13" x14ac:dyDescent="0.35">
      <c r="A472">
        <v>471</v>
      </c>
      <c r="B472" s="761" t="s">
        <v>582</v>
      </c>
      <c r="C472" s="568">
        <v>1213</v>
      </c>
      <c r="D472" s="568">
        <v>712</v>
      </c>
      <c r="E472" s="568">
        <v>472</v>
      </c>
      <c r="F472" s="568">
        <v>871</v>
      </c>
      <c r="G472" s="568"/>
      <c r="H472" s="187"/>
      <c r="I472" s="187"/>
      <c r="J472" s="568">
        <v>375</v>
      </c>
      <c r="K472" s="568">
        <v>663</v>
      </c>
      <c r="L472" s="568">
        <v>175</v>
      </c>
      <c r="M472" s="352" t="s">
        <v>35</v>
      </c>
    </row>
    <row r="473" spans="1:13" x14ac:dyDescent="0.35">
      <c r="A473">
        <v>472</v>
      </c>
      <c r="B473" s="762" t="s">
        <v>1294</v>
      </c>
      <c r="C473" s="568">
        <v>990</v>
      </c>
      <c r="D473" s="568">
        <v>457</v>
      </c>
      <c r="E473" s="568">
        <v>384</v>
      </c>
      <c r="F473" s="568">
        <v>1025</v>
      </c>
      <c r="G473" s="568"/>
      <c r="H473" s="187"/>
      <c r="I473" s="187"/>
      <c r="J473" s="568">
        <v>65</v>
      </c>
      <c r="K473" s="568">
        <v>840</v>
      </c>
      <c r="L473" s="568">
        <v>85</v>
      </c>
      <c r="M473" s="352" t="s">
        <v>35</v>
      </c>
    </row>
    <row r="474" spans="1:13" x14ac:dyDescent="0.35">
      <c r="A474">
        <v>473</v>
      </c>
      <c r="B474" s="761" t="s">
        <v>580</v>
      </c>
      <c r="C474" s="568">
        <v>373</v>
      </c>
      <c r="D474" s="568">
        <v>276</v>
      </c>
      <c r="E474" s="568">
        <v>53</v>
      </c>
      <c r="F474" s="568">
        <v>260</v>
      </c>
      <c r="G474" s="568"/>
      <c r="H474" s="569"/>
      <c r="I474" s="569"/>
      <c r="J474" s="568">
        <v>141</v>
      </c>
      <c r="K474" s="568">
        <v>192</v>
      </c>
      <c r="L474" s="568">
        <v>40</v>
      </c>
      <c r="M474" s="352" t="s">
        <v>35</v>
      </c>
    </row>
    <row r="475" spans="1:13" x14ac:dyDescent="0.35">
      <c r="A475">
        <v>474</v>
      </c>
      <c r="B475" s="762" t="s">
        <v>1295</v>
      </c>
      <c r="C475" s="568">
        <v>211</v>
      </c>
      <c r="D475" s="568">
        <v>418</v>
      </c>
      <c r="E475" s="568">
        <v>28</v>
      </c>
      <c r="F475" s="568">
        <v>301</v>
      </c>
      <c r="G475" s="568"/>
      <c r="H475" s="187"/>
      <c r="I475" s="187"/>
      <c r="J475" s="568">
        <v>94</v>
      </c>
      <c r="K475" s="568">
        <v>67</v>
      </c>
      <c r="L475" s="568">
        <v>50</v>
      </c>
      <c r="M475" s="352" t="s">
        <v>35</v>
      </c>
    </row>
    <row r="476" spans="1:13" x14ac:dyDescent="0.35">
      <c r="A476">
        <v>475</v>
      </c>
      <c r="B476" s="761" t="s">
        <v>583</v>
      </c>
      <c r="C476" s="568">
        <v>84</v>
      </c>
      <c r="D476" s="568">
        <v>386</v>
      </c>
      <c r="E476" s="568">
        <v>17</v>
      </c>
      <c r="F476" s="568">
        <v>78</v>
      </c>
      <c r="G476" s="568"/>
      <c r="H476" s="568"/>
      <c r="I476" s="568"/>
      <c r="J476" s="568">
        <v>29</v>
      </c>
      <c r="K476" s="568">
        <v>44</v>
      </c>
      <c r="L476" s="568">
        <v>11</v>
      </c>
      <c r="M476" s="352" t="s">
        <v>35</v>
      </c>
    </row>
    <row r="477" spans="1:13" x14ac:dyDescent="0.35">
      <c r="A477">
        <v>476</v>
      </c>
      <c r="B477" s="761" t="s">
        <v>575</v>
      </c>
      <c r="C477" s="568">
        <v>47</v>
      </c>
      <c r="D477" s="568">
        <v>216</v>
      </c>
      <c r="E477" s="568">
        <v>8</v>
      </c>
      <c r="F477" s="568">
        <v>64</v>
      </c>
      <c r="G477" s="568"/>
      <c r="H477" s="569"/>
      <c r="I477" s="569"/>
      <c r="J477" s="710"/>
      <c r="K477" s="568">
        <v>37</v>
      </c>
      <c r="L477" s="568">
        <v>10</v>
      </c>
      <c r="M477" s="352" t="s">
        <v>35</v>
      </c>
    </row>
    <row r="478" spans="1:13" x14ac:dyDescent="0.35">
      <c r="A478">
        <v>477</v>
      </c>
      <c r="B478" s="761" t="s">
        <v>917</v>
      </c>
      <c r="C478" s="568">
        <v>40</v>
      </c>
      <c r="D478" s="568">
        <v>364</v>
      </c>
      <c r="E478" s="568">
        <v>4</v>
      </c>
      <c r="F478" s="568">
        <v>58</v>
      </c>
      <c r="G478" s="568"/>
      <c r="H478" s="570"/>
      <c r="I478" s="570"/>
      <c r="J478" s="568">
        <v>19</v>
      </c>
      <c r="K478" s="568">
        <v>11</v>
      </c>
      <c r="L478" s="568">
        <v>10</v>
      </c>
      <c r="M478" s="352" t="s">
        <v>35</v>
      </c>
    </row>
    <row r="479" spans="1:13" x14ac:dyDescent="0.35">
      <c r="A479">
        <v>478</v>
      </c>
      <c r="B479" s="761" t="s">
        <v>629</v>
      </c>
      <c r="C479" s="568">
        <v>25</v>
      </c>
      <c r="D479" s="568">
        <v>400</v>
      </c>
      <c r="E479" s="568">
        <v>6</v>
      </c>
      <c r="F479" s="568">
        <v>64</v>
      </c>
      <c r="G479" s="568"/>
      <c r="H479" s="570"/>
      <c r="I479" s="570"/>
      <c r="J479" s="568">
        <v>10</v>
      </c>
      <c r="K479" s="568">
        <v>15</v>
      </c>
      <c r="L479" s="710"/>
      <c r="M479" s="352" t="s">
        <v>35</v>
      </c>
    </row>
    <row r="480" spans="1:13" x14ac:dyDescent="0.35">
      <c r="A480">
        <v>479</v>
      </c>
      <c r="B480" s="761" t="s">
        <v>581</v>
      </c>
      <c r="C480" s="710"/>
      <c r="D480" s="570"/>
      <c r="E480" s="710"/>
      <c r="F480" s="710"/>
      <c r="G480" s="570"/>
      <c r="H480" s="569"/>
      <c r="I480" s="568"/>
      <c r="J480" s="710"/>
      <c r="K480" s="710"/>
      <c r="L480" s="710"/>
      <c r="M480" s="352" t="s">
        <v>35</v>
      </c>
    </row>
    <row r="481" spans="1:13" x14ac:dyDescent="0.35">
      <c r="A481">
        <v>480</v>
      </c>
      <c r="B481" s="761" t="s">
        <v>576</v>
      </c>
      <c r="C481" s="710"/>
      <c r="D481" s="570"/>
      <c r="E481" s="710"/>
      <c r="F481" s="710"/>
      <c r="G481" s="570"/>
      <c r="H481" s="570"/>
      <c r="I481" s="570"/>
      <c r="J481" s="710"/>
      <c r="K481" s="710"/>
      <c r="L481" s="710"/>
      <c r="M481" s="352" t="s">
        <v>35</v>
      </c>
    </row>
    <row r="482" spans="1:13" x14ac:dyDescent="0.35">
      <c r="A482">
        <v>481</v>
      </c>
      <c r="B482" s="865" t="s">
        <v>1386</v>
      </c>
      <c r="C482" s="562">
        <v>4965</v>
      </c>
      <c r="D482" s="562">
        <v>91</v>
      </c>
      <c r="E482" s="562">
        <v>70</v>
      </c>
      <c r="F482" s="562">
        <v>2773</v>
      </c>
      <c r="G482" s="562"/>
      <c r="H482" s="566"/>
      <c r="I482" s="566"/>
      <c r="J482" s="562">
        <v>730</v>
      </c>
      <c r="K482" s="562">
        <v>767</v>
      </c>
      <c r="L482" s="562">
        <v>3468</v>
      </c>
      <c r="M482" s="352" t="s">
        <v>36</v>
      </c>
    </row>
    <row r="483" spans="1:13" x14ac:dyDescent="0.35">
      <c r="A483">
        <v>482</v>
      </c>
      <c r="B483" s="763" t="s">
        <v>1305</v>
      </c>
      <c r="C483" s="562">
        <v>4051</v>
      </c>
      <c r="D483" s="562">
        <v>631</v>
      </c>
      <c r="E483" s="562">
        <v>395</v>
      </c>
      <c r="F483" s="562">
        <v>2999</v>
      </c>
      <c r="G483" s="562"/>
      <c r="H483" s="563"/>
      <c r="I483" s="562"/>
      <c r="J483" s="562">
        <v>170</v>
      </c>
      <c r="K483" s="562">
        <v>626</v>
      </c>
      <c r="L483" s="562">
        <v>3256</v>
      </c>
      <c r="M483" s="352" t="s">
        <v>36</v>
      </c>
    </row>
    <row r="484" spans="1:13" x14ac:dyDescent="0.35">
      <c r="A484">
        <v>483</v>
      </c>
      <c r="B484" s="763" t="s">
        <v>1301</v>
      </c>
      <c r="C484" s="562">
        <v>1227</v>
      </c>
      <c r="D484" s="562">
        <v>480</v>
      </c>
      <c r="E484" s="562">
        <v>170</v>
      </c>
      <c r="F484" s="562">
        <v>470</v>
      </c>
      <c r="G484" s="562"/>
      <c r="H484" s="562"/>
      <c r="I484" s="562"/>
      <c r="J484" s="562">
        <v>50</v>
      </c>
      <c r="K484" s="562">
        <v>355</v>
      </c>
      <c r="L484" s="562">
        <v>822</v>
      </c>
      <c r="M484" s="352" t="s">
        <v>36</v>
      </c>
    </row>
    <row r="485" spans="1:13" x14ac:dyDescent="0.35">
      <c r="A485">
        <v>484</v>
      </c>
      <c r="B485" s="763" t="s">
        <v>1303</v>
      </c>
      <c r="C485" s="562">
        <v>1022</v>
      </c>
      <c r="D485" s="562">
        <v>590</v>
      </c>
      <c r="E485" s="562">
        <v>307</v>
      </c>
      <c r="F485" s="562">
        <v>700</v>
      </c>
      <c r="G485" s="562"/>
      <c r="H485" s="566"/>
      <c r="I485" s="566"/>
      <c r="J485" s="566"/>
      <c r="K485" s="562">
        <v>520</v>
      </c>
      <c r="L485" s="562">
        <v>502</v>
      </c>
      <c r="M485" s="352" t="s">
        <v>36</v>
      </c>
    </row>
    <row r="486" spans="1:13" x14ac:dyDescent="0.35">
      <c r="A486">
        <v>485</v>
      </c>
      <c r="B486" s="763" t="s">
        <v>1300</v>
      </c>
      <c r="C486" s="562">
        <v>992</v>
      </c>
      <c r="D486" s="562">
        <v>447</v>
      </c>
      <c r="E486" s="562">
        <v>200</v>
      </c>
      <c r="F486" s="562">
        <v>977</v>
      </c>
      <c r="G486" s="562"/>
      <c r="H486" s="562"/>
      <c r="I486" s="562"/>
      <c r="J486" s="562">
        <v>25</v>
      </c>
      <c r="K486" s="562">
        <v>447</v>
      </c>
      <c r="L486" s="562">
        <v>520</v>
      </c>
      <c r="M486" s="352" t="s">
        <v>36</v>
      </c>
    </row>
    <row r="487" spans="1:13" x14ac:dyDescent="0.35">
      <c r="A487">
        <v>486</v>
      </c>
      <c r="B487" s="763" t="s">
        <v>1302</v>
      </c>
      <c r="C487" s="562">
        <v>812</v>
      </c>
      <c r="D487" s="562">
        <v>370</v>
      </c>
      <c r="E487" s="562">
        <v>161</v>
      </c>
      <c r="F487" s="562">
        <v>560</v>
      </c>
      <c r="G487" s="562"/>
      <c r="H487" s="562"/>
      <c r="I487" s="562"/>
      <c r="J487" s="566"/>
      <c r="K487" s="562">
        <v>435</v>
      </c>
      <c r="L487" s="562">
        <v>377</v>
      </c>
      <c r="M487" s="352" t="s">
        <v>36</v>
      </c>
    </row>
    <row r="488" spans="1:13" x14ac:dyDescent="0.35">
      <c r="A488">
        <v>487</v>
      </c>
      <c r="B488" s="763" t="s">
        <v>1298</v>
      </c>
      <c r="C488" s="562">
        <v>293</v>
      </c>
      <c r="D488" s="562">
        <v>275</v>
      </c>
      <c r="E488" s="562">
        <v>10</v>
      </c>
      <c r="F488" s="562">
        <v>350</v>
      </c>
      <c r="G488" s="562"/>
      <c r="H488" s="562"/>
      <c r="I488" s="562"/>
      <c r="J488" s="566"/>
      <c r="K488" s="562">
        <v>36</v>
      </c>
      <c r="L488" s="562">
        <v>257</v>
      </c>
      <c r="M488" s="352" t="s">
        <v>36</v>
      </c>
    </row>
    <row r="489" spans="1:13" x14ac:dyDescent="0.35">
      <c r="A489">
        <v>488</v>
      </c>
      <c r="B489" s="763" t="s">
        <v>1334</v>
      </c>
      <c r="C489" s="562">
        <v>93</v>
      </c>
      <c r="D489" s="562">
        <v>189</v>
      </c>
      <c r="E489" s="562">
        <v>9</v>
      </c>
      <c r="F489" s="562">
        <v>76</v>
      </c>
      <c r="G489" s="562"/>
      <c r="H489" s="563"/>
      <c r="I489" s="563"/>
      <c r="J489" s="566"/>
      <c r="K489" s="562">
        <v>45</v>
      </c>
      <c r="L489" s="562">
        <v>48</v>
      </c>
      <c r="M489" s="352" t="s">
        <v>36</v>
      </c>
    </row>
    <row r="490" spans="1:13" x14ac:dyDescent="0.35">
      <c r="A490">
        <v>489</v>
      </c>
      <c r="B490" s="763" t="s">
        <v>1296</v>
      </c>
      <c r="C490" s="562">
        <v>79</v>
      </c>
      <c r="D490" s="566"/>
      <c r="E490" s="566"/>
      <c r="F490" s="562">
        <v>226</v>
      </c>
      <c r="G490" s="566"/>
      <c r="H490" s="563"/>
      <c r="I490" s="562"/>
      <c r="J490" s="566"/>
      <c r="K490" s="566"/>
      <c r="L490" s="562">
        <v>79</v>
      </c>
      <c r="M490" s="352" t="s">
        <v>36</v>
      </c>
    </row>
    <row r="491" spans="1:13" x14ac:dyDescent="0.35">
      <c r="A491">
        <v>490</v>
      </c>
      <c r="B491" s="763" t="s">
        <v>1304</v>
      </c>
      <c r="C491" s="562">
        <v>30</v>
      </c>
      <c r="D491" s="562">
        <v>300</v>
      </c>
      <c r="E491" s="562">
        <v>3</v>
      </c>
      <c r="F491" s="562">
        <v>15</v>
      </c>
      <c r="G491" s="562"/>
      <c r="H491" s="562"/>
      <c r="I491" s="562"/>
      <c r="J491" s="562">
        <v>12</v>
      </c>
      <c r="K491" s="562">
        <v>10</v>
      </c>
      <c r="L491" s="562">
        <v>8</v>
      </c>
      <c r="M491" s="352" t="s">
        <v>36</v>
      </c>
    </row>
    <row r="492" spans="1:13" x14ac:dyDescent="0.35">
      <c r="A492">
        <v>491</v>
      </c>
      <c r="B492" s="763" t="s">
        <v>1307</v>
      </c>
      <c r="C492" s="562">
        <v>4</v>
      </c>
      <c r="D492" s="566"/>
      <c r="E492" s="566"/>
      <c r="F492" s="562">
        <v>19</v>
      </c>
      <c r="G492" s="566"/>
      <c r="H492" s="563"/>
      <c r="I492" s="562"/>
      <c r="J492" s="566"/>
      <c r="K492" s="566"/>
      <c r="L492" s="562">
        <v>4</v>
      </c>
      <c r="M492" s="352" t="s">
        <v>36</v>
      </c>
    </row>
    <row r="493" spans="1:13" x14ac:dyDescent="0.35">
      <c r="A493">
        <v>492</v>
      </c>
      <c r="B493" s="763" t="s">
        <v>1297</v>
      </c>
      <c r="C493" s="566"/>
      <c r="D493" s="566"/>
      <c r="E493" s="566"/>
      <c r="F493" s="566"/>
      <c r="G493" s="566"/>
      <c r="H493" s="563"/>
      <c r="I493" s="562"/>
      <c r="J493" s="566"/>
      <c r="K493" s="566"/>
      <c r="L493" s="566"/>
      <c r="M493" s="352" t="s">
        <v>36</v>
      </c>
    </row>
    <row r="494" spans="1:13" x14ac:dyDescent="0.35">
      <c r="A494">
        <v>493</v>
      </c>
      <c r="B494" s="763" t="s">
        <v>1306</v>
      </c>
      <c r="C494" s="566"/>
      <c r="D494" s="566"/>
      <c r="E494" s="566"/>
      <c r="F494" s="566"/>
      <c r="G494" s="566"/>
      <c r="H494" s="563"/>
      <c r="I494" s="563"/>
      <c r="J494" s="566"/>
      <c r="K494" s="566"/>
      <c r="L494" s="566"/>
      <c r="M494" s="352" t="s">
        <v>36</v>
      </c>
    </row>
  </sheetData>
  <sortState xmlns:xlrd2="http://schemas.microsoft.com/office/spreadsheetml/2017/richdata2" ref="B323:L336">
    <sortCondition descending="1" ref="C323:C336"/>
    <sortCondition descending="1" ref="E323:E336"/>
    <sortCondition descending="1" ref="K323:K33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B292-1822-48D8-BF18-0669DE35F714}">
  <dimension ref="A1:L36"/>
  <sheetViews>
    <sheetView topLeftCell="B7" zoomScale="62" workbookViewId="0">
      <selection activeCell="C1" sqref="C1:L36"/>
    </sheetView>
  </sheetViews>
  <sheetFormatPr defaultRowHeight="14.5" x14ac:dyDescent="0.35"/>
  <cols>
    <col min="2" max="2" width="20.1796875" customWidth="1"/>
    <col min="3" max="3" width="17.81640625" customWidth="1"/>
    <col min="4" max="4" width="16.453125" customWidth="1"/>
    <col min="5" max="5" width="17.453125" customWidth="1"/>
    <col min="6" max="6" width="15.54296875" customWidth="1"/>
    <col min="7" max="7" width="24.81640625" customWidth="1"/>
    <col min="8" max="8" width="32.453125" customWidth="1"/>
    <col min="9" max="9" width="25.26953125" customWidth="1"/>
    <col min="10" max="10" width="21.54296875" customWidth="1"/>
    <col min="11" max="11" width="18.1796875" customWidth="1"/>
    <col min="12" max="12" width="19.1796875" customWidth="1"/>
  </cols>
  <sheetData>
    <row r="1" spans="1:12" ht="34.5" customHeight="1" x14ac:dyDescent="0.35">
      <c r="A1" s="1" t="s">
        <v>0</v>
      </c>
      <c r="B1" s="2" t="s">
        <v>1</v>
      </c>
      <c r="C1" s="27" t="s">
        <v>104</v>
      </c>
      <c r="D1" s="27" t="s">
        <v>103</v>
      </c>
      <c r="E1" s="27" t="s">
        <v>102</v>
      </c>
      <c r="F1" s="101" t="s">
        <v>95</v>
      </c>
      <c r="G1" s="97" t="s">
        <v>99</v>
      </c>
      <c r="H1" s="97" t="s">
        <v>100</v>
      </c>
      <c r="I1" s="97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19">
        <v>98276</v>
      </c>
      <c r="D2" s="14">
        <v>712</v>
      </c>
      <c r="E2" s="14">
        <v>40948</v>
      </c>
      <c r="F2" s="73">
        <v>128212</v>
      </c>
      <c r="G2" s="19">
        <v>98276</v>
      </c>
      <c r="H2" s="98"/>
      <c r="I2" s="98"/>
      <c r="J2" s="73">
        <v>26649</v>
      </c>
      <c r="K2" s="73">
        <v>57546</v>
      </c>
      <c r="L2" s="73">
        <v>14081</v>
      </c>
    </row>
    <row r="3" spans="1:12" x14ac:dyDescent="0.35">
      <c r="A3" s="4">
        <v>2</v>
      </c>
      <c r="B3" s="9" t="s">
        <v>3</v>
      </c>
      <c r="C3" s="73">
        <v>54653</v>
      </c>
      <c r="D3" s="14">
        <v>970</v>
      </c>
      <c r="E3" s="14">
        <v>35880</v>
      </c>
      <c r="F3" s="73">
        <v>79267</v>
      </c>
      <c r="G3" s="19">
        <v>54467</v>
      </c>
      <c r="H3" s="19"/>
      <c r="I3" s="98">
        <v>186</v>
      </c>
      <c r="J3" s="73">
        <v>12857</v>
      </c>
      <c r="K3" s="73">
        <v>36985</v>
      </c>
      <c r="L3" s="73">
        <v>4811</v>
      </c>
    </row>
    <row r="4" spans="1:12" x14ac:dyDescent="0.35">
      <c r="A4" s="4">
        <v>3</v>
      </c>
      <c r="B4" s="9" t="s">
        <v>4</v>
      </c>
      <c r="C4" s="73">
        <v>67804</v>
      </c>
      <c r="D4" s="14">
        <v>891</v>
      </c>
      <c r="E4" s="14">
        <v>40201</v>
      </c>
      <c r="F4" s="73">
        <v>93028</v>
      </c>
      <c r="G4" s="19">
        <v>67456</v>
      </c>
      <c r="H4" s="99"/>
      <c r="I4" s="98">
        <v>347</v>
      </c>
      <c r="J4" s="73">
        <v>11356</v>
      </c>
      <c r="K4" s="73">
        <v>45117</v>
      </c>
      <c r="L4" s="73">
        <v>11331</v>
      </c>
    </row>
    <row r="5" spans="1:12" x14ac:dyDescent="0.35">
      <c r="A5" s="4">
        <v>4</v>
      </c>
      <c r="B5" s="9" t="s">
        <v>5</v>
      </c>
      <c r="C5" s="19">
        <v>3752</v>
      </c>
      <c r="D5" s="14">
        <v>451</v>
      </c>
      <c r="E5" s="14">
        <v>959</v>
      </c>
      <c r="F5" s="73">
        <v>13200</v>
      </c>
      <c r="G5" s="19">
        <v>3752</v>
      </c>
      <c r="H5" s="98"/>
      <c r="I5" s="98"/>
      <c r="J5" s="98">
        <v>917</v>
      </c>
      <c r="K5" s="73">
        <v>2128</v>
      </c>
      <c r="L5" s="98">
        <v>707</v>
      </c>
    </row>
    <row r="6" spans="1:12" x14ac:dyDescent="0.35">
      <c r="A6" s="4">
        <v>5</v>
      </c>
      <c r="B6" s="9" t="s">
        <v>6</v>
      </c>
      <c r="C6" s="19">
        <v>34</v>
      </c>
      <c r="D6" s="14">
        <v>1108</v>
      </c>
      <c r="E6" s="14">
        <v>7</v>
      </c>
      <c r="F6" s="98">
        <v>188</v>
      </c>
      <c r="G6" s="19">
        <v>34</v>
      </c>
      <c r="H6" s="98"/>
      <c r="I6" s="98"/>
      <c r="J6" s="98">
        <v>24</v>
      </c>
      <c r="K6" s="98">
        <v>7</v>
      </c>
      <c r="L6" s="98">
        <v>3</v>
      </c>
    </row>
    <row r="7" spans="1:12" x14ac:dyDescent="0.35">
      <c r="A7" s="4">
        <v>6</v>
      </c>
      <c r="B7" s="9" t="s">
        <v>7</v>
      </c>
      <c r="C7" s="19">
        <v>2805</v>
      </c>
      <c r="D7" s="14">
        <v>587</v>
      </c>
      <c r="E7" s="14">
        <v>929</v>
      </c>
      <c r="F7" s="73">
        <v>6235</v>
      </c>
      <c r="G7" s="19">
        <v>2805</v>
      </c>
      <c r="H7" s="98"/>
      <c r="I7" s="98"/>
      <c r="J7" s="98">
        <v>840</v>
      </c>
      <c r="K7" s="73">
        <v>1582</v>
      </c>
      <c r="L7" s="98">
        <v>383</v>
      </c>
    </row>
    <row r="8" spans="1:12" x14ac:dyDescent="0.35">
      <c r="A8" s="4">
        <v>7</v>
      </c>
      <c r="B8" s="9" t="s">
        <v>8</v>
      </c>
      <c r="C8" s="19">
        <v>8047</v>
      </c>
      <c r="D8" s="14">
        <v>734</v>
      </c>
      <c r="E8" s="14">
        <v>3017</v>
      </c>
      <c r="F8" s="73">
        <v>7824</v>
      </c>
      <c r="G8" s="19">
        <v>8047</v>
      </c>
      <c r="H8" s="98"/>
      <c r="I8" s="98"/>
      <c r="J8" s="73">
        <v>3434</v>
      </c>
      <c r="K8" s="73">
        <v>4109</v>
      </c>
      <c r="L8" s="98">
        <v>504</v>
      </c>
    </row>
    <row r="9" spans="1:12" x14ac:dyDescent="0.35">
      <c r="A9" s="4">
        <v>8</v>
      </c>
      <c r="B9" s="9" t="s">
        <v>9</v>
      </c>
      <c r="C9" s="19">
        <v>706</v>
      </c>
      <c r="D9" s="14">
        <v>726</v>
      </c>
      <c r="E9" s="14">
        <v>359</v>
      </c>
      <c r="F9" s="98">
        <v>815</v>
      </c>
      <c r="G9" s="19">
        <v>706</v>
      </c>
      <c r="H9" s="98"/>
      <c r="I9" s="98"/>
      <c r="J9" s="98">
        <v>171</v>
      </c>
      <c r="K9" s="98">
        <v>494</v>
      </c>
      <c r="L9" s="98">
        <v>41</v>
      </c>
    </row>
    <row r="10" spans="1:12" x14ac:dyDescent="0.35">
      <c r="A10" s="4">
        <v>9</v>
      </c>
      <c r="B10" s="9" t="s">
        <v>10</v>
      </c>
      <c r="C10" s="19">
        <v>7154</v>
      </c>
      <c r="D10" s="14">
        <v>702</v>
      </c>
      <c r="E10" s="14">
        <v>3751</v>
      </c>
      <c r="F10" s="73">
        <v>11643</v>
      </c>
      <c r="G10" s="19">
        <v>7154</v>
      </c>
      <c r="H10" s="98"/>
      <c r="I10" s="98"/>
      <c r="J10" s="73">
        <v>1051</v>
      </c>
      <c r="K10" s="73">
        <v>5347</v>
      </c>
      <c r="L10" s="98">
        <v>756</v>
      </c>
    </row>
    <row r="11" spans="1:12" x14ac:dyDescent="0.35">
      <c r="A11" s="4">
        <v>10</v>
      </c>
      <c r="B11" s="9" t="s">
        <v>11</v>
      </c>
      <c r="C11" s="73">
        <v>77391</v>
      </c>
      <c r="D11" s="14">
        <v>876</v>
      </c>
      <c r="E11" s="14">
        <v>54796</v>
      </c>
      <c r="F11" s="73">
        <v>138625</v>
      </c>
      <c r="G11" s="100">
        <v>77092</v>
      </c>
      <c r="H11" s="98"/>
      <c r="I11" s="98">
        <v>299</v>
      </c>
      <c r="J11" s="73">
        <v>6408</v>
      </c>
      <c r="K11" s="73">
        <v>62585</v>
      </c>
      <c r="L11" s="73">
        <v>8398</v>
      </c>
    </row>
    <row r="12" spans="1:12" s="108" customFormat="1" x14ac:dyDescent="0.35">
      <c r="A12" s="102">
        <v>11</v>
      </c>
      <c r="B12" s="103" t="s">
        <v>12</v>
      </c>
      <c r="C12" s="104"/>
      <c r="D12" s="105"/>
      <c r="E12" s="106"/>
      <c r="F12" s="107"/>
      <c r="G12" s="107"/>
      <c r="H12" s="107"/>
      <c r="I12" s="107"/>
      <c r="J12" s="107"/>
      <c r="K12" s="107"/>
      <c r="L12" s="107"/>
    </row>
    <row r="13" spans="1:12" x14ac:dyDescent="0.35">
      <c r="A13" s="4">
        <v>12</v>
      </c>
      <c r="B13" s="9" t="s">
        <v>14</v>
      </c>
      <c r="C13" s="19">
        <v>9764</v>
      </c>
      <c r="D13" s="14">
        <v>455</v>
      </c>
      <c r="E13" s="14">
        <v>2199</v>
      </c>
      <c r="F13" s="73">
        <v>15209</v>
      </c>
      <c r="G13" s="73">
        <v>4780</v>
      </c>
      <c r="H13" s="98"/>
      <c r="I13" s="73">
        <v>4984</v>
      </c>
      <c r="J13" s="73">
        <v>1579</v>
      </c>
      <c r="K13" s="73">
        <v>4837</v>
      </c>
      <c r="L13" s="73">
        <v>3349</v>
      </c>
    </row>
    <row r="14" spans="1:12" x14ac:dyDescent="0.35">
      <c r="A14" s="4">
        <v>13</v>
      </c>
      <c r="B14" s="9" t="s">
        <v>15</v>
      </c>
      <c r="C14" s="19">
        <v>7651</v>
      </c>
      <c r="D14" s="14">
        <v>591</v>
      </c>
      <c r="E14" s="14">
        <v>2044</v>
      </c>
      <c r="F14" s="73">
        <v>7739</v>
      </c>
      <c r="G14" s="73">
        <v>7615</v>
      </c>
      <c r="H14" s="98"/>
      <c r="I14" s="98"/>
      <c r="J14" s="73">
        <v>2353</v>
      </c>
      <c r="K14" s="73">
        <v>3940</v>
      </c>
      <c r="L14" s="73">
        <v>1322</v>
      </c>
    </row>
    <row r="15" spans="1:12" x14ac:dyDescent="0.35">
      <c r="A15" s="4">
        <v>14</v>
      </c>
      <c r="B15" s="9" t="s">
        <v>16</v>
      </c>
      <c r="C15" s="19">
        <v>6008</v>
      </c>
      <c r="D15" s="14">
        <v>369</v>
      </c>
      <c r="E15" s="14">
        <v>1428</v>
      </c>
      <c r="F15" s="73">
        <v>16633</v>
      </c>
      <c r="G15" s="73">
        <v>5182</v>
      </c>
      <c r="H15" s="98">
        <v>36</v>
      </c>
      <c r="I15" s="98">
        <v>790</v>
      </c>
      <c r="J15" s="73">
        <v>1767</v>
      </c>
      <c r="K15" s="73">
        <v>3874</v>
      </c>
      <c r="L15" s="98">
        <v>366</v>
      </c>
    </row>
    <row r="16" spans="1:12" x14ac:dyDescent="0.35">
      <c r="A16" s="4">
        <v>15</v>
      </c>
      <c r="B16" s="9" t="s">
        <v>17</v>
      </c>
      <c r="C16" s="19">
        <v>5249</v>
      </c>
      <c r="D16" s="14">
        <v>583</v>
      </c>
      <c r="E16" s="14">
        <v>1991</v>
      </c>
      <c r="F16" s="73">
        <v>27925</v>
      </c>
      <c r="G16" s="73">
        <v>5249</v>
      </c>
      <c r="H16" s="98"/>
      <c r="I16" s="98"/>
      <c r="J16" s="98">
        <v>991</v>
      </c>
      <c r="K16" s="73">
        <v>3416</v>
      </c>
      <c r="L16" s="98">
        <v>842</v>
      </c>
    </row>
    <row r="17" spans="1:12" x14ac:dyDescent="0.35">
      <c r="A17" s="4">
        <v>16</v>
      </c>
      <c r="B17" s="9" t="s">
        <v>18</v>
      </c>
      <c r="C17" s="19">
        <v>41485</v>
      </c>
      <c r="D17" s="14">
        <v>773</v>
      </c>
      <c r="E17" s="14">
        <v>21753</v>
      </c>
      <c r="F17" s="73">
        <v>91064</v>
      </c>
      <c r="G17" s="73">
        <v>38809</v>
      </c>
      <c r="H17" s="98">
        <v>600</v>
      </c>
      <c r="I17" s="73">
        <v>2077</v>
      </c>
      <c r="J17" s="73">
        <v>7508</v>
      </c>
      <c r="K17" s="73">
        <v>28158</v>
      </c>
      <c r="L17" s="73">
        <v>5820</v>
      </c>
    </row>
    <row r="18" spans="1:12" x14ac:dyDescent="0.35">
      <c r="A18" s="4">
        <v>17</v>
      </c>
      <c r="B18" s="9" t="s">
        <v>19</v>
      </c>
      <c r="C18" s="19">
        <v>13908</v>
      </c>
      <c r="D18" s="14">
        <v>474</v>
      </c>
      <c r="E18" s="14">
        <v>4880</v>
      </c>
      <c r="F18" s="73">
        <v>55856</v>
      </c>
      <c r="G18" s="73">
        <v>13876</v>
      </c>
      <c r="H18" s="98">
        <v>18</v>
      </c>
      <c r="I18" s="98">
        <v>14</v>
      </c>
      <c r="J18" s="73">
        <v>1264</v>
      </c>
      <c r="K18" s="73">
        <v>10290</v>
      </c>
      <c r="L18" s="73">
        <v>2354</v>
      </c>
    </row>
    <row r="19" spans="1:12" x14ac:dyDescent="0.35">
      <c r="A19" s="4">
        <v>18</v>
      </c>
      <c r="B19" s="9" t="s">
        <v>20</v>
      </c>
      <c r="C19" s="19">
        <v>7831</v>
      </c>
      <c r="D19" s="14">
        <v>532</v>
      </c>
      <c r="E19" s="14">
        <v>2524</v>
      </c>
      <c r="F19" s="73">
        <v>8288</v>
      </c>
      <c r="G19" s="73">
        <v>7831</v>
      </c>
      <c r="H19" s="98"/>
      <c r="I19" s="98"/>
      <c r="J19" s="73">
        <v>1944</v>
      </c>
      <c r="K19" s="73">
        <v>4746</v>
      </c>
      <c r="L19" s="73">
        <v>1141</v>
      </c>
    </row>
    <row r="20" spans="1:12" x14ac:dyDescent="0.35">
      <c r="A20" s="4">
        <v>19</v>
      </c>
      <c r="B20" s="9" t="s">
        <v>21</v>
      </c>
      <c r="C20" s="19">
        <v>63939</v>
      </c>
      <c r="D20" s="14">
        <v>599</v>
      </c>
      <c r="E20" s="14">
        <v>20803</v>
      </c>
      <c r="F20" s="73">
        <v>98513</v>
      </c>
      <c r="G20" s="73">
        <v>61936</v>
      </c>
      <c r="H20" s="98"/>
      <c r="I20" s="73">
        <v>2004</v>
      </c>
      <c r="J20" s="73">
        <v>24490</v>
      </c>
      <c r="K20" s="73">
        <v>34745</v>
      </c>
      <c r="L20" s="73">
        <v>4705</v>
      </c>
    </row>
    <row r="21" spans="1:12" x14ac:dyDescent="0.35">
      <c r="A21" s="4">
        <v>20</v>
      </c>
      <c r="B21" s="9" t="s">
        <v>22</v>
      </c>
      <c r="C21" s="19">
        <v>10106</v>
      </c>
      <c r="D21" s="14">
        <v>487</v>
      </c>
      <c r="E21" s="14">
        <v>2132</v>
      </c>
      <c r="F21" s="73">
        <v>10972</v>
      </c>
      <c r="G21" s="73">
        <v>10106</v>
      </c>
      <c r="H21" s="98"/>
      <c r="I21" s="98"/>
      <c r="J21" s="73">
        <v>2359</v>
      </c>
      <c r="K21" s="73">
        <v>4381</v>
      </c>
      <c r="L21" s="73">
        <v>3366</v>
      </c>
    </row>
    <row r="22" spans="1:12" x14ac:dyDescent="0.35">
      <c r="A22" s="4">
        <v>21</v>
      </c>
      <c r="B22" s="9" t="s">
        <v>23</v>
      </c>
      <c r="C22" s="19">
        <v>2872</v>
      </c>
      <c r="D22" s="14">
        <v>895</v>
      </c>
      <c r="E22" s="14">
        <v>1552</v>
      </c>
      <c r="F22" s="73">
        <v>2265</v>
      </c>
      <c r="G22" s="73">
        <v>2872</v>
      </c>
      <c r="H22" s="98"/>
      <c r="I22" s="98"/>
      <c r="J22" s="73">
        <v>1053</v>
      </c>
      <c r="K22" s="73">
        <v>1735</v>
      </c>
      <c r="L22" s="73">
        <v>83</v>
      </c>
    </row>
    <row r="23" spans="1:12" x14ac:dyDescent="0.35">
      <c r="A23" s="4">
        <v>22</v>
      </c>
      <c r="B23" s="9" t="s">
        <v>24</v>
      </c>
      <c r="C23" s="19">
        <v>623</v>
      </c>
      <c r="D23" s="14">
        <v>377</v>
      </c>
      <c r="E23" s="14">
        <v>81</v>
      </c>
      <c r="F23" s="98">
        <v>901</v>
      </c>
      <c r="G23" s="98">
        <v>623</v>
      </c>
      <c r="H23" s="98"/>
      <c r="I23" s="98"/>
      <c r="J23" s="98">
        <v>319</v>
      </c>
      <c r="K23" s="98">
        <v>215</v>
      </c>
      <c r="L23" s="73">
        <v>89</v>
      </c>
    </row>
    <row r="24" spans="1:12" x14ac:dyDescent="0.35">
      <c r="A24" s="4">
        <v>23</v>
      </c>
      <c r="B24" s="9" t="s">
        <v>25</v>
      </c>
      <c r="C24" s="19">
        <v>7021</v>
      </c>
      <c r="D24" s="14">
        <v>750</v>
      </c>
      <c r="E24" s="14">
        <v>3114</v>
      </c>
      <c r="F24" s="73">
        <v>3721</v>
      </c>
      <c r="G24" s="73">
        <v>7021</v>
      </c>
      <c r="H24" s="98"/>
      <c r="I24" s="98"/>
      <c r="J24" s="73">
        <v>2478</v>
      </c>
      <c r="K24" s="73">
        <v>4152</v>
      </c>
      <c r="L24" s="73">
        <v>391</v>
      </c>
    </row>
    <row r="25" spans="1:12" x14ac:dyDescent="0.35">
      <c r="A25" s="4">
        <v>24</v>
      </c>
      <c r="B25" s="9" t="s">
        <v>26</v>
      </c>
      <c r="C25" s="19">
        <v>2581</v>
      </c>
      <c r="D25" s="14">
        <v>372</v>
      </c>
      <c r="E25" s="14">
        <v>687</v>
      </c>
      <c r="F25" s="73">
        <v>2016</v>
      </c>
      <c r="G25" s="73">
        <v>2581</v>
      </c>
      <c r="H25" s="98"/>
      <c r="I25" s="98"/>
      <c r="J25" s="98">
        <v>410</v>
      </c>
      <c r="K25" s="73">
        <v>1847</v>
      </c>
      <c r="L25" s="98">
        <v>325</v>
      </c>
    </row>
    <row r="26" spans="1:12" x14ac:dyDescent="0.35">
      <c r="A26" s="4">
        <v>25</v>
      </c>
      <c r="B26" s="9" t="s">
        <v>27</v>
      </c>
      <c r="C26" s="19">
        <v>17767</v>
      </c>
      <c r="D26" s="14">
        <v>621</v>
      </c>
      <c r="E26" s="14">
        <v>5244</v>
      </c>
      <c r="F26" s="73">
        <v>20218</v>
      </c>
      <c r="G26" s="73">
        <v>17000</v>
      </c>
      <c r="H26" s="98"/>
      <c r="I26" s="98">
        <v>766</v>
      </c>
      <c r="J26" s="73">
        <v>5595</v>
      </c>
      <c r="K26" s="73">
        <v>8575</v>
      </c>
      <c r="L26" s="73">
        <v>3359</v>
      </c>
    </row>
    <row r="27" spans="1:12" x14ac:dyDescent="0.35">
      <c r="A27" s="4">
        <v>26</v>
      </c>
      <c r="B27" s="9" t="s">
        <v>28</v>
      </c>
      <c r="C27" s="19">
        <v>14092</v>
      </c>
      <c r="D27" s="14">
        <v>698</v>
      </c>
      <c r="E27" s="14">
        <v>3436</v>
      </c>
      <c r="F27" s="73">
        <v>14505</v>
      </c>
      <c r="G27" s="73">
        <v>14092</v>
      </c>
      <c r="H27" s="98"/>
      <c r="I27" s="98"/>
      <c r="J27" s="73">
        <v>5616</v>
      </c>
      <c r="K27" s="73">
        <v>4924</v>
      </c>
      <c r="L27" s="98">
        <v>3552</v>
      </c>
    </row>
    <row r="28" spans="1:12" x14ac:dyDescent="0.35">
      <c r="A28" s="4">
        <v>27</v>
      </c>
      <c r="B28" s="9" t="s">
        <v>29</v>
      </c>
      <c r="C28" s="19">
        <v>276324</v>
      </c>
      <c r="D28" s="14">
        <v>702</v>
      </c>
      <c r="E28" s="14">
        <v>130650</v>
      </c>
      <c r="F28" s="73">
        <v>172033</v>
      </c>
      <c r="G28" s="73">
        <v>276324</v>
      </c>
      <c r="H28" s="98"/>
      <c r="I28" s="98"/>
      <c r="J28" s="73">
        <v>35858</v>
      </c>
      <c r="K28" s="73">
        <v>186206</v>
      </c>
      <c r="L28" s="73">
        <v>54260</v>
      </c>
    </row>
    <row r="29" spans="1:12" x14ac:dyDescent="0.35">
      <c r="A29" s="4">
        <v>28</v>
      </c>
      <c r="B29" s="9" t="s">
        <v>30</v>
      </c>
      <c r="C29" s="19">
        <v>187985</v>
      </c>
      <c r="D29" s="14">
        <v>814</v>
      </c>
      <c r="E29" s="14">
        <v>107075</v>
      </c>
      <c r="F29" s="73">
        <v>214231</v>
      </c>
      <c r="G29" s="73">
        <v>187985</v>
      </c>
      <c r="H29" s="98"/>
      <c r="I29" s="98"/>
      <c r="J29" s="73">
        <v>22142</v>
      </c>
      <c r="K29" s="73">
        <v>131518</v>
      </c>
      <c r="L29" s="73">
        <v>34325</v>
      </c>
    </row>
    <row r="30" spans="1:12" x14ac:dyDescent="0.35">
      <c r="A30" s="4">
        <v>29</v>
      </c>
      <c r="B30" s="9" t="s">
        <v>31</v>
      </c>
      <c r="C30" s="19">
        <v>143426</v>
      </c>
      <c r="D30" s="14">
        <v>794</v>
      </c>
      <c r="E30" s="14">
        <v>70946</v>
      </c>
      <c r="F30" s="73">
        <v>133333</v>
      </c>
      <c r="G30" s="73">
        <v>143426</v>
      </c>
      <c r="H30" s="98"/>
      <c r="I30" s="98"/>
      <c r="J30" s="73">
        <v>5807</v>
      </c>
      <c r="K30" s="73">
        <v>89388</v>
      </c>
      <c r="L30" s="73">
        <v>48231</v>
      </c>
    </row>
    <row r="31" spans="1:12" x14ac:dyDescent="0.35">
      <c r="A31" s="4">
        <v>30</v>
      </c>
      <c r="B31" s="9" t="s">
        <v>32</v>
      </c>
      <c r="C31" s="19">
        <v>244652</v>
      </c>
      <c r="D31" s="14">
        <v>663</v>
      </c>
      <c r="E31" s="14">
        <v>144828</v>
      </c>
      <c r="F31" s="73">
        <v>156296</v>
      </c>
      <c r="G31" s="73">
        <v>244652</v>
      </c>
      <c r="H31" s="98"/>
      <c r="I31" s="98"/>
      <c r="J31" s="73">
        <v>35553</v>
      </c>
      <c r="K31" s="73">
        <v>173250</v>
      </c>
      <c r="L31" s="73">
        <v>35849</v>
      </c>
    </row>
    <row r="32" spans="1:12" x14ac:dyDescent="0.35">
      <c r="A32" s="4">
        <v>31</v>
      </c>
      <c r="B32" s="9" t="s">
        <v>33</v>
      </c>
      <c r="C32" s="19">
        <v>24046</v>
      </c>
      <c r="D32" s="14">
        <v>550</v>
      </c>
      <c r="E32" s="14">
        <v>8243</v>
      </c>
      <c r="F32" s="73">
        <v>32592</v>
      </c>
      <c r="G32" s="73">
        <v>24040</v>
      </c>
      <c r="H32" s="98"/>
      <c r="I32" s="98">
        <v>6</v>
      </c>
      <c r="J32" s="73">
        <v>5746</v>
      </c>
      <c r="K32" s="73">
        <v>14990</v>
      </c>
      <c r="L32" s="73">
        <v>3310</v>
      </c>
    </row>
    <row r="33" spans="1:12" x14ac:dyDescent="0.35">
      <c r="A33" s="4">
        <v>32</v>
      </c>
      <c r="B33" s="9" t="s">
        <v>34</v>
      </c>
      <c r="C33" s="19">
        <v>22582</v>
      </c>
      <c r="D33" s="14">
        <v>694</v>
      </c>
      <c r="E33" s="14">
        <v>8676</v>
      </c>
      <c r="F33" s="73">
        <v>17801</v>
      </c>
      <c r="G33" s="73">
        <v>22582</v>
      </c>
      <c r="H33" s="98"/>
      <c r="I33" s="98"/>
      <c r="J33" s="73">
        <v>5245</v>
      </c>
      <c r="K33" s="73">
        <v>12493</v>
      </c>
      <c r="L33" s="73">
        <v>4844</v>
      </c>
    </row>
    <row r="34" spans="1:12" x14ac:dyDescent="0.35">
      <c r="A34" s="4">
        <v>33</v>
      </c>
      <c r="B34" s="9" t="s">
        <v>35</v>
      </c>
      <c r="C34" s="19">
        <v>34136</v>
      </c>
      <c r="D34" s="14">
        <v>609</v>
      </c>
      <c r="E34" s="14">
        <v>10467</v>
      </c>
      <c r="F34" s="73">
        <v>37801</v>
      </c>
      <c r="G34" s="73">
        <v>34136</v>
      </c>
      <c r="H34" s="98"/>
      <c r="I34" s="98"/>
      <c r="J34" s="73">
        <v>10706</v>
      </c>
      <c r="K34" s="73">
        <v>17198</v>
      </c>
      <c r="L34" s="73">
        <v>6232</v>
      </c>
    </row>
    <row r="35" spans="1:12" x14ac:dyDescent="0.35">
      <c r="A35" s="4">
        <v>34</v>
      </c>
      <c r="B35" s="9" t="s">
        <v>36</v>
      </c>
      <c r="C35" s="19">
        <v>13441</v>
      </c>
      <c r="D35" s="14">
        <v>325</v>
      </c>
      <c r="E35" s="21">
        <v>1037</v>
      </c>
      <c r="F35" s="73">
        <v>6277</v>
      </c>
      <c r="G35" s="73">
        <v>13441</v>
      </c>
      <c r="H35" s="98"/>
      <c r="I35" s="98"/>
      <c r="J35" s="73">
        <v>1005</v>
      </c>
      <c r="K35" s="73">
        <v>3194</v>
      </c>
      <c r="L35" s="73">
        <v>9241</v>
      </c>
    </row>
    <row r="36" spans="1:12" x14ac:dyDescent="0.35">
      <c r="B36" s="67" t="s">
        <v>105</v>
      </c>
      <c r="C36" s="127">
        <f>SUM(C2:C35)</f>
        <v>1478111</v>
      </c>
      <c r="D36" s="127">
        <f t="shared" ref="D36:L36" si="0">SUM(D2:D35)</f>
        <v>21484</v>
      </c>
      <c r="E36" s="127">
        <f t="shared" si="0"/>
        <v>736637</v>
      </c>
      <c r="F36" s="127">
        <f t="shared" si="0"/>
        <v>1625226</v>
      </c>
      <c r="G36" s="127">
        <f t="shared" si="0"/>
        <v>1465948</v>
      </c>
      <c r="H36" s="127">
        <f t="shared" si="0"/>
        <v>654</v>
      </c>
      <c r="I36" s="127">
        <f t="shared" si="0"/>
        <v>11473</v>
      </c>
      <c r="J36" s="127">
        <f t="shared" si="0"/>
        <v>245495</v>
      </c>
      <c r="K36" s="127">
        <f t="shared" si="0"/>
        <v>963972</v>
      </c>
      <c r="L36" s="127">
        <f t="shared" si="0"/>
        <v>268371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AA2F-DBDE-4911-99B4-EE8153E74AF4}">
  <dimension ref="A1:L426"/>
  <sheetViews>
    <sheetView workbookViewId="0">
      <selection activeCell="G36" sqref="G35:G36"/>
    </sheetView>
  </sheetViews>
  <sheetFormatPr defaultRowHeight="14.5" x14ac:dyDescent="0.35"/>
  <cols>
    <col min="2" max="2" width="18.7265625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</cols>
  <sheetData>
    <row r="1" spans="1:12" x14ac:dyDescent="0.35">
      <c r="A1" t="s">
        <v>0</v>
      </c>
      <c r="B1" t="s">
        <v>162</v>
      </c>
      <c r="C1" t="s">
        <v>104</v>
      </c>
      <c r="D1" t="s">
        <v>103</v>
      </c>
      <c r="E1" t="s">
        <v>102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</row>
    <row r="2" spans="1:12" x14ac:dyDescent="0.35">
      <c r="B2" s="133" t="s">
        <v>214</v>
      </c>
    </row>
    <row r="3" spans="1:12" x14ac:dyDescent="0.35">
      <c r="B3" s="133" t="s">
        <v>169</v>
      </c>
    </row>
    <row r="4" spans="1:12" x14ac:dyDescent="0.35">
      <c r="B4" s="133" t="s">
        <v>170</v>
      </c>
    </row>
    <row r="5" spans="1:12" x14ac:dyDescent="0.35">
      <c r="B5" s="133" t="s">
        <v>171</v>
      </c>
    </row>
    <row r="6" spans="1:12" x14ac:dyDescent="0.35">
      <c r="B6" s="133" t="s">
        <v>172</v>
      </c>
    </row>
    <row r="7" spans="1:12" x14ac:dyDescent="0.35">
      <c r="B7" s="133" t="s">
        <v>173</v>
      </c>
    </row>
    <row r="8" spans="1:12" x14ac:dyDescent="0.35">
      <c r="B8" s="133" t="s">
        <v>174</v>
      </c>
    </row>
    <row r="9" spans="1:12" x14ac:dyDescent="0.35">
      <c r="B9" s="133" t="s">
        <v>175</v>
      </c>
    </row>
    <row r="10" spans="1:12" x14ac:dyDescent="0.35">
      <c r="B10" s="133" t="s">
        <v>176</v>
      </c>
    </row>
    <row r="11" spans="1:12" x14ac:dyDescent="0.35">
      <c r="B11" s="133" t="s">
        <v>177</v>
      </c>
    </row>
    <row r="12" spans="1:12" x14ac:dyDescent="0.35">
      <c r="B12" s="133" t="s">
        <v>178</v>
      </c>
    </row>
    <row r="13" spans="1:12" x14ac:dyDescent="0.35">
      <c r="B13" s="133" t="s">
        <v>179</v>
      </c>
    </row>
    <row r="14" spans="1:12" x14ac:dyDescent="0.35">
      <c r="B14" s="133" t="s">
        <v>180</v>
      </c>
    </row>
    <row r="15" spans="1:12" x14ac:dyDescent="0.35">
      <c r="B15" s="133" t="s">
        <v>181</v>
      </c>
    </row>
    <row r="16" spans="1:12" x14ac:dyDescent="0.35">
      <c r="B16" s="133" t="s">
        <v>182</v>
      </c>
    </row>
    <row r="17" spans="2:2" x14ac:dyDescent="0.35">
      <c r="B17" s="133" t="s">
        <v>183</v>
      </c>
    </row>
    <row r="18" spans="2:2" x14ac:dyDescent="0.35">
      <c r="B18" s="133" t="s">
        <v>188</v>
      </c>
    </row>
    <row r="19" spans="2:2" x14ac:dyDescent="0.35">
      <c r="B19" s="133" t="s">
        <v>185</v>
      </c>
    </row>
    <row r="20" spans="2:2" x14ac:dyDescent="0.35">
      <c r="B20" s="133" t="s">
        <v>184</v>
      </c>
    </row>
    <row r="21" spans="2:2" x14ac:dyDescent="0.35">
      <c r="B21" s="133" t="s">
        <v>186</v>
      </c>
    </row>
    <row r="22" spans="2:2" x14ac:dyDescent="0.35">
      <c r="B22" s="133" t="s">
        <v>215</v>
      </c>
    </row>
    <row r="23" spans="2:2" x14ac:dyDescent="0.35">
      <c r="B23" s="133" t="s">
        <v>187</v>
      </c>
    </row>
    <row r="24" spans="2:2" x14ac:dyDescent="0.35">
      <c r="B24" s="134" t="s">
        <v>189</v>
      </c>
    </row>
    <row r="25" spans="2:2" x14ac:dyDescent="0.35">
      <c r="B25" s="134" t="s">
        <v>190</v>
      </c>
    </row>
    <row r="26" spans="2:2" x14ac:dyDescent="0.35">
      <c r="B26" s="134" t="s">
        <v>191</v>
      </c>
    </row>
    <row r="27" spans="2:2" x14ac:dyDescent="0.35">
      <c r="B27" s="134" t="s">
        <v>192</v>
      </c>
    </row>
    <row r="28" spans="2:2" x14ac:dyDescent="0.35">
      <c r="B28" s="134" t="s">
        <v>193</v>
      </c>
    </row>
    <row r="29" spans="2:2" x14ac:dyDescent="0.35">
      <c r="B29" s="134" t="s">
        <v>194</v>
      </c>
    </row>
    <row r="30" spans="2:2" x14ac:dyDescent="0.35">
      <c r="B30" s="134" t="s">
        <v>195</v>
      </c>
    </row>
    <row r="31" spans="2:2" x14ac:dyDescent="0.35">
      <c r="B31" s="134" t="s">
        <v>196</v>
      </c>
    </row>
    <row r="32" spans="2:2" x14ac:dyDescent="0.35">
      <c r="B32" s="134" t="s">
        <v>197</v>
      </c>
    </row>
    <row r="33" spans="2:2" x14ac:dyDescent="0.35">
      <c r="B33" s="134" t="s">
        <v>198</v>
      </c>
    </row>
    <row r="34" spans="2:2" x14ac:dyDescent="0.35">
      <c r="B34" s="134" t="s">
        <v>199</v>
      </c>
    </row>
    <row r="35" spans="2:2" x14ac:dyDescent="0.35">
      <c r="B35" s="134" t="s">
        <v>200</v>
      </c>
    </row>
    <row r="36" spans="2:2" x14ac:dyDescent="0.35">
      <c r="B36" s="134" t="s">
        <v>201</v>
      </c>
    </row>
    <row r="37" spans="2:2" x14ac:dyDescent="0.35">
      <c r="B37" s="134" t="s">
        <v>202</v>
      </c>
    </row>
    <row r="38" spans="2:2" x14ac:dyDescent="0.35">
      <c r="B38" s="134" t="s">
        <v>203</v>
      </c>
    </row>
    <row r="39" spans="2:2" x14ac:dyDescent="0.35">
      <c r="B39" s="134" t="s">
        <v>204</v>
      </c>
    </row>
    <row r="40" spans="2:2" x14ac:dyDescent="0.35">
      <c r="B40" s="134" t="s">
        <v>205</v>
      </c>
    </row>
    <row r="41" spans="2:2" x14ac:dyDescent="0.35">
      <c r="B41" s="134" t="s">
        <v>206</v>
      </c>
    </row>
    <row r="42" spans="2:2" x14ac:dyDescent="0.35">
      <c r="B42" s="134" t="s">
        <v>207</v>
      </c>
    </row>
    <row r="43" spans="2:2" x14ac:dyDescent="0.35">
      <c r="B43" s="134" t="s">
        <v>208</v>
      </c>
    </row>
    <row r="44" spans="2:2" x14ac:dyDescent="0.35">
      <c r="B44" s="134" t="s">
        <v>209</v>
      </c>
    </row>
    <row r="45" spans="2:2" x14ac:dyDescent="0.35">
      <c r="B45" s="134" t="s">
        <v>210</v>
      </c>
    </row>
    <row r="46" spans="2:2" x14ac:dyDescent="0.35">
      <c r="B46" s="134" t="s">
        <v>211</v>
      </c>
    </row>
    <row r="47" spans="2:2" x14ac:dyDescent="0.35">
      <c r="B47" s="134" t="s">
        <v>212</v>
      </c>
    </row>
    <row r="48" spans="2:2" x14ac:dyDescent="0.35">
      <c r="B48" s="134" t="s">
        <v>213</v>
      </c>
    </row>
    <row r="49" spans="2:2" x14ac:dyDescent="0.35">
      <c r="B49" s="134" t="s">
        <v>212</v>
      </c>
    </row>
    <row r="50" spans="2:2" x14ac:dyDescent="0.35">
      <c r="B50" s="135" t="s">
        <v>216</v>
      </c>
    </row>
    <row r="51" spans="2:2" x14ac:dyDescent="0.35">
      <c r="B51" s="135" t="s">
        <v>217</v>
      </c>
    </row>
    <row r="52" spans="2:2" x14ac:dyDescent="0.35">
      <c r="B52" s="135" t="s">
        <v>218</v>
      </c>
    </row>
    <row r="53" spans="2:2" x14ac:dyDescent="0.35">
      <c r="B53" s="135" t="s">
        <v>219</v>
      </c>
    </row>
    <row r="54" spans="2:2" x14ac:dyDescent="0.35">
      <c r="B54" s="135" t="s">
        <v>220</v>
      </c>
    </row>
    <row r="55" spans="2:2" x14ac:dyDescent="0.35">
      <c r="B55" s="135" t="s">
        <v>221</v>
      </c>
    </row>
    <row r="56" spans="2:2" x14ac:dyDescent="0.35">
      <c r="B56" s="135" t="s">
        <v>223</v>
      </c>
    </row>
    <row r="57" spans="2:2" x14ac:dyDescent="0.35">
      <c r="B57" s="135" t="s">
        <v>224</v>
      </c>
    </row>
    <row r="58" spans="2:2" x14ac:dyDescent="0.35">
      <c r="B58" s="135" t="s">
        <v>225</v>
      </c>
    </row>
    <row r="59" spans="2:2" x14ac:dyDescent="0.35">
      <c r="B59" s="135" t="s">
        <v>226</v>
      </c>
    </row>
    <row r="60" spans="2:2" x14ac:dyDescent="0.35">
      <c r="B60" s="135" t="s">
        <v>227</v>
      </c>
    </row>
    <row r="61" spans="2:2" x14ac:dyDescent="0.35">
      <c r="B61" s="135" t="s">
        <v>228</v>
      </c>
    </row>
    <row r="62" spans="2:2" x14ac:dyDescent="0.35">
      <c r="B62" s="135" t="s">
        <v>229</v>
      </c>
    </row>
    <row r="63" spans="2:2" x14ac:dyDescent="0.35">
      <c r="B63" s="135" t="s">
        <v>230</v>
      </c>
    </row>
    <row r="64" spans="2:2" x14ac:dyDescent="0.35">
      <c r="B64" s="135" t="s">
        <v>231</v>
      </c>
    </row>
    <row r="65" spans="2:2" x14ac:dyDescent="0.35">
      <c r="B65" s="135" t="s">
        <v>232</v>
      </c>
    </row>
    <row r="66" spans="2:2" x14ac:dyDescent="0.35">
      <c r="B66" s="135" t="s">
        <v>233</v>
      </c>
    </row>
    <row r="67" spans="2:2" x14ac:dyDescent="0.35">
      <c r="B67" s="135" t="s">
        <v>234</v>
      </c>
    </row>
    <row r="68" spans="2:2" x14ac:dyDescent="0.35">
      <c r="B68" s="136" t="s">
        <v>222</v>
      </c>
    </row>
    <row r="69" spans="2:2" x14ac:dyDescent="0.35">
      <c r="B69" s="137" t="s">
        <v>235</v>
      </c>
    </row>
    <row r="70" spans="2:2" x14ac:dyDescent="0.35">
      <c r="B70" s="137" t="s">
        <v>236</v>
      </c>
    </row>
    <row r="71" spans="2:2" x14ac:dyDescent="0.35">
      <c r="B71" s="137" t="s">
        <v>237</v>
      </c>
    </row>
    <row r="72" spans="2:2" x14ac:dyDescent="0.35">
      <c r="B72" s="137" t="s">
        <v>238</v>
      </c>
    </row>
    <row r="73" spans="2:2" x14ac:dyDescent="0.35">
      <c r="B73" s="137" t="s">
        <v>239</v>
      </c>
    </row>
    <row r="74" spans="2:2" x14ac:dyDescent="0.35">
      <c r="B74" s="137" t="s">
        <v>240</v>
      </c>
    </row>
    <row r="75" spans="2:2" x14ac:dyDescent="0.35">
      <c r="B75" s="137" t="s">
        <v>241</v>
      </c>
    </row>
    <row r="76" spans="2:2" x14ac:dyDescent="0.35">
      <c r="B76" s="137" t="s">
        <v>242</v>
      </c>
    </row>
    <row r="77" spans="2:2" x14ac:dyDescent="0.35">
      <c r="B77" s="137" t="s">
        <v>243</v>
      </c>
    </row>
    <row r="78" spans="2:2" x14ac:dyDescent="0.35">
      <c r="B78" s="137" t="s">
        <v>244</v>
      </c>
    </row>
    <row r="79" spans="2:2" x14ac:dyDescent="0.35">
      <c r="B79" s="137" t="s">
        <v>245</v>
      </c>
    </row>
    <row r="80" spans="2:2" x14ac:dyDescent="0.35">
      <c r="B80" s="137" t="s">
        <v>246</v>
      </c>
    </row>
    <row r="81" spans="2:2" x14ac:dyDescent="0.35">
      <c r="B81" s="138" t="s">
        <v>247</v>
      </c>
    </row>
    <row r="82" spans="2:2" x14ac:dyDescent="0.35">
      <c r="B82" s="138" t="s">
        <v>248</v>
      </c>
    </row>
    <row r="83" spans="2:2" x14ac:dyDescent="0.35">
      <c r="B83" s="140" t="s">
        <v>249</v>
      </c>
    </row>
    <row r="84" spans="2:2" x14ac:dyDescent="0.35">
      <c r="B84" s="141" t="s">
        <v>250</v>
      </c>
    </row>
    <row r="85" spans="2:2" x14ac:dyDescent="0.35">
      <c r="B85" s="141" t="s">
        <v>251</v>
      </c>
    </row>
    <row r="86" spans="2:2" x14ac:dyDescent="0.35">
      <c r="B86" s="141" t="s">
        <v>252</v>
      </c>
    </row>
    <row r="87" spans="2:2" x14ac:dyDescent="0.35">
      <c r="B87" s="141" t="s">
        <v>253</v>
      </c>
    </row>
    <row r="88" spans="2:2" x14ac:dyDescent="0.35">
      <c r="B88" s="141" t="s">
        <v>254</v>
      </c>
    </row>
    <row r="89" spans="2:2" x14ac:dyDescent="0.35">
      <c r="B89" s="141" t="s">
        <v>255</v>
      </c>
    </row>
    <row r="90" spans="2:2" x14ac:dyDescent="0.35">
      <c r="B90" s="141" t="s">
        <v>256</v>
      </c>
    </row>
    <row r="91" spans="2:2" x14ac:dyDescent="0.35">
      <c r="B91" s="141" t="s">
        <v>257</v>
      </c>
    </row>
    <row r="92" spans="2:2" x14ac:dyDescent="0.35">
      <c r="B92" s="141" t="s">
        <v>258</v>
      </c>
    </row>
    <row r="93" spans="2:2" x14ac:dyDescent="0.35">
      <c r="B93" s="143" t="s">
        <v>259</v>
      </c>
    </row>
    <row r="94" spans="2:2" x14ac:dyDescent="0.35">
      <c r="B94" s="144" t="s">
        <v>260</v>
      </c>
    </row>
    <row r="95" spans="2:2" x14ac:dyDescent="0.35">
      <c r="B95" s="144" t="s">
        <v>261</v>
      </c>
    </row>
    <row r="96" spans="2:2" x14ac:dyDescent="0.35">
      <c r="B96" s="144" t="s">
        <v>262</v>
      </c>
    </row>
    <row r="97" spans="2:2" x14ac:dyDescent="0.35">
      <c r="B97" s="144" t="s">
        <v>263</v>
      </c>
    </row>
    <row r="98" spans="2:2" x14ac:dyDescent="0.35">
      <c r="B98" s="144" t="s">
        <v>264</v>
      </c>
    </row>
    <row r="99" spans="2:2" x14ac:dyDescent="0.35">
      <c r="B99" s="144" t="s">
        <v>265</v>
      </c>
    </row>
    <row r="100" spans="2:2" x14ac:dyDescent="0.35">
      <c r="B100" s="144" t="s">
        <v>266</v>
      </c>
    </row>
    <row r="101" spans="2:2" x14ac:dyDescent="0.35">
      <c r="B101" s="146" t="s">
        <v>267</v>
      </c>
    </row>
    <row r="102" spans="2:2" x14ac:dyDescent="0.35">
      <c r="B102" s="144" t="s">
        <v>268</v>
      </c>
    </row>
    <row r="103" spans="2:2" x14ac:dyDescent="0.35">
      <c r="B103" s="144" t="s">
        <v>269</v>
      </c>
    </row>
    <row r="104" spans="2:2" x14ac:dyDescent="0.35">
      <c r="B104" s="144" t="s">
        <v>270</v>
      </c>
    </row>
    <row r="105" spans="2:2" x14ac:dyDescent="0.35">
      <c r="B105" s="144" t="s">
        <v>271</v>
      </c>
    </row>
    <row r="106" spans="2:2" x14ac:dyDescent="0.35">
      <c r="B106" s="144" t="s">
        <v>272</v>
      </c>
    </row>
    <row r="107" spans="2:2" x14ac:dyDescent="0.35">
      <c r="B107" s="144" t="s">
        <v>273</v>
      </c>
    </row>
    <row r="108" spans="2:2" x14ac:dyDescent="0.35">
      <c r="B108" s="147" t="s">
        <v>274</v>
      </c>
    </row>
    <row r="109" spans="2:2" x14ac:dyDescent="0.35">
      <c r="B109" s="147" t="s">
        <v>275</v>
      </c>
    </row>
    <row r="110" spans="2:2" x14ac:dyDescent="0.35">
      <c r="B110" s="147" t="s">
        <v>276</v>
      </c>
    </row>
    <row r="111" spans="2:2" x14ac:dyDescent="0.35">
      <c r="B111" s="147" t="s">
        <v>277</v>
      </c>
    </row>
    <row r="112" spans="2:2" x14ac:dyDescent="0.35">
      <c r="B112" s="147" t="s">
        <v>278</v>
      </c>
    </row>
    <row r="113" spans="2:2" x14ac:dyDescent="0.35">
      <c r="B113" s="147" t="s">
        <v>279</v>
      </c>
    </row>
    <row r="114" spans="2:2" x14ac:dyDescent="0.35">
      <c r="B114" s="151" t="s">
        <v>280</v>
      </c>
    </row>
    <row r="115" spans="2:2" x14ac:dyDescent="0.35">
      <c r="B115" s="152" t="s">
        <v>281</v>
      </c>
    </row>
    <row r="116" spans="2:2" x14ac:dyDescent="0.35">
      <c r="B116" s="152" t="s">
        <v>282</v>
      </c>
    </row>
    <row r="117" spans="2:2" x14ac:dyDescent="0.35">
      <c r="B117" s="152" t="s">
        <v>283</v>
      </c>
    </row>
    <row r="118" spans="2:2" x14ac:dyDescent="0.35">
      <c r="B118" s="152" t="s">
        <v>284</v>
      </c>
    </row>
    <row r="119" spans="2:2" x14ac:dyDescent="0.35">
      <c r="B119" s="152" t="s">
        <v>285</v>
      </c>
    </row>
    <row r="120" spans="2:2" x14ac:dyDescent="0.35">
      <c r="B120" s="152" t="s">
        <v>286</v>
      </c>
    </row>
    <row r="121" spans="2:2" x14ac:dyDescent="0.35">
      <c r="B121" s="152" t="s">
        <v>287</v>
      </c>
    </row>
    <row r="122" spans="2:2" x14ac:dyDescent="0.35">
      <c r="B122" s="152" t="s">
        <v>288</v>
      </c>
    </row>
    <row r="123" spans="2:2" x14ac:dyDescent="0.35">
      <c r="B123" s="152" t="s">
        <v>289</v>
      </c>
    </row>
    <row r="124" spans="2:2" x14ac:dyDescent="0.35">
      <c r="B124" s="153" t="s">
        <v>290</v>
      </c>
    </row>
    <row r="125" spans="2:2" x14ac:dyDescent="0.35">
      <c r="B125" s="154" t="s">
        <v>292</v>
      </c>
    </row>
    <row r="126" spans="2:2" x14ac:dyDescent="0.35">
      <c r="B126" s="154" t="s">
        <v>293</v>
      </c>
    </row>
    <row r="127" spans="2:2" x14ac:dyDescent="0.35">
      <c r="B127" s="154" t="s">
        <v>294</v>
      </c>
    </row>
    <row r="128" spans="2:2" x14ac:dyDescent="0.35">
      <c r="B128" s="154" t="s">
        <v>295</v>
      </c>
    </row>
    <row r="129" spans="2:2" x14ac:dyDescent="0.35">
      <c r="B129" s="154" t="s">
        <v>296</v>
      </c>
    </row>
    <row r="130" spans="2:2" x14ac:dyDescent="0.35">
      <c r="B130" s="154" t="s">
        <v>297</v>
      </c>
    </row>
    <row r="131" spans="2:2" x14ac:dyDescent="0.35">
      <c r="B131" s="154" t="s">
        <v>298</v>
      </c>
    </row>
    <row r="132" spans="2:2" x14ac:dyDescent="0.35">
      <c r="B132" s="154" t="s">
        <v>299</v>
      </c>
    </row>
    <row r="133" spans="2:2" x14ac:dyDescent="0.35">
      <c r="B133" s="154" t="s">
        <v>300</v>
      </c>
    </row>
    <row r="134" spans="2:2" x14ac:dyDescent="0.35">
      <c r="B134" s="154" t="s">
        <v>301</v>
      </c>
    </row>
    <row r="135" spans="2:2" x14ac:dyDescent="0.35">
      <c r="B135" s="154" t="s">
        <v>302</v>
      </c>
    </row>
    <row r="136" spans="2:2" x14ac:dyDescent="0.35">
      <c r="B136" s="154" t="s">
        <v>303</v>
      </c>
    </row>
    <row r="137" spans="2:2" x14ac:dyDescent="0.35">
      <c r="B137" s="154" t="s">
        <v>304</v>
      </c>
    </row>
    <row r="138" spans="2:2" x14ac:dyDescent="0.35">
      <c r="B138" s="154" t="s">
        <v>305</v>
      </c>
    </row>
    <row r="139" spans="2:2" x14ac:dyDescent="0.35">
      <c r="B139" s="154" t="s">
        <v>306</v>
      </c>
    </row>
    <row r="140" spans="2:2" x14ac:dyDescent="0.35">
      <c r="B140" s="156" t="s">
        <v>307</v>
      </c>
    </row>
    <row r="141" spans="2:2" x14ac:dyDescent="0.35">
      <c r="B141" s="156" t="s">
        <v>308</v>
      </c>
    </row>
    <row r="142" spans="2:2" x14ac:dyDescent="0.35">
      <c r="B142" s="156" t="s">
        <v>309</v>
      </c>
    </row>
    <row r="143" spans="2:2" x14ac:dyDescent="0.35">
      <c r="B143" s="156" t="s">
        <v>310</v>
      </c>
    </row>
    <row r="144" spans="2:2" x14ac:dyDescent="0.35">
      <c r="B144" s="156" t="s">
        <v>311</v>
      </c>
    </row>
    <row r="145" spans="2:2" x14ac:dyDescent="0.35">
      <c r="B145" s="156" t="s">
        <v>312</v>
      </c>
    </row>
    <row r="146" spans="2:2" x14ac:dyDescent="0.35">
      <c r="B146" s="156" t="s">
        <v>313</v>
      </c>
    </row>
    <row r="147" spans="2:2" x14ac:dyDescent="0.35">
      <c r="B147" s="156" t="s">
        <v>314</v>
      </c>
    </row>
    <row r="148" spans="2:2" x14ac:dyDescent="0.35">
      <c r="B148" s="156" t="s">
        <v>315</v>
      </c>
    </row>
    <row r="149" spans="2:2" x14ac:dyDescent="0.35">
      <c r="B149" s="156" t="s">
        <v>316</v>
      </c>
    </row>
    <row r="150" spans="2:2" x14ac:dyDescent="0.35">
      <c r="B150" s="156" t="s">
        <v>317</v>
      </c>
    </row>
    <row r="151" spans="2:2" x14ac:dyDescent="0.35">
      <c r="B151" s="156" t="s">
        <v>318</v>
      </c>
    </row>
    <row r="152" spans="2:2" x14ac:dyDescent="0.35">
      <c r="B152" s="156" t="s">
        <v>319</v>
      </c>
    </row>
    <row r="153" spans="2:2" x14ac:dyDescent="0.35">
      <c r="B153" s="156" t="s">
        <v>320</v>
      </c>
    </row>
    <row r="154" spans="2:2" x14ac:dyDescent="0.35">
      <c r="B154" s="156" t="s">
        <v>321</v>
      </c>
    </row>
    <row r="155" spans="2:2" x14ac:dyDescent="0.35">
      <c r="B155" s="156" t="s">
        <v>322</v>
      </c>
    </row>
    <row r="156" spans="2:2" x14ac:dyDescent="0.35">
      <c r="B156" s="156" t="s">
        <v>323</v>
      </c>
    </row>
    <row r="157" spans="2:2" x14ac:dyDescent="0.35">
      <c r="B157" s="156" t="s">
        <v>324</v>
      </c>
    </row>
    <row r="158" spans="2:2" x14ac:dyDescent="0.35">
      <c r="B158" s="156" t="s">
        <v>325</v>
      </c>
    </row>
    <row r="159" spans="2:2" x14ac:dyDescent="0.35">
      <c r="B159" s="156" t="s">
        <v>326</v>
      </c>
    </row>
    <row r="160" spans="2:2" x14ac:dyDescent="0.35">
      <c r="B160" s="156" t="s">
        <v>327</v>
      </c>
    </row>
    <row r="161" spans="2:2" x14ac:dyDescent="0.35">
      <c r="B161" s="156" t="s">
        <v>328</v>
      </c>
    </row>
    <row r="162" spans="2:2" x14ac:dyDescent="0.35">
      <c r="B162" s="156" t="s">
        <v>329</v>
      </c>
    </row>
    <row r="163" spans="2:2" x14ac:dyDescent="0.35">
      <c r="B163" s="157" t="s">
        <v>330</v>
      </c>
    </row>
    <row r="164" spans="2:2" x14ac:dyDescent="0.35">
      <c r="B164" s="158" t="s">
        <v>331</v>
      </c>
    </row>
    <row r="165" spans="2:2" x14ac:dyDescent="0.35">
      <c r="B165" s="158" t="s">
        <v>332</v>
      </c>
    </row>
    <row r="166" spans="2:2" x14ac:dyDescent="0.35">
      <c r="B166" s="158" t="s">
        <v>333</v>
      </c>
    </row>
    <row r="167" spans="2:2" x14ac:dyDescent="0.35">
      <c r="B167" s="158" t="s">
        <v>334</v>
      </c>
    </row>
    <row r="168" spans="2:2" x14ac:dyDescent="0.35">
      <c r="B168" s="158" t="s">
        <v>335</v>
      </c>
    </row>
    <row r="169" spans="2:2" x14ac:dyDescent="0.35">
      <c r="B169" s="158" t="s">
        <v>336</v>
      </c>
    </row>
    <row r="170" spans="2:2" x14ac:dyDescent="0.35">
      <c r="B170" s="141" t="s">
        <v>337</v>
      </c>
    </row>
    <row r="171" spans="2:2" x14ac:dyDescent="0.35">
      <c r="B171" s="141" t="s">
        <v>338</v>
      </c>
    </row>
    <row r="172" spans="2:2" x14ac:dyDescent="0.35">
      <c r="B172" s="141" t="s">
        <v>339</v>
      </c>
    </row>
    <row r="173" spans="2:2" x14ac:dyDescent="0.35">
      <c r="B173" s="141" t="s">
        <v>340</v>
      </c>
    </row>
    <row r="174" spans="2:2" x14ac:dyDescent="0.35">
      <c r="B174" s="141" t="s">
        <v>341</v>
      </c>
    </row>
    <row r="175" spans="2:2" x14ac:dyDescent="0.35">
      <c r="B175" s="141" t="s">
        <v>342</v>
      </c>
    </row>
    <row r="176" spans="2:2" x14ac:dyDescent="0.35">
      <c r="B176" s="141" t="s">
        <v>343</v>
      </c>
    </row>
    <row r="177" spans="2:2" x14ac:dyDescent="0.35">
      <c r="B177" s="141" t="s">
        <v>344</v>
      </c>
    </row>
    <row r="178" spans="2:2" x14ac:dyDescent="0.35">
      <c r="B178" s="141" t="s">
        <v>345</v>
      </c>
    </row>
    <row r="179" spans="2:2" x14ac:dyDescent="0.35">
      <c r="B179" s="141" t="s">
        <v>346</v>
      </c>
    </row>
    <row r="180" spans="2:2" x14ac:dyDescent="0.35">
      <c r="B180" s="141" t="s">
        <v>347</v>
      </c>
    </row>
    <row r="181" spans="2:2" x14ac:dyDescent="0.35">
      <c r="B181" s="141" t="s">
        <v>348</v>
      </c>
    </row>
    <row r="182" spans="2:2" x14ac:dyDescent="0.35">
      <c r="B182" s="141" t="s">
        <v>349</v>
      </c>
    </row>
    <row r="183" spans="2:2" x14ac:dyDescent="0.35">
      <c r="B183" s="141" t="s">
        <v>350</v>
      </c>
    </row>
    <row r="184" spans="2:2" x14ac:dyDescent="0.35">
      <c r="B184" s="141" t="s">
        <v>351</v>
      </c>
    </row>
    <row r="185" spans="2:2" x14ac:dyDescent="0.35">
      <c r="B185" s="141" t="s">
        <v>352</v>
      </c>
    </row>
    <row r="186" spans="2:2" x14ac:dyDescent="0.35">
      <c r="B186" s="141" t="s">
        <v>353</v>
      </c>
    </row>
    <row r="187" spans="2:2" x14ac:dyDescent="0.35">
      <c r="B187" s="141" t="s">
        <v>354</v>
      </c>
    </row>
    <row r="188" spans="2:2" x14ac:dyDescent="0.35">
      <c r="B188" s="141" t="s">
        <v>355</v>
      </c>
    </row>
    <row r="189" spans="2:2" x14ac:dyDescent="0.35">
      <c r="B189" s="141" t="s">
        <v>356</v>
      </c>
    </row>
    <row r="190" spans="2:2" x14ac:dyDescent="0.35">
      <c r="B190" s="141" t="s">
        <v>357</v>
      </c>
    </row>
    <row r="191" spans="2:2" x14ac:dyDescent="0.35">
      <c r="B191" s="143" t="s">
        <v>358</v>
      </c>
    </row>
    <row r="192" spans="2:2" x14ac:dyDescent="0.35">
      <c r="B192" s="144" t="s">
        <v>359</v>
      </c>
    </row>
    <row r="193" spans="2:2" x14ac:dyDescent="0.35">
      <c r="B193" s="144" t="s">
        <v>360</v>
      </c>
    </row>
    <row r="194" spans="2:2" x14ac:dyDescent="0.35">
      <c r="B194" s="144" t="s">
        <v>361</v>
      </c>
    </row>
    <row r="195" spans="2:2" x14ac:dyDescent="0.35">
      <c r="B195" s="144" t="s">
        <v>362</v>
      </c>
    </row>
    <row r="196" spans="2:2" x14ac:dyDescent="0.35">
      <c r="B196" s="144" t="s">
        <v>363</v>
      </c>
    </row>
    <row r="197" spans="2:2" x14ac:dyDescent="0.35">
      <c r="B197" s="137" t="s">
        <v>365</v>
      </c>
    </row>
    <row r="198" spans="2:2" x14ac:dyDescent="0.35">
      <c r="B198" s="137" t="s">
        <v>366</v>
      </c>
    </row>
    <row r="199" spans="2:2" x14ac:dyDescent="0.35">
      <c r="B199" s="137" t="s">
        <v>367</v>
      </c>
    </row>
    <row r="200" spans="2:2" x14ac:dyDescent="0.35">
      <c r="B200" s="137" t="s">
        <v>368</v>
      </c>
    </row>
    <row r="201" spans="2:2" x14ac:dyDescent="0.35">
      <c r="B201" s="137" t="s">
        <v>369</v>
      </c>
    </row>
    <row r="202" spans="2:2" x14ac:dyDescent="0.35">
      <c r="B202" s="137" t="s">
        <v>370</v>
      </c>
    </row>
    <row r="203" spans="2:2" x14ac:dyDescent="0.35">
      <c r="B203" s="137" t="s">
        <v>371</v>
      </c>
    </row>
    <row r="204" spans="2:2" x14ac:dyDescent="0.35">
      <c r="B204" s="137" t="s">
        <v>372</v>
      </c>
    </row>
    <row r="205" spans="2:2" x14ac:dyDescent="0.35">
      <c r="B205" s="137" t="s">
        <v>373</v>
      </c>
    </row>
    <row r="206" spans="2:2" x14ac:dyDescent="0.35">
      <c r="B206" s="137" t="s">
        <v>374</v>
      </c>
    </row>
    <row r="207" spans="2:2" x14ac:dyDescent="0.35">
      <c r="B207" s="137" t="s">
        <v>375</v>
      </c>
    </row>
    <row r="208" spans="2:2" x14ac:dyDescent="0.35">
      <c r="B208" s="137" t="s">
        <v>376</v>
      </c>
    </row>
    <row r="209" spans="2:2" x14ac:dyDescent="0.35">
      <c r="B209" s="137" t="s">
        <v>377</v>
      </c>
    </row>
    <row r="210" spans="2:2" x14ac:dyDescent="0.35">
      <c r="B210" s="137" t="s">
        <v>378</v>
      </c>
    </row>
    <row r="211" spans="2:2" x14ac:dyDescent="0.35">
      <c r="B211" s="137" t="s">
        <v>379</v>
      </c>
    </row>
    <row r="212" spans="2:2" x14ac:dyDescent="0.35">
      <c r="B212" s="137" t="s">
        <v>380</v>
      </c>
    </row>
    <row r="213" spans="2:2" x14ac:dyDescent="0.35">
      <c r="B213" s="137" t="s">
        <v>381</v>
      </c>
    </row>
    <row r="214" spans="2:2" x14ac:dyDescent="0.35">
      <c r="B214" s="137" t="s">
        <v>382</v>
      </c>
    </row>
    <row r="215" spans="2:2" x14ac:dyDescent="0.35">
      <c r="B215" s="137" t="s">
        <v>383</v>
      </c>
    </row>
    <row r="216" spans="2:2" x14ac:dyDescent="0.35">
      <c r="B216" s="137" t="s">
        <v>384</v>
      </c>
    </row>
    <row r="217" spans="2:2" x14ac:dyDescent="0.35">
      <c r="B217" s="137" t="s">
        <v>385</v>
      </c>
    </row>
    <row r="218" spans="2:2" x14ac:dyDescent="0.35">
      <c r="B218" s="137" t="s">
        <v>386</v>
      </c>
    </row>
    <row r="219" spans="2:2" x14ac:dyDescent="0.35">
      <c r="B219" s="161" t="s">
        <v>387</v>
      </c>
    </row>
    <row r="220" spans="2:2" x14ac:dyDescent="0.35">
      <c r="B220" s="162" t="s">
        <v>388</v>
      </c>
    </row>
    <row r="221" spans="2:2" x14ac:dyDescent="0.35">
      <c r="B221" s="162" t="s">
        <v>389</v>
      </c>
    </row>
    <row r="222" spans="2:2" x14ac:dyDescent="0.35">
      <c r="B222" s="162" t="s">
        <v>390</v>
      </c>
    </row>
    <row r="223" spans="2:2" x14ac:dyDescent="0.35">
      <c r="B223" s="162" t="s">
        <v>391</v>
      </c>
    </row>
    <row r="224" spans="2:2" x14ac:dyDescent="0.35">
      <c r="B224" s="162" t="s">
        <v>392</v>
      </c>
    </row>
    <row r="225" spans="2:2" x14ac:dyDescent="0.35">
      <c r="B225" s="162" t="s">
        <v>393</v>
      </c>
    </row>
    <row r="226" spans="2:2" x14ac:dyDescent="0.35">
      <c r="B226" s="162" t="s">
        <v>394</v>
      </c>
    </row>
    <row r="227" spans="2:2" x14ac:dyDescent="0.35">
      <c r="B227" s="162" t="s">
        <v>395</v>
      </c>
    </row>
    <row r="228" spans="2:2" x14ac:dyDescent="0.35">
      <c r="B228" s="164" t="s">
        <v>396</v>
      </c>
    </row>
    <row r="229" spans="2:2" x14ac:dyDescent="0.35">
      <c r="B229" s="164" t="s">
        <v>397</v>
      </c>
    </row>
    <row r="230" spans="2:2" x14ac:dyDescent="0.35">
      <c r="B230" s="164" t="s">
        <v>398</v>
      </c>
    </row>
    <row r="231" spans="2:2" x14ac:dyDescent="0.35">
      <c r="B231" s="164" t="s">
        <v>399</v>
      </c>
    </row>
    <row r="232" spans="2:2" x14ac:dyDescent="0.35">
      <c r="B232" s="164" t="s">
        <v>400</v>
      </c>
    </row>
    <row r="233" spans="2:2" x14ac:dyDescent="0.35">
      <c r="B233" s="164" t="s">
        <v>401</v>
      </c>
    </row>
    <row r="234" spans="2:2" x14ac:dyDescent="0.35">
      <c r="B234" s="164" t="s">
        <v>402</v>
      </c>
    </row>
    <row r="235" spans="2:2" x14ac:dyDescent="0.35">
      <c r="B235" s="164" t="s">
        <v>403</v>
      </c>
    </row>
    <row r="236" spans="2:2" x14ac:dyDescent="0.35">
      <c r="B236" s="164" t="s">
        <v>404</v>
      </c>
    </row>
    <row r="237" spans="2:2" x14ac:dyDescent="0.35">
      <c r="B237" s="164" t="s">
        <v>405</v>
      </c>
    </row>
    <row r="238" spans="2:2" x14ac:dyDescent="0.35">
      <c r="B238" s="155" t="s">
        <v>406</v>
      </c>
    </row>
    <row r="239" spans="2:2" x14ac:dyDescent="0.35">
      <c r="B239" s="155" t="s">
        <v>407</v>
      </c>
    </row>
    <row r="240" spans="2:2" x14ac:dyDescent="0.35">
      <c r="B240" s="155" t="s">
        <v>408</v>
      </c>
    </row>
    <row r="241" spans="2:2" x14ac:dyDescent="0.35">
      <c r="B241" s="155" t="s">
        <v>409</v>
      </c>
    </row>
    <row r="242" spans="2:2" x14ac:dyDescent="0.35">
      <c r="B242" s="155" t="s">
        <v>410</v>
      </c>
    </row>
    <row r="243" spans="2:2" x14ac:dyDescent="0.35">
      <c r="B243" s="155" t="s">
        <v>411</v>
      </c>
    </row>
    <row r="244" spans="2:2" x14ac:dyDescent="0.35">
      <c r="B244" s="155" t="s">
        <v>412</v>
      </c>
    </row>
    <row r="245" spans="2:2" x14ac:dyDescent="0.35">
      <c r="B245" s="155" t="s">
        <v>413</v>
      </c>
    </row>
    <row r="246" spans="2:2" x14ac:dyDescent="0.35">
      <c r="B246" s="155" t="s">
        <v>414</v>
      </c>
    </row>
    <row r="247" spans="2:2" x14ac:dyDescent="0.35">
      <c r="B247" s="155" t="s">
        <v>415</v>
      </c>
    </row>
    <row r="248" spans="2:2" x14ac:dyDescent="0.35">
      <c r="B248" s="155" t="s">
        <v>416</v>
      </c>
    </row>
    <row r="249" spans="2:2" x14ac:dyDescent="0.35">
      <c r="B249" s="155" t="s">
        <v>417</v>
      </c>
    </row>
    <row r="250" spans="2:2" x14ac:dyDescent="0.35">
      <c r="B250" s="155" t="s">
        <v>418</v>
      </c>
    </row>
    <row r="251" spans="2:2" x14ac:dyDescent="0.35">
      <c r="B251" s="155" t="s">
        <v>419</v>
      </c>
    </row>
    <row r="252" spans="2:2" x14ac:dyDescent="0.35">
      <c r="B252" s="155" t="s">
        <v>420</v>
      </c>
    </row>
    <row r="253" spans="2:2" x14ac:dyDescent="0.35">
      <c r="B253" s="155" t="s">
        <v>421</v>
      </c>
    </row>
    <row r="254" spans="2:2" x14ac:dyDescent="0.35">
      <c r="B254" s="155" t="s">
        <v>422</v>
      </c>
    </row>
    <row r="255" spans="2:2" x14ac:dyDescent="0.35">
      <c r="B255" s="155" t="s">
        <v>423</v>
      </c>
    </row>
    <row r="256" spans="2:2" x14ac:dyDescent="0.35">
      <c r="B256" s="155" t="s">
        <v>424</v>
      </c>
    </row>
    <row r="257" spans="2:2" x14ac:dyDescent="0.35">
      <c r="B257" s="155" t="s">
        <v>425</v>
      </c>
    </row>
    <row r="258" spans="2:2" x14ac:dyDescent="0.35">
      <c r="B258" s="165" t="s">
        <v>426</v>
      </c>
    </row>
    <row r="259" spans="2:2" x14ac:dyDescent="0.35">
      <c r="B259" s="165" t="s">
        <v>427</v>
      </c>
    </row>
    <row r="260" spans="2:2" x14ac:dyDescent="0.35">
      <c r="B260" s="165" t="s">
        <v>428</v>
      </c>
    </row>
    <row r="261" spans="2:2" x14ac:dyDescent="0.35">
      <c r="B261" s="165" t="s">
        <v>429</v>
      </c>
    </row>
    <row r="262" spans="2:2" x14ac:dyDescent="0.35">
      <c r="B262" s="165" t="s">
        <v>430</v>
      </c>
    </row>
    <row r="263" spans="2:2" x14ac:dyDescent="0.35">
      <c r="B263" s="165" t="s">
        <v>431</v>
      </c>
    </row>
    <row r="264" spans="2:2" x14ac:dyDescent="0.35">
      <c r="B264" s="165" t="s">
        <v>432</v>
      </c>
    </row>
    <row r="265" spans="2:2" x14ac:dyDescent="0.35">
      <c r="B265" s="165" t="s">
        <v>433</v>
      </c>
    </row>
    <row r="266" spans="2:2" x14ac:dyDescent="0.35">
      <c r="B266" s="165" t="s">
        <v>434</v>
      </c>
    </row>
    <row r="267" spans="2:2" x14ac:dyDescent="0.35">
      <c r="B267" s="165" t="s">
        <v>435</v>
      </c>
    </row>
    <row r="268" spans="2:2" x14ac:dyDescent="0.35">
      <c r="B268" s="165" t="s">
        <v>436</v>
      </c>
    </row>
    <row r="269" spans="2:2" x14ac:dyDescent="0.35">
      <c r="B269" s="165" t="s">
        <v>437</v>
      </c>
    </row>
    <row r="270" spans="2:2" x14ac:dyDescent="0.35">
      <c r="B270" s="165" t="s">
        <v>438</v>
      </c>
    </row>
    <row r="271" spans="2:2" x14ac:dyDescent="0.35">
      <c r="B271" s="165" t="s">
        <v>439</v>
      </c>
    </row>
    <row r="272" spans="2:2" x14ac:dyDescent="0.35">
      <c r="B272" s="166" t="s">
        <v>440</v>
      </c>
    </row>
    <row r="273" spans="2:2" x14ac:dyDescent="0.35">
      <c r="B273" s="166" t="s">
        <v>441</v>
      </c>
    </row>
    <row r="274" spans="2:2" x14ac:dyDescent="0.35">
      <c r="B274" s="166" t="s">
        <v>442</v>
      </c>
    </row>
    <row r="275" spans="2:2" x14ac:dyDescent="0.35">
      <c r="B275" s="166" t="s">
        <v>443</v>
      </c>
    </row>
    <row r="276" spans="2:2" x14ac:dyDescent="0.35">
      <c r="B276" s="166" t="s">
        <v>444</v>
      </c>
    </row>
    <row r="277" spans="2:2" x14ac:dyDescent="0.35">
      <c r="B277" s="166" t="s">
        <v>445</v>
      </c>
    </row>
    <row r="278" spans="2:2" x14ac:dyDescent="0.35">
      <c r="B278" s="166" t="s">
        <v>446</v>
      </c>
    </row>
    <row r="279" spans="2:2" x14ac:dyDescent="0.35">
      <c r="B279" s="166" t="s">
        <v>447</v>
      </c>
    </row>
    <row r="280" spans="2:2" x14ac:dyDescent="0.35">
      <c r="B280" s="166" t="s">
        <v>448</v>
      </c>
    </row>
    <row r="281" spans="2:2" x14ac:dyDescent="0.35">
      <c r="B281" s="166" t="s">
        <v>449</v>
      </c>
    </row>
    <row r="282" spans="2:2" x14ac:dyDescent="0.35">
      <c r="B282" s="167" t="s">
        <v>450</v>
      </c>
    </row>
    <row r="283" spans="2:2" x14ac:dyDescent="0.35">
      <c r="B283" s="167" t="s">
        <v>451</v>
      </c>
    </row>
    <row r="284" spans="2:2" x14ac:dyDescent="0.35">
      <c r="B284" s="167" t="s">
        <v>452</v>
      </c>
    </row>
    <row r="285" spans="2:2" x14ac:dyDescent="0.35">
      <c r="B285" s="167" t="s">
        <v>453</v>
      </c>
    </row>
    <row r="286" spans="2:2" x14ac:dyDescent="0.35">
      <c r="B286" s="167" t="s">
        <v>454</v>
      </c>
    </row>
    <row r="287" spans="2:2" x14ac:dyDescent="0.35">
      <c r="B287" s="167" t="s">
        <v>455</v>
      </c>
    </row>
    <row r="288" spans="2:2" x14ac:dyDescent="0.35">
      <c r="B288" s="167" t="s">
        <v>456</v>
      </c>
    </row>
    <row r="289" spans="2:2" x14ac:dyDescent="0.35">
      <c r="B289" s="167" t="s">
        <v>457</v>
      </c>
    </row>
    <row r="290" spans="2:2" x14ac:dyDescent="0.35">
      <c r="B290" s="167" t="s">
        <v>458</v>
      </c>
    </row>
    <row r="291" spans="2:2" x14ac:dyDescent="0.35">
      <c r="B291" s="168" t="s">
        <v>459</v>
      </c>
    </row>
    <row r="292" spans="2:2" x14ac:dyDescent="0.35">
      <c r="B292" s="168" t="s">
        <v>460</v>
      </c>
    </row>
    <row r="293" spans="2:2" x14ac:dyDescent="0.35">
      <c r="B293" s="168" t="s">
        <v>461</v>
      </c>
    </row>
    <row r="294" spans="2:2" x14ac:dyDescent="0.35">
      <c r="B294" s="168" t="s">
        <v>462</v>
      </c>
    </row>
    <row r="295" spans="2:2" x14ac:dyDescent="0.35">
      <c r="B295" s="168" t="s">
        <v>463</v>
      </c>
    </row>
    <row r="296" spans="2:2" x14ac:dyDescent="0.35">
      <c r="B296" s="168" t="s">
        <v>464</v>
      </c>
    </row>
    <row r="297" spans="2:2" x14ac:dyDescent="0.35">
      <c r="B297" s="168" t="s">
        <v>465</v>
      </c>
    </row>
    <row r="298" spans="2:2" x14ac:dyDescent="0.35">
      <c r="B298" s="168" t="s">
        <v>466</v>
      </c>
    </row>
    <row r="299" spans="2:2" x14ac:dyDescent="0.35">
      <c r="B299" s="168" t="s">
        <v>467</v>
      </c>
    </row>
    <row r="300" spans="2:2" x14ac:dyDescent="0.35">
      <c r="B300" s="168" t="s">
        <v>468</v>
      </c>
    </row>
    <row r="301" spans="2:2" x14ac:dyDescent="0.35">
      <c r="B301" s="170" t="s">
        <v>469</v>
      </c>
    </row>
    <row r="302" spans="2:2" x14ac:dyDescent="0.35">
      <c r="B302" s="170" t="s">
        <v>470</v>
      </c>
    </row>
    <row r="303" spans="2:2" x14ac:dyDescent="0.35">
      <c r="B303" s="170" t="s">
        <v>471</v>
      </c>
    </row>
    <row r="304" spans="2:2" x14ac:dyDescent="0.35">
      <c r="B304" s="170" t="s">
        <v>472</v>
      </c>
    </row>
    <row r="305" spans="2:2" x14ac:dyDescent="0.35">
      <c r="B305" s="170" t="s">
        <v>473</v>
      </c>
    </row>
    <row r="306" spans="2:2" x14ac:dyDescent="0.35">
      <c r="B306" s="135" t="s">
        <v>474</v>
      </c>
    </row>
    <row r="307" spans="2:2" x14ac:dyDescent="0.35">
      <c r="B307" s="135" t="s">
        <v>475</v>
      </c>
    </row>
    <row r="308" spans="2:2" x14ac:dyDescent="0.35">
      <c r="B308" s="135" t="s">
        <v>476</v>
      </c>
    </row>
    <row r="309" spans="2:2" x14ac:dyDescent="0.35">
      <c r="B309" s="135" t="s">
        <v>477</v>
      </c>
    </row>
    <row r="310" spans="2:2" x14ac:dyDescent="0.35">
      <c r="B310" s="135" t="s">
        <v>478</v>
      </c>
    </row>
    <row r="311" spans="2:2" x14ac:dyDescent="0.35">
      <c r="B311" s="135" t="s">
        <v>479</v>
      </c>
    </row>
    <row r="312" spans="2:2" x14ac:dyDescent="0.35">
      <c r="B312" s="135" t="s">
        <v>480</v>
      </c>
    </row>
    <row r="313" spans="2:2" x14ac:dyDescent="0.35">
      <c r="B313" s="135" t="s">
        <v>481</v>
      </c>
    </row>
    <row r="314" spans="2:2" x14ac:dyDescent="0.35">
      <c r="B314" s="135" t="s">
        <v>482</v>
      </c>
    </row>
    <row r="315" spans="2:2" x14ac:dyDescent="0.35">
      <c r="B315" s="135" t="s">
        <v>483</v>
      </c>
    </row>
    <row r="316" spans="2:2" x14ac:dyDescent="0.35">
      <c r="B316" s="135" t="s">
        <v>484</v>
      </c>
    </row>
    <row r="317" spans="2:2" x14ac:dyDescent="0.35">
      <c r="B317" s="135" t="s">
        <v>485</v>
      </c>
    </row>
    <row r="318" spans="2:2" x14ac:dyDescent="0.35">
      <c r="B318" s="135" t="s">
        <v>486</v>
      </c>
    </row>
    <row r="319" spans="2:2" x14ac:dyDescent="0.35">
      <c r="B319" s="135" t="s">
        <v>487</v>
      </c>
    </row>
    <row r="320" spans="2:2" x14ac:dyDescent="0.35">
      <c r="B320" s="135" t="s">
        <v>488</v>
      </c>
    </row>
    <row r="321" spans="2:2" x14ac:dyDescent="0.35">
      <c r="B321" s="148" t="s">
        <v>489</v>
      </c>
    </row>
    <row r="322" spans="2:2" x14ac:dyDescent="0.35">
      <c r="B322" s="148" t="s">
        <v>490</v>
      </c>
    </row>
    <row r="323" spans="2:2" x14ac:dyDescent="0.35">
      <c r="B323" s="148" t="s">
        <v>491</v>
      </c>
    </row>
    <row r="324" spans="2:2" x14ac:dyDescent="0.35">
      <c r="B324" s="148" t="s">
        <v>492</v>
      </c>
    </row>
    <row r="325" spans="2:2" x14ac:dyDescent="0.35">
      <c r="B325" s="148" t="s">
        <v>493</v>
      </c>
    </row>
    <row r="326" spans="2:2" x14ac:dyDescent="0.35">
      <c r="B326" s="145" t="s">
        <v>494</v>
      </c>
    </row>
    <row r="327" spans="2:2" x14ac:dyDescent="0.35">
      <c r="B327" s="145" t="s">
        <v>495</v>
      </c>
    </row>
    <row r="328" spans="2:2" x14ac:dyDescent="0.35">
      <c r="B328" s="145" t="s">
        <v>496</v>
      </c>
    </row>
    <row r="329" spans="2:2" x14ac:dyDescent="0.35">
      <c r="B329" s="145" t="s">
        <v>497</v>
      </c>
    </row>
    <row r="330" spans="2:2" x14ac:dyDescent="0.35">
      <c r="B330" s="145" t="s">
        <v>498</v>
      </c>
    </row>
    <row r="331" spans="2:2" x14ac:dyDescent="0.35">
      <c r="B331" s="145" t="s">
        <v>499</v>
      </c>
    </row>
    <row r="332" spans="2:2" x14ac:dyDescent="0.35">
      <c r="B332" s="145" t="s">
        <v>500</v>
      </c>
    </row>
    <row r="333" spans="2:2" x14ac:dyDescent="0.35">
      <c r="B333" s="145" t="s">
        <v>501</v>
      </c>
    </row>
    <row r="334" spans="2:2" x14ac:dyDescent="0.35">
      <c r="B334" s="145" t="s">
        <v>502</v>
      </c>
    </row>
    <row r="335" spans="2:2" x14ac:dyDescent="0.35">
      <c r="B335" s="145" t="s">
        <v>503</v>
      </c>
    </row>
    <row r="336" spans="2:2" x14ac:dyDescent="0.35">
      <c r="B336" s="145" t="s">
        <v>504</v>
      </c>
    </row>
    <row r="337" spans="2:2" x14ac:dyDescent="0.35">
      <c r="B337" s="145" t="s">
        <v>505</v>
      </c>
    </row>
    <row r="338" spans="2:2" x14ac:dyDescent="0.35">
      <c r="B338" s="145" t="s">
        <v>506</v>
      </c>
    </row>
    <row r="339" spans="2:2" x14ac:dyDescent="0.35">
      <c r="B339" s="171" t="s">
        <v>507</v>
      </c>
    </row>
    <row r="340" spans="2:2" x14ac:dyDescent="0.35">
      <c r="B340" s="171" t="s">
        <v>508</v>
      </c>
    </row>
    <row r="341" spans="2:2" x14ac:dyDescent="0.35">
      <c r="B341" s="171" t="s">
        <v>509</v>
      </c>
    </row>
    <row r="342" spans="2:2" x14ac:dyDescent="0.35">
      <c r="B342" s="171" t="s">
        <v>510</v>
      </c>
    </row>
    <row r="343" spans="2:2" x14ac:dyDescent="0.35">
      <c r="B343" s="171" t="s">
        <v>511</v>
      </c>
    </row>
    <row r="344" spans="2:2" x14ac:dyDescent="0.35">
      <c r="B344" s="171" t="s">
        <v>512</v>
      </c>
    </row>
    <row r="345" spans="2:2" x14ac:dyDescent="0.35">
      <c r="B345" s="171" t="s">
        <v>513</v>
      </c>
    </row>
    <row r="346" spans="2:2" x14ac:dyDescent="0.35">
      <c r="B346" s="171" t="s">
        <v>514</v>
      </c>
    </row>
    <row r="347" spans="2:2" x14ac:dyDescent="0.35">
      <c r="B347" s="171" t="s">
        <v>515</v>
      </c>
    </row>
    <row r="348" spans="2:2" x14ac:dyDescent="0.35">
      <c r="B348" s="171" t="s">
        <v>516</v>
      </c>
    </row>
    <row r="349" spans="2:2" x14ac:dyDescent="0.35">
      <c r="B349" s="171" t="s">
        <v>517</v>
      </c>
    </row>
    <row r="350" spans="2:2" x14ac:dyDescent="0.35">
      <c r="B350" s="171" t="s">
        <v>518</v>
      </c>
    </row>
    <row r="351" spans="2:2" x14ac:dyDescent="0.35">
      <c r="B351" s="171" t="s">
        <v>519</v>
      </c>
    </row>
    <row r="352" spans="2:2" x14ac:dyDescent="0.35">
      <c r="B352" s="171" t="s">
        <v>520</v>
      </c>
    </row>
    <row r="353" spans="2:2" x14ac:dyDescent="0.35">
      <c r="B353" s="171" t="s">
        <v>521</v>
      </c>
    </row>
    <row r="354" spans="2:2" x14ac:dyDescent="0.35">
      <c r="B354" s="171" t="s">
        <v>522</v>
      </c>
    </row>
    <row r="355" spans="2:2" x14ac:dyDescent="0.35">
      <c r="B355" s="171" t="s">
        <v>523</v>
      </c>
    </row>
    <row r="356" spans="2:2" x14ac:dyDescent="0.35">
      <c r="B356" s="171" t="s">
        <v>524</v>
      </c>
    </row>
    <row r="357" spans="2:2" x14ac:dyDescent="0.35">
      <c r="B357" s="171" t="s">
        <v>525</v>
      </c>
    </row>
    <row r="358" spans="2:2" x14ac:dyDescent="0.35">
      <c r="B358" s="171" t="s">
        <v>526</v>
      </c>
    </row>
    <row r="359" spans="2:2" x14ac:dyDescent="0.35">
      <c r="B359" s="171" t="s">
        <v>527</v>
      </c>
    </row>
    <row r="360" spans="2:2" x14ac:dyDescent="0.35">
      <c r="B360" s="171" t="s">
        <v>528</v>
      </c>
    </row>
    <row r="361" spans="2:2" x14ac:dyDescent="0.35">
      <c r="B361" s="159" t="s">
        <v>529</v>
      </c>
    </row>
    <row r="362" spans="2:2" x14ac:dyDescent="0.35">
      <c r="B362" s="159" t="s">
        <v>530</v>
      </c>
    </row>
    <row r="363" spans="2:2" x14ac:dyDescent="0.35">
      <c r="B363" s="159" t="s">
        <v>531</v>
      </c>
    </row>
    <row r="364" spans="2:2" x14ac:dyDescent="0.35">
      <c r="B364" s="159" t="s">
        <v>532</v>
      </c>
    </row>
    <row r="365" spans="2:2" x14ac:dyDescent="0.35">
      <c r="B365" s="159" t="s">
        <v>533</v>
      </c>
    </row>
    <row r="366" spans="2:2" x14ac:dyDescent="0.35">
      <c r="B366" s="159" t="s">
        <v>534</v>
      </c>
    </row>
    <row r="367" spans="2:2" x14ac:dyDescent="0.35">
      <c r="B367" s="145" t="s">
        <v>535</v>
      </c>
    </row>
    <row r="368" spans="2:2" x14ac:dyDescent="0.35">
      <c r="B368" s="145" t="s">
        <v>536</v>
      </c>
    </row>
    <row r="369" spans="2:2" x14ac:dyDescent="0.35">
      <c r="B369" s="145" t="s">
        <v>537</v>
      </c>
    </row>
    <row r="370" spans="2:2" x14ac:dyDescent="0.35">
      <c r="B370" s="145" t="s">
        <v>538</v>
      </c>
    </row>
    <row r="371" spans="2:2" x14ac:dyDescent="0.35">
      <c r="B371" s="145" t="s">
        <v>539</v>
      </c>
    </row>
    <row r="372" spans="2:2" x14ac:dyDescent="0.35">
      <c r="B372" s="145" t="s">
        <v>540</v>
      </c>
    </row>
    <row r="373" spans="2:2" x14ac:dyDescent="0.35">
      <c r="B373" s="145" t="s">
        <v>541</v>
      </c>
    </row>
    <row r="374" spans="2:2" x14ac:dyDescent="0.35">
      <c r="B374" s="145" t="s">
        <v>542</v>
      </c>
    </row>
    <row r="375" spans="2:2" x14ac:dyDescent="0.35">
      <c r="B375" s="145" t="s">
        <v>543</v>
      </c>
    </row>
    <row r="376" spans="2:2" x14ac:dyDescent="0.35">
      <c r="B376" s="145" t="s">
        <v>544</v>
      </c>
    </row>
    <row r="377" spans="2:2" x14ac:dyDescent="0.35">
      <c r="B377" s="145" t="s">
        <v>545</v>
      </c>
    </row>
    <row r="378" spans="2:2" x14ac:dyDescent="0.35">
      <c r="B378" s="145" t="s">
        <v>546</v>
      </c>
    </row>
    <row r="379" spans="2:2" x14ac:dyDescent="0.35">
      <c r="B379" s="145" t="s">
        <v>547</v>
      </c>
    </row>
    <row r="380" spans="2:2" x14ac:dyDescent="0.35">
      <c r="B380" s="145" t="s">
        <v>548</v>
      </c>
    </row>
    <row r="381" spans="2:2" x14ac:dyDescent="0.35">
      <c r="B381" s="172" t="s">
        <v>549</v>
      </c>
    </row>
    <row r="382" spans="2:2" x14ac:dyDescent="0.35">
      <c r="B382" s="172" t="s">
        <v>550</v>
      </c>
    </row>
    <row r="383" spans="2:2" x14ac:dyDescent="0.35">
      <c r="B383" s="172" t="s">
        <v>551</v>
      </c>
    </row>
    <row r="384" spans="2:2" x14ac:dyDescent="0.35">
      <c r="B384" s="172" t="s">
        <v>552</v>
      </c>
    </row>
    <row r="385" spans="2:2" x14ac:dyDescent="0.35">
      <c r="B385" s="172" t="s">
        <v>553</v>
      </c>
    </row>
    <row r="386" spans="2:2" x14ac:dyDescent="0.35">
      <c r="B386" s="172" t="s">
        <v>554</v>
      </c>
    </row>
    <row r="387" spans="2:2" x14ac:dyDescent="0.35">
      <c r="B387" s="172" t="s">
        <v>555</v>
      </c>
    </row>
    <row r="388" spans="2:2" x14ac:dyDescent="0.35">
      <c r="B388" s="172" t="s">
        <v>556</v>
      </c>
    </row>
    <row r="389" spans="2:2" x14ac:dyDescent="0.35">
      <c r="B389" s="172" t="s">
        <v>557</v>
      </c>
    </row>
    <row r="390" spans="2:2" x14ac:dyDescent="0.35">
      <c r="B390" s="172" t="s">
        <v>558</v>
      </c>
    </row>
    <row r="391" spans="2:2" x14ac:dyDescent="0.35">
      <c r="B391" s="172" t="s">
        <v>559</v>
      </c>
    </row>
    <row r="392" spans="2:2" x14ac:dyDescent="0.35">
      <c r="B392" s="173" t="s">
        <v>560</v>
      </c>
    </row>
    <row r="393" spans="2:2" x14ac:dyDescent="0.35">
      <c r="B393" s="173" t="s">
        <v>561</v>
      </c>
    </row>
    <row r="394" spans="2:2" x14ac:dyDescent="0.35">
      <c r="B394" s="173" t="s">
        <v>562</v>
      </c>
    </row>
    <row r="395" spans="2:2" x14ac:dyDescent="0.35">
      <c r="B395" s="173" t="s">
        <v>563</v>
      </c>
    </row>
    <row r="396" spans="2:2" x14ac:dyDescent="0.35">
      <c r="B396" s="173" t="s">
        <v>564</v>
      </c>
    </row>
    <row r="397" spans="2:2" x14ac:dyDescent="0.35">
      <c r="B397" s="173" t="s">
        <v>565</v>
      </c>
    </row>
    <row r="398" spans="2:2" x14ac:dyDescent="0.35">
      <c r="B398" s="173" t="s">
        <v>566</v>
      </c>
    </row>
    <row r="399" spans="2:2" x14ac:dyDescent="0.35">
      <c r="B399" s="173" t="s">
        <v>567</v>
      </c>
    </row>
    <row r="400" spans="2:2" x14ac:dyDescent="0.35">
      <c r="B400" s="173" t="s">
        <v>568</v>
      </c>
    </row>
    <row r="401" spans="2:2" x14ac:dyDescent="0.35">
      <c r="B401" s="173" t="s">
        <v>569</v>
      </c>
    </row>
    <row r="402" spans="2:2" x14ac:dyDescent="0.35">
      <c r="B402" s="139" t="s">
        <v>570</v>
      </c>
    </row>
    <row r="403" spans="2:2" x14ac:dyDescent="0.35">
      <c r="B403" s="139" t="s">
        <v>571</v>
      </c>
    </row>
    <row r="404" spans="2:2" x14ac:dyDescent="0.35">
      <c r="B404" s="139" t="s">
        <v>572</v>
      </c>
    </row>
    <row r="405" spans="2:2" x14ac:dyDescent="0.35">
      <c r="B405" s="139" t="s">
        <v>573</v>
      </c>
    </row>
    <row r="406" spans="2:2" x14ac:dyDescent="0.35">
      <c r="B406" s="139" t="s">
        <v>574</v>
      </c>
    </row>
    <row r="407" spans="2:2" x14ac:dyDescent="0.35">
      <c r="B407" s="139" t="s">
        <v>575</v>
      </c>
    </row>
    <row r="408" spans="2:2" x14ac:dyDescent="0.35">
      <c r="B408" s="139" t="s">
        <v>576</v>
      </c>
    </row>
    <row r="409" spans="2:2" x14ac:dyDescent="0.35">
      <c r="B409" s="139" t="s">
        <v>577</v>
      </c>
    </row>
    <row r="410" spans="2:2" x14ac:dyDescent="0.35">
      <c r="B410" s="139" t="s">
        <v>578</v>
      </c>
    </row>
    <row r="411" spans="2:2" x14ac:dyDescent="0.35">
      <c r="B411" s="139" t="s">
        <v>579</v>
      </c>
    </row>
    <row r="412" spans="2:2" x14ac:dyDescent="0.35">
      <c r="B412" s="139" t="s">
        <v>580</v>
      </c>
    </row>
    <row r="413" spans="2:2" x14ac:dyDescent="0.35">
      <c r="B413" s="139" t="s">
        <v>581</v>
      </c>
    </row>
    <row r="414" spans="2:2" x14ac:dyDescent="0.35">
      <c r="B414" s="139" t="s">
        <v>582</v>
      </c>
    </row>
    <row r="415" spans="2:2" x14ac:dyDescent="0.35">
      <c r="B415" s="139" t="s">
        <v>583</v>
      </c>
    </row>
    <row r="416" spans="2:2" x14ac:dyDescent="0.35">
      <c r="B416" s="170" t="s">
        <v>584</v>
      </c>
    </row>
    <row r="417" spans="2:2" x14ac:dyDescent="0.35">
      <c r="B417" s="170" t="s">
        <v>585</v>
      </c>
    </row>
    <row r="418" spans="2:2" x14ac:dyDescent="0.35">
      <c r="B418" s="170" t="s">
        <v>586</v>
      </c>
    </row>
    <row r="419" spans="2:2" x14ac:dyDescent="0.35">
      <c r="B419" s="170" t="s">
        <v>587</v>
      </c>
    </row>
    <row r="420" spans="2:2" x14ac:dyDescent="0.35">
      <c r="B420" s="170" t="s">
        <v>588</v>
      </c>
    </row>
    <row r="421" spans="2:2" x14ac:dyDescent="0.35">
      <c r="B421" s="170" t="s">
        <v>589</v>
      </c>
    </row>
    <row r="422" spans="2:2" x14ac:dyDescent="0.35">
      <c r="B422" s="170" t="s">
        <v>590</v>
      </c>
    </row>
    <row r="423" spans="2:2" x14ac:dyDescent="0.35">
      <c r="B423" s="170" t="s">
        <v>591</v>
      </c>
    </row>
    <row r="424" spans="2:2" x14ac:dyDescent="0.35">
      <c r="B424" s="170" t="s">
        <v>592</v>
      </c>
    </row>
    <row r="425" spans="2:2" x14ac:dyDescent="0.35">
      <c r="B425" s="170" t="s">
        <v>593</v>
      </c>
    </row>
    <row r="426" spans="2:2" x14ac:dyDescent="0.35">
      <c r="B426" s="170" t="s">
        <v>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E029-44C1-4072-97F6-8A0A11AA2580}">
  <dimension ref="A1:T94"/>
  <sheetViews>
    <sheetView zoomScale="70" zoomScaleNormal="70" workbookViewId="0">
      <selection activeCell="G2" sqref="G2"/>
    </sheetView>
  </sheetViews>
  <sheetFormatPr defaultRowHeight="14.5" x14ac:dyDescent="0.35"/>
  <cols>
    <col min="2" max="2" width="23.7265625" customWidth="1"/>
    <col min="3" max="3" width="19.26953125" customWidth="1"/>
    <col min="4" max="4" width="16" customWidth="1"/>
    <col min="5" max="5" width="17.453125" customWidth="1"/>
    <col min="6" max="6" width="12.453125" customWidth="1"/>
    <col min="7" max="7" width="16.453125" customWidth="1"/>
    <col min="9" max="9" width="33.453125" customWidth="1"/>
    <col min="10" max="10" width="34.1796875" customWidth="1"/>
    <col min="11" max="11" width="14.54296875" customWidth="1"/>
    <col min="12" max="12" width="13.453125" customWidth="1"/>
    <col min="13" max="13" width="16.54296875" customWidth="1"/>
    <col min="14" max="14" width="15.453125" customWidth="1"/>
    <col min="16" max="16" width="11.1796875" customWidth="1"/>
    <col min="21" max="21" width="13.26953125" customWidth="1"/>
  </cols>
  <sheetData>
    <row r="1" spans="1:20" ht="15.5" x14ac:dyDescent="0.35">
      <c r="A1" s="1" t="s">
        <v>0</v>
      </c>
      <c r="B1" s="2" t="s">
        <v>1</v>
      </c>
      <c r="C1" s="3" t="s">
        <v>37</v>
      </c>
      <c r="D1" s="3" t="s">
        <v>38</v>
      </c>
      <c r="E1" s="3" t="s">
        <v>39</v>
      </c>
      <c r="F1" s="69" t="s">
        <v>92</v>
      </c>
      <c r="G1" s="69" t="s">
        <v>93</v>
      </c>
    </row>
    <row r="2" spans="1:20" ht="15.5" x14ac:dyDescent="0.35">
      <c r="A2" s="4">
        <v>1</v>
      </c>
      <c r="B2" s="5" t="s">
        <v>2</v>
      </c>
      <c r="C2" s="55">
        <v>101650.05999999998</v>
      </c>
      <c r="D2" s="58">
        <v>683</v>
      </c>
      <c r="E2" s="61">
        <v>28015.087999999992</v>
      </c>
      <c r="F2" s="40">
        <f>(C2-$C$36)</f>
        <v>50843.087218130102</v>
      </c>
      <c r="G2" s="40">
        <f>(F2^2)</f>
        <v>2585019517.8703847</v>
      </c>
      <c r="I2" s="4" t="s">
        <v>0</v>
      </c>
      <c r="J2" s="45" t="s">
        <v>72</v>
      </c>
      <c r="K2" s="46"/>
      <c r="L2" s="30"/>
    </row>
    <row r="3" spans="1:20" x14ac:dyDescent="0.35">
      <c r="A3" s="4">
        <v>2</v>
      </c>
      <c r="B3" s="9" t="s">
        <v>3</v>
      </c>
      <c r="C3" s="55">
        <v>65639</v>
      </c>
      <c r="D3" s="58">
        <v>740</v>
      </c>
      <c r="E3" s="61">
        <v>19379.754463009329</v>
      </c>
      <c r="F3" s="40">
        <f t="shared" ref="F3:F35" si="0">(C3-$C$36)</f>
        <v>14832.027218130119</v>
      </c>
      <c r="G3" s="40">
        <f t="shared" ref="G3:G35" si="1">(F3^2)</f>
        <v>219989031.39935267</v>
      </c>
      <c r="I3" s="4">
        <v>1</v>
      </c>
      <c r="J3" s="31" t="s">
        <v>79</v>
      </c>
      <c r="K3" s="32" t="s">
        <v>73</v>
      </c>
      <c r="L3" s="33"/>
    </row>
    <row r="4" spans="1:20" x14ac:dyDescent="0.35">
      <c r="A4" s="4">
        <v>3</v>
      </c>
      <c r="B4" s="9" t="s">
        <v>4</v>
      </c>
      <c r="C4" s="55">
        <v>156997.70000000001</v>
      </c>
      <c r="D4" s="58">
        <v>816</v>
      </c>
      <c r="E4" s="61">
        <v>56675.0459282835</v>
      </c>
      <c r="F4" s="40">
        <f t="shared" si="0"/>
        <v>106190.72721813014</v>
      </c>
      <c r="G4" s="40">
        <f t="shared" si="1"/>
        <v>11276470547.115324</v>
      </c>
      <c r="I4" s="4">
        <v>2</v>
      </c>
      <c r="J4" s="31" t="s">
        <v>74</v>
      </c>
      <c r="K4" s="49" t="s">
        <v>75</v>
      </c>
    </row>
    <row r="5" spans="1:20" x14ac:dyDescent="0.35">
      <c r="A5" s="4">
        <v>4</v>
      </c>
      <c r="B5" s="9" t="s">
        <v>5</v>
      </c>
      <c r="C5" s="62">
        <v>7156.44</v>
      </c>
      <c r="D5" s="60">
        <v>695</v>
      </c>
      <c r="E5" s="61">
        <v>2952.4735033993293</v>
      </c>
      <c r="F5" s="40">
        <f t="shared" si="0"/>
        <v>-43650.532781869879</v>
      </c>
      <c r="G5" s="40">
        <f t="shared" si="1"/>
        <v>1905369012.1410968</v>
      </c>
      <c r="K5" s="50" t="s">
        <v>76</v>
      </c>
      <c r="L5" s="34">
        <v>101650.05999999998</v>
      </c>
      <c r="M5" s="35">
        <v>683</v>
      </c>
      <c r="N5" s="36">
        <v>28015.087999999992</v>
      </c>
    </row>
    <row r="6" spans="1:20" x14ac:dyDescent="0.35">
      <c r="A6" s="4">
        <v>5</v>
      </c>
      <c r="B6" s="9" t="s">
        <v>6</v>
      </c>
      <c r="C6" s="62">
        <v>5</v>
      </c>
      <c r="D6" s="60">
        <v>333</v>
      </c>
      <c r="E6" s="61">
        <v>0.75344051462171702</v>
      </c>
      <c r="F6" s="40">
        <f t="shared" si="0"/>
        <v>-50801.972781869881</v>
      </c>
      <c r="G6" s="40">
        <f t="shared" si="1"/>
        <v>2580840438.5298481</v>
      </c>
      <c r="K6" s="51" t="s">
        <v>77</v>
      </c>
      <c r="L6" s="34">
        <v>7572.3810000000012</v>
      </c>
      <c r="M6" s="35">
        <v>604</v>
      </c>
      <c r="N6" s="36">
        <v>1924.5350729521847</v>
      </c>
    </row>
    <row r="7" spans="1:20" x14ac:dyDescent="0.35">
      <c r="A7" s="4">
        <v>6</v>
      </c>
      <c r="B7" s="9" t="s">
        <v>7</v>
      </c>
      <c r="C7" s="62">
        <v>2220</v>
      </c>
      <c r="D7" s="63">
        <v>583</v>
      </c>
      <c r="E7" s="61">
        <v>485.96913193100744</v>
      </c>
      <c r="F7" s="40">
        <f t="shared" si="0"/>
        <v>-48586.972781869881</v>
      </c>
      <c r="G7" s="40">
        <f t="shared" si="1"/>
        <v>2360693924.1061645</v>
      </c>
      <c r="K7" s="52" t="s">
        <v>78</v>
      </c>
      <c r="L7" s="34">
        <v>10661.50379434073</v>
      </c>
      <c r="M7" s="35">
        <v>555</v>
      </c>
      <c r="N7" s="36">
        <v>3661.387126913567</v>
      </c>
    </row>
    <row r="8" spans="1:20" x14ac:dyDescent="0.35">
      <c r="A8" s="4">
        <v>7</v>
      </c>
      <c r="B8" s="9" t="s">
        <v>8</v>
      </c>
      <c r="C8" s="64">
        <v>10454.69</v>
      </c>
      <c r="D8" s="58">
        <v>791</v>
      </c>
      <c r="E8" s="56">
        <v>3118.3245331060698</v>
      </c>
      <c r="F8" s="40">
        <f t="shared" si="0"/>
        <v>-40352.282781869879</v>
      </c>
      <c r="G8" s="40">
        <f t="shared" si="1"/>
        <v>1628306725.7079923</v>
      </c>
    </row>
    <row r="9" spans="1:20" x14ac:dyDescent="0.35">
      <c r="A9" s="4">
        <v>8</v>
      </c>
      <c r="B9" s="9" t="s">
        <v>9</v>
      </c>
      <c r="C9" s="64">
        <v>709.87999999999988</v>
      </c>
      <c r="D9" s="63">
        <v>477</v>
      </c>
      <c r="E9" s="61">
        <v>116.66678145065175</v>
      </c>
      <c r="F9" s="40">
        <f t="shared" si="0"/>
        <v>-50097.092781869884</v>
      </c>
      <c r="G9" s="40">
        <f t="shared" si="1"/>
        <v>2509718705.1952796</v>
      </c>
      <c r="I9" s="4" t="s">
        <v>84</v>
      </c>
      <c r="J9" s="43" t="s">
        <v>76</v>
      </c>
      <c r="K9" s="43" t="s">
        <v>77</v>
      </c>
      <c r="L9" s="43" t="s">
        <v>78</v>
      </c>
      <c r="M9" s="43" t="s">
        <v>81</v>
      </c>
      <c r="N9" s="43" t="s">
        <v>80</v>
      </c>
      <c r="P9" s="4">
        <v>4</v>
      </c>
      <c r="Q9" s="43" t="s">
        <v>82</v>
      </c>
      <c r="R9" s="43" t="s">
        <v>76</v>
      </c>
      <c r="S9" s="43" t="s">
        <v>77</v>
      </c>
      <c r="T9" s="43" t="s">
        <v>78</v>
      </c>
    </row>
    <row r="10" spans="1:20" x14ac:dyDescent="0.35">
      <c r="A10" s="4">
        <v>9</v>
      </c>
      <c r="B10" s="9" t="s">
        <v>10</v>
      </c>
      <c r="C10" s="64">
        <v>13421.000000000002</v>
      </c>
      <c r="D10" s="66">
        <v>728</v>
      </c>
      <c r="E10" s="56">
        <v>4615.5765925726382</v>
      </c>
      <c r="F10" s="40">
        <f t="shared" si="0"/>
        <v>-37385.972781869881</v>
      </c>
      <c r="G10" s="40">
        <f t="shared" si="1"/>
        <v>1397710960.8467157</v>
      </c>
      <c r="I10" s="41"/>
      <c r="J10" s="42">
        <f>SQRT((C2-$L$5)^2+(D2-$M$5)^2+(E2-$N$5)^2)</f>
        <v>0</v>
      </c>
      <c r="K10" s="42">
        <f>SQRT((C2-$L$6)^2+(D2-$M$6)^2+(E2-$N$6)^2)</f>
        <v>97628.545410991966</v>
      </c>
      <c r="L10" s="4">
        <f t="shared" ref="L10:L43" si="2">SQRT((C2-$L$7)^2+(D2-$M$7)^2+(E2-$N$7)^2)</f>
        <v>94191.488419103902</v>
      </c>
      <c r="M10" s="44">
        <f>MIN(J10:L10)</f>
        <v>0</v>
      </c>
      <c r="N10" s="37"/>
      <c r="Q10" s="32">
        <v>1</v>
      </c>
      <c r="R10" s="47">
        <v>1</v>
      </c>
      <c r="S10" s="47"/>
      <c r="T10" s="47"/>
    </row>
    <row r="11" spans="1:20" x14ac:dyDescent="0.35">
      <c r="A11" s="4">
        <v>10</v>
      </c>
      <c r="B11" s="9" t="s">
        <v>11</v>
      </c>
      <c r="C11" s="55">
        <v>72032</v>
      </c>
      <c r="D11" s="58">
        <v>801</v>
      </c>
      <c r="E11" s="61">
        <v>34689.488110595688</v>
      </c>
      <c r="F11" s="40">
        <f t="shared" si="0"/>
        <v>21225.027218130119</v>
      </c>
      <c r="G11" s="40">
        <f t="shared" si="1"/>
        <v>450501780.41036439</v>
      </c>
      <c r="I11" s="41"/>
      <c r="J11" s="42">
        <f>SQRT((C3-$L$5)^2+(D3-$M$5)^2+(E3-$N$5)^2)</f>
        <v>37031.99530971393</v>
      </c>
      <c r="K11" s="42">
        <f t="shared" ref="K11:K43" si="3">SQRT((C3-$L$6)^2+(D3-$M$6)^2+(E3-$N$6)^2)</f>
        <v>60633.616270565515</v>
      </c>
      <c r="L11" s="4">
        <f t="shared" si="2"/>
        <v>57180.646951182025</v>
      </c>
      <c r="M11" s="44">
        <f t="shared" ref="M11:M43" si="4">MIN(J11:L11)</f>
        <v>37031.99530971393</v>
      </c>
      <c r="N11" s="37"/>
      <c r="Q11" s="32">
        <v>2</v>
      </c>
      <c r="R11" s="47">
        <v>1</v>
      </c>
      <c r="S11" s="47"/>
      <c r="T11" s="47"/>
    </row>
    <row r="12" spans="1:20" x14ac:dyDescent="0.35">
      <c r="A12" s="4">
        <v>11</v>
      </c>
      <c r="B12" s="9" t="s">
        <v>12</v>
      </c>
      <c r="C12" s="57">
        <v>0</v>
      </c>
      <c r="D12" s="58">
        <v>0</v>
      </c>
      <c r="E12" s="59" t="s">
        <v>13</v>
      </c>
      <c r="F12" s="40">
        <f t="shared" si="0"/>
        <v>-50806.972781869881</v>
      </c>
      <c r="G12" s="40">
        <f t="shared" si="1"/>
        <v>2581348483.2576671</v>
      </c>
      <c r="I12" s="41"/>
      <c r="J12" s="42">
        <f t="shared" ref="J12:J43" si="5">SQRT((C4-$L$5)^2+(D4-$M$5)^2+(E4-$N$5)^2)</f>
        <v>62327.94021159839</v>
      </c>
      <c r="K12" s="42">
        <f t="shared" si="3"/>
        <v>159140.15628109555</v>
      </c>
      <c r="L12" s="4">
        <f t="shared" si="2"/>
        <v>155643.17672307152</v>
      </c>
      <c r="M12" s="44">
        <f t="shared" si="4"/>
        <v>62327.94021159839</v>
      </c>
      <c r="N12" s="37"/>
      <c r="Q12" s="32">
        <v>3</v>
      </c>
      <c r="R12" s="47">
        <v>1</v>
      </c>
      <c r="S12" s="47"/>
      <c r="T12" s="47"/>
    </row>
    <row r="13" spans="1:20" x14ac:dyDescent="0.35">
      <c r="A13" s="4">
        <v>12</v>
      </c>
      <c r="B13" s="9" t="s">
        <v>14</v>
      </c>
      <c r="C13" s="64">
        <v>9546.1299999999992</v>
      </c>
      <c r="D13" s="66">
        <v>514</v>
      </c>
      <c r="E13" s="56">
        <v>2509.1115574066789</v>
      </c>
      <c r="F13" s="40">
        <f t="shared" si="0"/>
        <v>-41260.842781869884</v>
      </c>
      <c r="G13" s="40">
        <f t="shared" si="1"/>
        <v>1702457147.070184</v>
      </c>
      <c r="I13" s="41"/>
      <c r="J13" s="42">
        <f t="shared" si="5"/>
        <v>97760.825539219004</v>
      </c>
      <c r="K13" s="42">
        <f t="shared" si="3"/>
        <v>1112.6299170304296</v>
      </c>
      <c r="L13" s="4">
        <f t="shared" si="2"/>
        <v>3578.775031767479</v>
      </c>
      <c r="M13" s="44">
        <f t="shared" si="4"/>
        <v>1112.6299170304296</v>
      </c>
      <c r="N13" s="38"/>
      <c r="Q13" s="32">
        <v>4</v>
      </c>
      <c r="R13" s="47"/>
      <c r="S13" s="47">
        <v>2</v>
      </c>
      <c r="T13" s="47"/>
    </row>
    <row r="14" spans="1:20" x14ac:dyDescent="0.35">
      <c r="A14" s="4">
        <v>13</v>
      </c>
      <c r="B14" s="9" t="s">
        <v>15</v>
      </c>
      <c r="C14" s="64">
        <v>7582.3089999999993</v>
      </c>
      <c r="D14" s="63">
        <v>708</v>
      </c>
      <c r="E14" s="65">
        <v>2414.270937856912</v>
      </c>
      <c r="F14" s="40">
        <f t="shared" si="0"/>
        <v>-43224.66378186988</v>
      </c>
      <c r="G14" s="40">
        <f t="shared" si="1"/>
        <v>1868371559.0556939</v>
      </c>
      <c r="I14" s="41"/>
      <c r="J14" s="42">
        <f t="shared" si="5"/>
        <v>105435.49527182187</v>
      </c>
      <c r="K14" s="42">
        <f t="shared" si="3"/>
        <v>7812.7864407306788</v>
      </c>
      <c r="L14" s="4">
        <f t="shared" si="2"/>
        <v>11269.897785907249</v>
      </c>
      <c r="M14" s="44">
        <f t="shared" si="4"/>
        <v>7812.7864407306788</v>
      </c>
      <c r="N14" s="38"/>
      <c r="Q14" s="32">
        <v>5</v>
      </c>
      <c r="R14" s="47"/>
      <c r="S14" s="47">
        <v>2</v>
      </c>
      <c r="T14" s="47"/>
    </row>
    <row r="15" spans="1:20" x14ac:dyDescent="0.35">
      <c r="A15" s="4">
        <v>14</v>
      </c>
      <c r="B15" s="9" t="s">
        <v>16</v>
      </c>
      <c r="C15" s="64">
        <v>7572.3810000000012</v>
      </c>
      <c r="D15" s="63">
        <v>604</v>
      </c>
      <c r="E15" s="65">
        <v>1924.5350729521847</v>
      </c>
      <c r="F15" s="40">
        <f t="shared" si="0"/>
        <v>-43234.59178186988</v>
      </c>
      <c r="G15" s="40">
        <f t="shared" si="1"/>
        <v>1869229926.5449305</v>
      </c>
      <c r="I15" s="41"/>
      <c r="J15" s="42">
        <f t="shared" si="5"/>
        <v>103170.7284904777</v>
      </c>
      <c r="K15" s="42">
        <f t="shared" si="3"/>
        <v>5542.3727171516675</v>
      </c>
      <c r="L15" s="4">
        <f t="shared" si="2"/>
        <v>9019.0381833501506</v>
      </c>
      <c r="M15" s="44">
        <f t="shared" si="4"/>
        <v>5542.3727171516675</v>
      </c>
      <c r="N15" s="38"/>
      <c r="Q15" s="32">
        <v>6</v>
      </c>
      <c r="R15" s="47"/>
      <c r="S15" s="47">
        <v>2</v>
      </c>
      <c r="T15" s="47"/>
    </row>
    <row r="16" spans="1:20" x14ac:dyDescent="0.35">
      <c r="A16" s="4">
        <v>15</v>
      </c>
      <c r="B16" s="9" t="s">
        <v>17</v>
      </c>
      <c r="C16" s="64">
        <v>5087.95</v>
      </c>
      <c r="D16" s="63">
        <v>406</v>
      </c>
      <c r="E16" s="65">
        <v>1038.625283811183</v>
      </c>
      <c r="F16" s="40">
        <f t="shared" si="0"/>
        <v>-45719.022781869884</v>
      </c>
      <c r="G16" s="40">
        <f t="shared" si="1"/>
        <v>2090229044.1291375</v>
      </c>
      <c r="I16" s="41"/>
      <c r="J16" s="42">
        <f t="shared" si="5"/>
        <v>94532.830300183865</v>
      </c>
      <c r="K16" s="42">
        <f t="shared" si="3"/>
        <v>3125.3491719575113</v>
      </c>
      <c r="L16" s="4">
        <f t="shared" si="2"/>
        <v>627.20405477207828</v>
      </c>
      <c r="M16" s="44">
        <f t="shared" si="4"/>
        <v>627.20405477207828</v>
      </c>
      <c r="N16" s="39"/>
      <c r="Q16" s="32">
        <v>7</v>
      </c>
      <c r="R16" s="47"/>
      <c r="S16" s="47"/>
      <c r="T16" s="47">
        <v>3</v>
      </c>
    </row>
    <row r="17" spans="1:20" x14ac:dyDescent="0.35">
      <c r="A17" s="4">
        <v>16</v>
      </c>
      <c r="B17" s="9" t="s">
        <v>18</v>
      </c>
      <c r="C17" s="64">
        <v>51071.79</v>
      </c>
      <c r="D17" s="66">
        <v>854</v>
      </c>
      <c r="E17" s="56">
        <v>24870.684915584476</v>
      </c>
      <c r="F17" s="40">
        <f t="shared" si="0"/>
        <v>264.81721813011973</v>
      </c>
      <c r="G17" s="40">
        <f t="shared" si="1"/>
        <v>70128.159018175415</v>
      </c>
      <c r="I17" s="41"/>
      <c r="J17" s="42">
        <f t="shared" si="5"/>
        <v>104724.80260625941</v>
      </c>
      <c r="K17" s="42">
        <f t="shared" si="3"/>
        <v>7097.7768867736104</v>
      </c>
      <c r="L17" s="4">
        <f t="shared" si="2"/>
        <v>10564.371371341853</v>
      </c>
      <c r="M17" s="44">
        <f t="shared" si="4"/>
        <v>7097.7768867736104</v>
      </c>
      <c r="N17" s="38"/>
      <c r="Q17" s="32">
        <v>8</v>
      </c>
      <c r="R17" s="47"/>
      <c r="S17" s="47">
        <v>2</v>
      </c>
      <c r="T17" s="47"/>
    </row>
    <row r="18" spans="1:20" x14ac:dyDescent="0.35">
      <c r="A18" s="4">
        <v>17</v>
      </c>
      <c r="B18" s="9" t="s">
        <v>19</v>
      </c>
      <c r="C18" s="64">
        <v>14484.4</v>
      </c>
      <c r="D18" s="66">
        <v>641</v>
      </c>
      <c r="E18" s="56">
        <v>4960.4848241524096</v>
      </c>
      <c r="F18" s="40">
        <f t="shared" si="0"/>
        <v>-36322.57278186988</v>
      </c>
      <c r="G18" s="40">
        <f t="shared" si="1"/>
        <v>1319329293.4942346</v>
      </c>
      <c r="I18" s="41"/>
      <c r="J18" s="42">
        <f t="shared" si="5"/>
        <v>91279.275783662524</v>
      </c>
      <c r="K18" s="42">
        <f t="shared" si="3"/>
        <v>6439.2099412491725</v>
      </c>
      <c r="L18" s="4">
        <f t="shared" si="2"/>
        <v>2924.9317676524802</v>
      </c>
      <c r="M18" s="44">
        <f t="shared" si="4"/>
        <v>2924.9317676524802</v>
      </c>
      <c r="N18" s="39"/>
      <c r="Q18" s="32">
        <v>9</v>
      </c>
      <c r="R18" s="47"/>
      <c r="S18" s="47"/>
      <c r="T18" s="47">
        <v>3</v>
      </c>
    </row>
    <row r="19" spans="1:20" x14ac:dyDescent="0.35">
      <c r="A19" s="4">
        <v>18</v>
      </c>
      <c r="B19" s="9" t="s">
        <v>20</v>
      </c>
      <c r="C19" s="64">
        <v>7992.9800000000014</v>
      </c>
      <c r="D19" s="63">
        <v>442</v>
      </c>
      <c r="E19" s="65">
        <v>1351.6722832313601</v>
      </c>
      <c r="F19" s="40">
        <f t="shared" si="0"/>
        <v>-42813.992781869878</v>
      </c>
      <c r="G19" s="40">
        <f t="shared" si="1"/>
        <v>1833037977.9260061</v>
      </c>
      <c r="I19" s="41"/>
      <c r="J19" s="42">
        <f t="shared" si="5"/>
        <v>30361.011495006533</v>
      </c>
      <c r="K19" s="42">
        <f t="shared" si="3"/>
        <v>72309.220976194629</v>
      </c>
      <c r="L19" s="4">
        <f t="shared" si="2"/>
        <v>68768.752869180462</v>
      </c>
      <c r="M19" s="44">
        <f t="shared" si="4"/>
        <v>30361.011495006533</v>
      </c>
      <c r="N19" s="37"/>
      <c r="Q19" s="32">
        <v>10</v>
      </c>
      <c r="R19" s="47">
        <v>1</v>
      </c>
      <c r="S19" s="47"/>
      <c r="T19" s="47"/>
    </row>
    <row r="20" spans="1:20" x14ac:dyDescent="0.35">
      <c r="A20" s="4">
        <v>19</v>
      </c>
      <c r="B20" s="9" t="s">
        <v>21</v>
      </c>
      <c r="C20" s="64">
        <v>52520.3</v>
      </c>
      <c r="D20" s="66">
        <v>584</v>
      </c>
      <c r="E20" s="56">
        <v>11580.876449244062</v>
      </c>
      <c r="F20" s="40">
        <f t="shared" si="0"/>
        <v>1713.3272181301218</v>
      </c>
      <c r="G20" s="40">
        <f t="shared" si="1"/>
        <v>2935490.1563855018</v>
      </c>
      <c r="I20" s="41"/>
      <c r="J20" s="42" t="e">
        <f t="shared" si="5"/>
        <v>#VALUE!</v>
      </c>
      <c r="K20" s="42" t="e">
        <f t="shared" si="3"/>
        <v>#VALUE!</v>
      </c>
      <c r="L20" s="4" t="e">
        <f t="shared" si="2"/>
        <v>#VALUE!</v>
      </c>
      <c r="M20" s="44" t="e">
        <f t="shared" si="4"/>
        <v>#VALUE!</v>
      </c>
      <c r="N20" s="10"/>
      <c r="Q20" s="32">
        <v>11</v>
      </c>
      <c r="R20" s="47" t="s">
        <v>13</v>
      </c>
      <c r="S20" s="47" t="s">
        <v>13</v>
      </c>
      <c r="T20" s="47" t="s">
        <v>13</v>
      </c>
    </row>
    <row r="21" spans="1:20" x14ac:dyDescent="0.35">
      <c r="A21" s="4">
        <v>20</v>
      </c>
      <c r="B21" s="9" t="s">
        <v>22</v>
      </c>
      <c r="C21" s="64">
        <v>11477</v>
      </c>
      <c r="D21" s="66">
        <v>551</v>
      </c>
      <c r="E21" s="56">
        <v>2007.1655309522541</v>
      </c>
      <c r="F21" s="40">
        <f t="shared" si="0"/>
        <v>-39329.972781869881</v>
      </c>
      <c r="G21" s="40">
        <f t="shared" si="1"/>
        <v>1546846759.0226257</v>
      </c>
      <c r="I21" s="41"/>
      <c r="J21" s="42">
        <f t="shared" si="5"/>
        <v>95570.483501628376</v>
      </c>
      <c r="K21" s="42">
        <f t="shared" si="3"/>
        <v>2060.4647002989805</v>
      </c>
      <c r="L21" s="4">
        <f t="shared" si="2"/>
        <v>1604.2065606350268</v>
      </c>
      <c r="M21" s="44">
        <f t="shared" si="4"/>
        <v>1604.2065606350268</v>
      </c>
      <c r="N21" s="39"/>
      <c r="Q21" s="32">
        <v>12</v>
      </c>
      <c r="R21" s="47"/>
      <c r="S21" s="47"/>
      <c r="T21" s="47">
        <v>3</v>
      </c>
    </row>
    <row r="22" spans="1:20" x14ac:dyDescent="0.35">
      <c r="A22" s="4">
        <v>21</v>
      </c>
      <c r="B22" s="9" t="s">
        <v>23</v>
      </c>
      <c r="C22" s="64">
        <v>987.16</v>
      </c>
      <c r="D22" s="60">
        <v>531</v>
      </c>
      <c r="E22" s="65">
        <v>163.19521546706392</v>
      </c>
      <c r="F22" s="40">
        <f t="shared" si="0"/>
        <v>-49819.812781869878</v>
      </c>
      <c r="G22" s="40">
        <f t="shared" si="1"/>
        <v>2482013745.6205654</v>
      </c>
      <c r="I22" s="41"/>
      <c r="J22" s="42">
        <f t="shared" si="5"/>
        <v>97489.200619593321</v>
      </c>
      <c r="K22" s="42">
        <f t="shared" si="3"/>
        <v>500.75521221249539</v>
      </c>
      <c r="L22" s="4">
        <f t="shared" si="2"/>
        <v>3325.6801365288043</v>
      </c>
      <c r="M22" s="44">
        <f t="shared" si="4"/>
        <v>500.75521221249539</v>
      </c>
      <c r="N22" s="38"/>
      <c r="Q22" s="32">
        <v>13</v>
      </c>
      <c r="R22" s="47"/>
      <c r="S22" s="47">
        <v>2</v>
      </c>
      <c r="T22" s="47"/>
    </row>
    <row r="23" spans="1:20" x14ac:dyDescent="0.35">
      <c r="A23" s="4">
        <v>22</v>
      </c>
      <c r="B23" s="9" t="s">
        <v>24</v>
      </c>
      <c r="C23" s="64">
        <v>695</v>
      </c>
      <c r="D23" s="60">
        <v>294</v>
      </c>
      <c r="E23" s="65">
        <v>65.549324772089378</v>
      </c>
      <c r="F23" s="40">
        <f t="shared" si="0"/>
        <v>-50111.972781869881</v>
      </c>
      <c r="G23" s="40">
        <f t="shared" si="1"/>
        <v>2511209816.090868</v>
      </c>
      <c r="I23" s="41"/>
      <c r="J23" s="42">
        <f t="shared" si="5"/>
        <v>97628.545410991966</v>
      </c>
      <c r="K23" s="42">
        <f t="shared" si="3"/>
        <v>0</v>
      </c>
      <c r="L23" s="4">
        <f t="shared" si="2"/>
        <v>3544.2538983353525</v>
      </c>
      <c r="M23" s="44">
        <f t="shared" si="4"/>
        <v>0</v>
      </c>
      <c r="N23" s="38"/>
      <c r="Q23" s="32">
        <v>14</v>
      </c>
      <c r="R23" s="47"/>
      <c r="S23" s="47">
        <v>2</v>
      </c>
      <c r="T23" s="47"/>
    </row>
    <row r="24" spans="1:20" x14ac:dyDescent="0.35">
      <c r="A24" s="4">
        <v>23</v>
      </c>
      <c r="B24" s="9" t="s">
        <v>25</v>
      </c>
      <c r="C24" s="64">
        <v>9514</v>
      </c>
      <c r="D24" s="60">
        <v>707</v>
      </c>
      <c r="E24" s="65">
        <v>3053.6944057618189</v>
      </c>
      <c r="F24" s="40">
        <f t="shared" si="0"/>
        <v>-41292.972781869881</v>
      </c>
      <c r="G24" s="40">
        <f t="shared" si="1"/>
        <v>1705109601.1642468</v>
      </c>
      <c r="I24" s="41"/>
      <c r="J24" s="42">
        <f t="shared" si="5"/>
        <v>100259.89904907157</v>
      </c>
      <c r="K24" s="42">
        <f t="shared" si="3"/>
        <v>2645.0779852883093</v>
      </c>
      <c r="L24" s="4">
        <f t="shared" si="2"/>
        <v>6161.6217495107376</v>
      </c>
      <c r="M24" s="44">
        <f t="shared" si="4"/>
        <v>2645.0779852883093</v>
      </c>
      <c r="N24" s="38"/>
      <c r="Q24" s="32">
        <v>15</v>
      </c>
      <c r="R24" s="47"/>
      <c r="S24" s="47">
        <v>2</v>
      </c>
      <c r="T24" s="47"/>
    </row>
    <row r="25" spans="1:20" x14ac:dyDescent="0.35">
      <c r="A25" s="4">
        <v>24</v>
      </c>
      <c r="B25" s="9" t="s">
        <v>26</v>
      </c>
      <c r="C25" s="64">
        <v>9992</v>
      </c>
      <c r="D25" s="60">
        <v>895</v>
      </c>
      <c r="E25" s="65">
        <v>5380.3187149136811</v>
      </c>
      <c r="F25" s="40">
        <f t="shared" si="0"/>
        <v>-40814.972781869881</v>
      </c>
      <c r="G25" s="40">
        <f t="shared" si="1"/>
        <v>1665862003.1847792</v>
      </c>
      <c r="I25" s="41"/>
      <c r="J25" s="42">
        <f t="shared" si="5"/>
        <v>50676.206526832495</v>
      </c>
      <c r="K25" s="42">
        <f t="shared" si="3"/>
        <v>49181.16383281118</v>
      </c>
      <c r="L25" s="4">
        <f t="shared" si="2"/>
        <v>45638.963013107743</v>
      </c>
      <c r="M25" s="44">
        <f t="shared" si="4"/>
        <v>45638.963013107743</v>
      </c>
      <c r="N25" s="39"/>
      <c r="Q25" s="32">
        <v>16</v>
      </c>
      <c r="R25" s="47">
        <v>1</v>
      </c>
      <c r="S25" s="47"/>
      <c r="T25" s="47"/>
    </row>
    <row r="26" spans="1:20" x14ac:dyDescent="0.35">
      <c r="A26" s="4">
        <v>25</v>
      </c>
      <c r="B26" s="9" t="s">
        <v>27</v>
      </c>
      <c r="C26" s="64">
        <v>17895.55</v>
      </c>
      <c r="D26" s="60">
        <v>673</v>
      </c>
      <c r="E26" s="65">
        <v>4582.884598219307</v>
      </c>
      <c r="F26" s="40">
        <f t="shared" si="0"/>
        <v>-32911.422781869886</v>
      </c>
      <c r="G26" s="40">
        <f t="shared" si="1"/>
        <v>1083161749.5269842</v>
      </c>
      <c r="I26" s="41"/>
      <c r="J26" s="42">
        <f t="shared" si="5"/>
        <v>90163.012232463705</v>
      </c>
      <c r="K26" s="42">
        <f t="shared" si="3"/>
        <v>7549.4613415907816</v>
      </c>
      <c r="L26" s="4">
        <f t="shared" si="2"/>
        <v>4038.5128731025861</v>
      </c>
      <c r="M26" s="44">
        <f t="shared" si="4"/>
        <v>4038.5128731025861</v>
      </c>
      <c r="N26" s="39"/>
      <c r="Q26" s="32">
        <v>17</v>
      </c>
      <c r="R26" s="47">
        <v>1</v>
      </c>
      <c r="S26" s="47"/>
      <c r="T26" s="47"/>
    </row>
    <row r="27" spans="1:20" x14ac:dyDescent="0.35">
      <c r="A27" s="4">
        <v>26</v>
      </c>
      <c r="B27" s="9" t="s">
        <v>28</v>
      </c>
      <c r="C27" s="64">
        <v>14221.630789235234</v>
      </c>
      <c r="D27" s="66">
        <v>853</v>
      </c>
      <c r="E27" s="56">
        <v>2890.3074669326561</v>
      </c>
      <c r="F27" s="40">
        <f t="shared" si="0"/>
        <v>-36585.341992634647</v>
      </c>
      <c r="G27" s="40">
        <f t="shared" si="1"/>
        <v>1338487248.7180362</v>
      </c>
      <c r="I27" s="41"/>
      <c r="J27" s="42">
        <f t="shared" si="5"/>
        <v>97378.870669214593</v>
      </c>
      <c r="K27" s="42">
        <f t="shared" si="3"/>
        <v>728.91652104183083</v>
      </c>
      <c r="L27" s="4">
        <f t="shared" si="2"/>
        <v>3531.0863625927586</v>
      </c>
      <c r="M27" s="44">
        <f t="shared" si="4"/>
        <v>728.91652104183083</v>
      </c>
      <c r="N27" s="38"/>
      <c r="Q27" s="32">
        <v>18</v>
      </c>
      <c r="R27" s="47"/>
      <c r="S27" s="47">
        <v>2</v>
      </c>
      <c r="T27" s="47"/>
    </row>
    <row r="28" spans="1:20" x14ac:dyDescent="0.35">
      <c r="A28" s="4">
        <v>27</v>
      </c>
      <c r="B28" s="9" t="s">
        <v>29</v>
      </c>
      <c r="C28" s="55">
        <v>291449.49</v>
      </c>
      <c r="D28" s="66">
        <v>908</v>
      </c>
      <c r="E28" s="65">
        <v>161468.98532598049</v>
      </c>
      <c r="F28" s="40">
        <f t="shared" si="0"/>
        <v>240642.51721813012</v>
      </c>
      <c r="G28" s="40">
        <f t="shared" si="1"/>
        <v>57908821093.078049</v>
      </c>
      <c r="I28" s="41"/>
      <c r="J28" s="42">
        <f t="shared" si="5"/>
        <v>51805.66019222801</v>
      </c>
      <c r="K28" s="42">
        <f t="shared" si="3"/>
        <v>45973.478780771504</v>
      </c>
      <c r="L28" s="4">
        <f t="shared" si="2"/>
        <v>42601.384624368984</v>
      </c>
      <c r="M28" s="44">
        <f t="shared" si="4"/>
        <v>42601.384624368984</v>
      </c>
      <c r="N28" s="39"/>
      <c r="Q28" s="32">
        <v>19</v>
      </c>
      <c r="R28" s="47"/>
      <c r="S28" s="47"/>
      <c r="T28" s="47">
        <v>3</v>
      </c>
    </row>
    <row r="29" spans="1:20" x14ac:dyDescent="0.35">
      <c r="A29" s="4">
        <v>28</v>
      </c>
      <c r="B29" s="9" t="s">
        <v>30</v>
      </c>
      <c r="C29" s="55">
        <v>250174.82999999993</v>
      </c>
      <c r="D29" s="66">
        <v>802</v>
      </c>
      <c r="E29" s="65">
        <v>118328.99999999999</v>
      </c>
      <c r="F29" s="40">
        <f t="shared" si="0"/>
        <v>199367.85721813006</v>
      </c>
      <c r="G29" s="40">
        <f t="shared" si="1"/>
        <v>39747542491.748695</v>
      </c>
      <c r="I29" s="41"/>
      <c r="J29" s="42">
        <f t="shared" si="5"/>
        <v>93848.868959192012</v>
      </c>
      <c r="K29" s="42">
        <f t="shared" si="3"/>
        <v>3905.85282976078</v>
      </c>
      <c r="L29" s="4">
        <f t="shared" si="2"/>
        <v>1844.3153607746858</v>
      </c>
      <c r="M29" s="44">
        <f t="shared" si="4"/>
        <v>1844.3153607746858</v>
      </c>
      <c r="N29" s="39"/>
      <c r="Q29" s="32">
        <v>20</v>
      </c>
      <c r="R29" s="47"/>
      <c r="S29" s="47"/>
      <c r="T29" s="47">
        <v>3</v>
      </c>
    </row>
    <row r="30" spans="1:20" x14ac:dyDescent="0.35">
      <c r="A30" s="4">
        <v>29</v>
      </c>
      <c r="B30" s="9" t="s">
        <v>31</v>
      </c>
      <c r="C30" s="55">
        <v>168391</v>
      </c>
      <c r="D30" s="66">
        <v>854</v>
      </c>
      <c r="E30" s="65">
        <v>72037.370469377391</v>
      </c>
      <c r="F30" s="40">
        <f t="shared" si="0"/>
        <v>117584.02721813013</v>
      </c>
      <c r="G30" s="40">
        <f t="shared" si="1"/>
        <v>13826003456.833967</v>
      </c>
      <c r="I30" s="41"/>
      <c r="J30" s="42">
        <f t="shared" si="5"/>
        <v>104445.05958680436</v>
      </c>
      <c r="K30" s="42">
        <f t="shared" si="3"/>
        <v>6817.0948880301439</v>
      </c>
      <c r="L30" s="4">
        <f t="shared" si="2"/>
        <v>10287.412235368462</v>
      </c>
      <c r="M30" s="44">
        <f t="shared" si="4"/>
        <v>6817.0948880301439</v>
      </c>
      <c r="N30" s="38"/>
      <c r="Q30" s="32">
        <v>21</v>
      </c>
      <c r="R30" s="47"/>
      <c r="S30" s="47">
        <v>2</v>
      </c>
      <c r="T30" s="47"/>
    </row>
    <row r="31" spans="1:20" x14ac:dyDescent="0.35">
      <c r="A31" s="4">
        <v>30</v>
      </c>
      <c r="B31" s="9" t="s">
        <v>32</v>
      </c>
      <c r="C31" s="55">
        <v>254108.33</v>
      </c>
      <c r="D31" s="66">
        <v>852</v>
      </c>
      <c r="E31" s="65">
        <v>125078.549290018</v>
      </c>
      <c r="F31" s="40">
        <f t="shared" si="0"/>
        <v>203301.35721813011</v>
      </c>
      <c r="G31" s="40">
        <f t="shared" si="1"/>
        <v>41331441846.733742</v>
      </c>
      <c r="I31" s="41"/>
      <c r="J31" s="42">
        <f t="shared" si="5"/>
        <v>104753.29194236168</v>
      </c>
      <c r="K31" s="42">
        <f t="shared" si="3"/>
        <v>7130.939449406209</v>
      </c>
      <c r="L31" s="4">
        <f t="shared" si="2"/>
        <v>10598.55501386476</v>
      </c>
      <c r="M31" s="44">
        <f t="shared" si="4"/>
        <v>7130.939449406209</v>
      </c>
      <c r="N31" s="38"/>
      <c r="Q31" s="32">
        <v>22</v>
      </c>
      <c r="R31" s="47"/>
      <c r="S31" s="47">
        <v>2</v>
      </c>
      <c r="T31" s="47"/>
    </row>
    <row r="32" spans="1:20" x14ac:dyDescent="0.35">
      <c r="A32" s="4">
        <v>31</v>
      </c>
      <c r="B32" s="9" t="s">
        <v>33</v>
      </c>
      <c r="C32" s="64">
        <v>30134.47</v>
      </c>
      <c r="D32" s="66">
        <v>594</v>
      </c>
      <c r="E32" s="56">
        <v>9680.3267325189445</v>
      </c>
      <c r="F32" s="40">
        <f t="shared" si="0"/>
        <v>-20672.50278186988</v>
      </c>
      <c r="G32" s="40">
        <f t="shared" si="1"/>
        <v>427352371.26641792</v>
      </c>
      <c r="I32" s="41"/>
      <c r="J32" s="42">
        <f t="shared" si="5"/>
        <v>95457.452817944359</v>
      </c>
      <c r="K32" s="42">
        <f t="shared" si="3"/>
        <v>2248.4426032327565</v>
      </c>
      <c r="L32" s="4">
        <f t="shared" si="2"/>
        <v>1307.348232632449</v>
      </c>
      <c r="M32" s="44">
        <f t="shared" si="4"/>
        <v>1307.348232632449</v>
      </c>
      <c r="N32" s="38"/>
      <c r="Q32" s="32">
        <v>23</v>
      </c>
      <c r="R32" s="47"/>
      <c r="S32" s="47">
        <v>2</v>
      </c>
      <c r="T32" s="47"/>
    </row>
    <row r="33" spans="1:20" x14ac:dyDescent="0.35">
      <c r="A33" s="4">
        <v>32</v>
      </c>
      <c r="B33" s="9" t="s">
        <v>34</v>
      </c>
      <c r="C33" s="64">
        <v>33001.1</v>
      </c>
      <c r="D33" s="66">
        <v>683</v>
      </c>
      <c r="E33" s="56">
        <v>10378.50746962152</v>
      </c>
      <c r="F33" s="40">
        <f t="shared" si="0"/>
        <v>-17805.872781869883</v>
      </c>
      <c r="G33" s="40">
        <f t="shared" si="1"/>
        <v>317049105.5241347</v>
      </c>
      <c r="I33" s="41"/>
      <c r="J33" s="42">
        <f t="shared" si="5"/>
        <v>94411.745495741605</v>
      </c>
      <c r="K33" s="42">
        <f t="shared" si="3"/>
        <v>4228.6732771886809</v>
      </c>
      <c r="L33" s="4">
        <f t="shared" si="2"/>
        <v>1875.7828058869791</v>
      </c>
      <c r="M33" s="44">
        <f t="shared" si="4"/>
        <v>1875.7828058869791</v>
      </c>
      <c r="N33" s="38"/>
      <c r="Q33" s="32">
        <v>24</v>
      </c>
      <c r="R33" s="47"/>
      <c r="S33" s="47">
        <v>2</v>
      </c>
      <c r="T33" s="47"/>
    </row>
    <row r="34" spans="1:20" x14ac:dyDescent="0.35">
      <c r="A34" s="4">
        <v>33</v>
      </c>
      <c r="B34" s="9" t="s">
        <v>35</v>
      </c>
      <c r="C34" s="64">
        <v>38590</v>
      </c>
      <c r="D34" s="66">
        <v>480</v>
      </c>
      <c r="E34" s="56">
        <v>8937.0364001814196</v>
      </c>
      <c r="F34" s="40">
        <f t="shared" si="0"/>
        <v>-12216.972781869881</v>
      </c>
      <c r="G34" s="40">
        <f t="shared" si="1"/>
        <v>149254423.95294949</v>
      </c>
      <c r="I34" s="41"/>
      <c r="J34" s="42">
        <f t="shared" si="5"/>
        <v>86970.605388271957</v>
      </c>
      <c r="K34" s="42">
        <f t="shared" si="3"/>
        <v>10660.178300621847</v>
      </c>
      <c r="L34" s="4">
        <f t="shared" si="2"/>
        <v>7293.4563887937347</v>
      </c>
      <c r="M34" s="44">
        <f t="shared" si="4"/>
        <v>7293.4563887937347</v>
      </c>
      <c r="N34" s="38"/>
      <c r="Q34" s="32">
        <v>25</v>
      </c>
      <c r="R34" s="47"/>
      <c r="S34" s="47">
        <v>2</v>
      </c>
      <c r="T34" s="47"/>
    </row>
    <row r="35" spans="1:20" x14ac:dyDescent="0.35">
      <c r="A35" s="4">
        <v>34</v>
      </c>
      <c r="B35" s="9" t="s">
        <v>36</v>
      </c>
      <c r="C35" s="64">
        <v>10661.50379434073</v>
      </c>
      <c r="D35" s="66">
        <v>555</v>
      </c>
      <c r="E35" s="56">
        <v>3661.387126913567</v>
      </c>
      <c r="F35" s="40">
        <f t="shared" si="0"/>
        <v>-40145.468987529151</v>
      </c>
      <c r="G35" s="40">
        <f t="shared" si="1"/>
        <v>1611658680.2286649</v>
      </c>
      <c r="I35" s="41"/>
      <c r="J35" s="42">
        <f t="shared" si="5"/>
        <v>90967.10246620205</v>
      </c>
      <c r="K35" s="42">
        <f t="shared" si="3"/>
        <v>6723.6329522527894</v>
      </c>
      <c r="L35" s="4">
        <f t="shared" si="2"/>
        <v>3654.8422759146329</v>
      </c>
      <c r="M35" s="44">
        <f t="shared" si="4"/>
        <v>3654.8422759146329</v>
      </c>
      <c r="N35" s="39"/>
      <c r="Q35" s="32">
        <v>26</v>
      </c>
      <c r="R35" s="47"/>
      <c r="S35" s="47"/>
      <c r="T35" s="47">
        <v>3</v>
      </c>
    </row>
    <row r="36" spans="1:20" x14ac:dyDescent="0.35">
      <c r="B36" s="71" t="s">
        <v>91</v>
      </c>
      <c r="C36" s="68">
        <f>AVERAGE(C2:C35)</f>
        <v>50806.972781869881</v>
      </c>
      <c r="D36" s="68">
        <f t="shared" ref="D36:E36" si="6">AVERAGE(D2:D35)</f>
        <v>636.23529411764707</v>
      </c>
      <c r="E36" s="68">
        <f t="shared" si="6"/>
        <v>22073.141814567647</v>
      </c>
      <c r="G36" s="40">
        <f>SUM(G2:G35)</f>
        <v>207833444085.81049</v>
      </c>
      <c r="I36" s="41"/>
      <c r="J36" s="42">
        <f t="shared" si="5"/>
        <v>232021.15628713311</v>
      </c>
      <c r="K36" s="42">
        <f t="shared" si="3"/>
        <v>325638.96731923666</v>
      </c>
      <c r="L36" s="4">
        <f t="shared" si="2"/>
        <v>322095.10374389059</v>
      </c>
      <c r="M36" s="44">
        <f t="shared" si="4"/>
        <v>232021.15628713311</v>
      </c>
      <c r="N36" s="37"/>
      <c r="Q36" s="32">
        <v>27</v>
      </c>
      <c r="R36" s="47">
        <v>1</v>
      </c>
      <c r="S36" s="47"/>
      <c r="T36" s="47"/>
    </row>
    <row r="37" spans="1:20" x14ac:dyDescent="0.35">
      <c r="B37" s="67"/>
      <c r="C37" s="40"/>
      <c r="D37" s="70"/>
      <c r="E37" s="70"/>
      <c r="G37" s="29" t="s">
        <v>70</v>
      </c>
      <c r="I37" s="41"/>
      <c r="J37" s="42">
        <f t="shared" si="5"/>
        <v>173828.1454923127</v>
      </c>
      <c r="K37" s="42">
        <f t="shared" si="3"/>
        <v>269083.60581750399</v>
      </c>
      <c r="L37" s="4">
        <f t="shared" si="2"/>
        <v>265547.27616963146</v>
      </c>
      <c r="M37" s="44">
        <f t="shared" si="4"/>
        <v>173828.1454923127</v>
      </c>
      <c r="N37" s="37"/>
      <c r="Q37" s="32">
        <v>28</v>
      </c>
      <c r="R37" s="47">
        <v>1</v>
      </c>
      <c r="S37" s="47"/>
      <c r="T37" s="47"/>
    </row>
    <row r="38" spans="1:20" x14ac:dyDescent="0.35">
      <c r="C38" s="40"/>
      <c r="D38" s="70"/>
      <c r="E38" s="70"/>
      <c r="F38" t="s">
        <v>58</v>
      </c>
      <c r="G38" t="s">
        <v>59</v>
      </c>
      <c r="I38" s="41"/>
      <c r="J38" s="42">
        <f t="shared" si="5"/>
        <v>79952.133598155182</v>
      </c>
      <c r="K38" s="42">
        <f t="shared" si="3"/>
        <v>175438.02439720236</v>
      </c>
      <c r="L38" s="4">
        <f t="shared" si="2"/>
        <v>171912.64779631534</v>
      </c>
      <c r="M38" s="44">
        <f t="shared" si="4"/>
        <v>79952.133598155182</v>
      </c>
      <c r="N38" s="37"/>
      <c r="Q38" s="32">
        <v>29</v>
      </c>
      <c r="R38" s="47">
        <v>1</v>
      </c>
      <c r="S38" s="47"/>
      <c r="T38" s="47"/>
    </row>
    <row r="39" spans="1:20" x14ac:dyDescent="0.35">
      <c r="C39" s="40">
        <f>SUM(C2:C4,C11,C28:C31)</f>
        <v>1360442.4100000001</v>
      </c>
      <c r="F39" t="s">
        <v>60</v>
      </c>
      <c r="G39" t="s">
        <v>61</v>
      </c>
      <c r="I39" s="41"/>
      <c r="J39" s="42">
        <f t="shared" si="5"/>
        <v>180734.24736333656</v>
      </c>
      <c r="K39" s="42">
        <f t="shared" si="3"/>
        <v>275584.73628107173</v>
      </c>
      <c r="L39" s="4">
        <f t="shared" si="2"/>
        <v>272045.16659251647</v>
      </c>
      <c r="M39" s="44">
        <f t="shared" si="4"/>
        <v>180734.24736333656</v>
      </c>
      <c r="N39" s="37"/>
      <c r="Q39" s="32">
        <v>30</v>
      </c>
      <c r="R39" s="47">
        <v>1</v>
      </c>
      <c r="S39" s="47"/>
      <c r="T39" s="47"/>
    </row>
    <row r="40" spans="1:20" x14ac:dyDescent="0.35">
      <c r="F40" t="s">
        <v>62</v>
      </c>
      <c r="G40" t="s">
        <v>63</v>
      </c>
      <c r="I40" s="41"/>
      <c r="J40" s="42">
        <f t="shared" si="5"/>
        <v>73828.524330258835</v>
      </c>
      <c r="K40" s="42">
        <f t="shared" si="3"/>
        <v>23857.91827277741</v>
      </c>
      <c r="L40" s="4">
        <f t="shared" si="2"/>
        <v>20381.991262452084</v>
      </c>
      <c r="M40" s="44">
        <f t="shared" si="4"/>
        <v>20381.991262452084</v>
      </c>
      <c r="N40" s="39"/>
      <c r="Q40" s="32">
        <v>31</v>
      </c>
      <c r="R40" s="47"/>
      <c r="S40" s="47"/>
      <c r="T40" s="47">
        <v>3</v>
      </c>
    </row>
    <row r="41" spans="1:20" x14ac:dyDescent="0.35">
      <c r="F41" t="s">
        <v>64</v>
      </c>
      <c r="G41" t="s">
        <v>65</v>
      </c>
      <c r="I41" s="41"/>
      <c r="J41" s="42">
        <f t="shared" si="5"/>
        <v>70878.266639966052</v>
      </c>
      <c r="K41" s="42">
        <f t="shared" si="3"/>
        <v>26797.306586009869</v>
      </c>
      <c r="L41" s="4">
        <f t="shared" si="2"/>
        <v>23327.958511844259</v>
      </c>
      <c r="M41" s="44">
        <f t="shared" si="4"/>
        <v>23327.958511844259</v>
      </c>
      <c r="N41" s="39"/>
      <c r="Q41" s="32">
        <v>32</v>
      </c>
      <c r="R41" s="47"/>
      <c r="S41" s="47"/>
      <c r="T41" s="47">
        <v>3</v>
      </c>
    </row>
    <row r="42" spans="1:20" x14ac:dyDescent="0.35">
      <c r="F42" t="s">
        <v>66</v>
      </c>
      <c r="G42" t="s">
        <v>67</v>
      </c>
      <c r="I42" s="41"/>
      <c r="J42" s="42">
        <f t="shared" si="5"/>
        <v>65883.111865249186</v>
      </c>
      <c r="K42" s="42">
        <f t="shared" si="3"/>
        <v>31800.679855838818</v>
      </c>
      <c r="L42" s="4">
        <f t="shared" si="2"/>
        <v>28422.508695821627</v>
      </c>
      <c r="M42" s="44">
        <f t="shared" si="4"/>
        <v>28422.508695821627</v>
      </c>
      <c r="N42" s="39"/>
      <c r="Q42" s="32">
        <v>33</v>
      </c>
      <c r="R42" s="47"/>
      <c r="S42" s="47"/>
      <c r="T42" s="47">
        <v>3</v>
      </c>
    </row>
    <row r="43" spans="1:20" x14ac:dyDescent="0.35">
      <c r="C43" s="40">
        <f>(C2^2)</f>
        <v>10332734698.003597</v>
      </c>
      <c r="F43" t="s">
        <v>68</v>
      </c>
      <c r="G43" t="s">
        <v>69</v>
      </c>
      <c r="I43" s="41"/>
      <c r="J43" s="42">
        <f t="shared" si="5"/>
        <v>94191.488419103902</v>
      </c>
      <c r="K43" s="42">
        <f t="shared" si="3"/>
        <v>3544.2538983353525</v>
      </c>
      <c r="L43" s="4">
        <f t="shared" si="2"/>
        <v>0</v>
      </c>
      <c r="M43" s="44">
        <f t="shared" si="4"/>
        <v>0</v>
      </c>
      <c r="N43" s="39"/>
      <c r="Q43" s="32">
        <v>34</v>
      </c>
      <c r="R43" s="47"/>
      <c r="S43" s="47"/>
      <c r="T43" s="47">
        <v>3</v>
      </c>
    </row>
    <row r="44" spans="1:20" x14ac:dyDescent="0.35">
      <c r="C44" s="40">
        <f>SUM(C3^2)</f>
        <v>4308478321</v>
      </c>
      <c r="G44" s="29" t="s">
        <v>71</v>
      </c>
      <c r="J44" s="40"/>
      <c r="Q44" s="28" t="s">
        <v>83</v>
      </c>
      <c r="R44" s="28">
        <v>10</v>
      </c>
      <c r="S44" s="28">
        <v>13</v>
      </c>
      <c r="T44" s="48">
        <v>10</v>
      </c>
    </row>
    <row r="45" spans="1:20" x14ac:dyDescent="0.35">
      <c r="C45" s="40">
        <f>SUM(C4^2)</f>
        <v>24648277805.290005</v>
      </c>
    </row>
    <row r="46" spans="1:20" x14ac:dyDescent="0.35">
      <c r="C46" s="40">
        <f>SUM(C11^2)</f>
        <v>5188609024</v>
      </c>
      <c r="I46" s="10">
        <v>5</v>
      </c>
      <c r="J46" s="10" t="s">
        <v>85</v>
      </c>
      <c r="K46" s="53" t="s">
        <v>75</v>
      </c>
    </row>
    <row r="47" spans="1:20" x14ac:dyDescent="0.35">
      <c r="C47" s="40">
        <f>SUM(C28^2)</f>
        <v>84942805221.260101</v>
      </c>
      <c r="K47" s="50" t="s">
        <v>76</v>
      </c>
      <c r="L47" s="44">
        <f>(C2+C3+C4+C11+C17+C18+C28+C29+C30+C31)/10</f>
        <v>142599.86000000002</v>
      </c>
      <c r="M47" s="44">
        <f>(D2+D3+D4+D11+D17+D18+D28+D29+D30+D31)/10</f>
        <v>795.1</v>
      </c>
      <c r="N47" s="44">
        <f>(E2+E3+E4+E11+E17+E18+E28+E29+E30+E31)/10</f>
        <v>64550.44513270013</v>
      </c>
    </row>
    <row r="48" spans="1:20" x14ac:dyDescent="0.35">
      <c r="C48" s="40">
        <f>SUM(C29^2)</f>
        <v>62587445565.528862</v>
      </c>
      <c r="K48" s="51" t="s">
        <v>77</v>
      </c>
      <c r="L48" s="54">
        <f>(C5+C6+C7+C9+C14+C15+C16+C19+C22+C23+C24+C25+C26)/13</f>
        <v>5954.6653846153849</v>
      </c>
      <c r="M48" s="54">
        <f t="shared" ref="M48:N48" si="7">(D5+D6+D7+D9+D14+D15+D16+D19+D22+D23+D24+D25+D26)/13</f>
        <v>565.23076923076928</v>
      </c>
      <c r="N48" s="54">
        <f t="shared" si="7"/>
        <v>1810.0468226370162</v>
      </c>
    </row>
    <row r="49" spans="1:20" x14ac:dyDescent="0.35">
      <c r="C49" s="40">
        <f>SUM(C30^2)</f>
        <v>28355528881</v>
      </c>
      <c r="K49" s="52" t="s">
        <v>78</v>
      </c>
      <c r="L49" s="44">
        <f>(C8+C10+C13+C20+C21+C27+C32+C33+C34+C35)/10</f>
        <v>22402.782458357597</v>
      </c>
      <c r="M49" s="44">
        <f t="shared" ref="M49:N49" si="8">(D8+D10+D13+D20+D21+D27+D32+D33+D34+D35)/10</f>
        <v>633.29999999999995</v>
      </c>
      <c r="N49" s="44">
        <f t="shared" si="8"/>
        <v>5937.8619859449809</v>
      </c>
    </row>
    <row r="50" spans="1:20" x14ac:dyDescent="0.35">
      <c r="C50" s="40">
        <f>SUM(C31^2)</f>
        <v>64571043375.388893</v>
      </c>
    </row>
    <row r="51" spans="1:20" x14ac:dyDescent="0.35">
      <c r="B51" t="s">
        <v>94</v>
      </c>
      <c r="C51" s="40">
        <f>SUM(C43:C49)</f>
        <v>220363879516.08258</v>
      </c>
    </row>
    <row r="52" spans="1:20" x14ac:dyDescent="0.35">
      <c r="E52" s="40"/>
    </row>
    <row r="54" spans="1:20" x14ac:dyDescent="0.35">
      <c r="D54" s="40">
        <f>(M11-L5)^2</f>
        <v>4175494284.3179932</v>
      </c>
    </row>
    <row r="57" spans="1:20" x14ac:dyDescent="0.35">
      <c r="I57" s="10" t="s">
        <v>90</v>
      </c>
      <c r="J57" s="43" t="s">
        <v>76</v>
      </c>
      <c r="K57" s="43" t="s">
        <v>77</v>
      </c>
      <c r="L57" s="43" t="s">
        <v>78</v>
      </c>
      <c r="M57" s="43" t="s">
        <v>81</v>
      </c>
      <c r="N57" s="43" t="s">
        <v>80</v>
      </c>
      <c r="P57" s="4">
        <v>4</v>
      </c>
      <c r="Q57" s="43" t="s">
        <v>82</v>
      </c>
      <c r="R57" s="43" t="s">
        <v>76</v>
      </c>
      <c r="S57" s="43" t="s">
        <v>77</v>
      </c>
      <c r="T57" s="43" t="s">
        <v>78</v>
      </c>
    </row>
    <row r="58" spans="1:20" x14ac:dyDescent="0.35">
      <c r="J58" s="42">
        <f>SQRT((C2-$L$47)^2+(D2-$M$47)^2+(E2-$N$47)^2)</f>
        <v>54879.240221270789</v>
      </c>
      <c r="K58" s="42">
        <f>SQRT((C2-$L$48)^2+(D2-$M$48)^2+(E2-$N$48)^2)</f>
        <v>99218.579929835658</v>
      </c>
      <c r="L58" s="42">
        <f>SQRT((C2-$L$49)^2+(D2-$M$49)^2+(E2-$N$49)^2)</f>
        <v>82265.043465178838</v>
      </c>
      <c r="M58" s="44">
        <f>MIN(J58:L58)</f>
        <v>54879.240221270789</v>
      </c>
      <c r="N58" s="37" t="s">
        <v>86</v>
      </c>
      <c r="Q58" s="32">
        <v>1</v>
      </c>
      <c r="R58" s="47">
        <v>1</v>
      </c>
      <c r="S58" s="47"/>
      <c r="T58" s="47"/>
    </row>
    <row r="59" spans="1:20" x14ac:dyDescent="0.35">
      <c r="A59" t="s">
        <v>87</v>
      </c>
      <c r="J59" s="42">
        <f t="shared" ref="J59:J91" si="9">SQRT((C3-$L$47)^2+(D3-$M$47)^2+(E3-$N$47)^2)</f>
        <v>89237.706736146531</v>
      </c>
      <c r="K59" s="42">
        <f t="shared" ref="K59:K91" si="10">SQRT((C3-$L$48)^2+(D3-$M$48)^2+(E3-$N$48)^2)</f>
        <v>62216.918674371678</v>
      </c>
      <c r="L59" s="42">
        <f t="shared" ref="L59:L91" si="11">SQRT((C3-$L$49)^2+(D3-$M$49)^2+(E3-$N$49)^2)</f>
        <v>45277.658569797815</v>
      </c>
      <c r="M59" s="44">
        <f t="shared" ref="M59:M91" si="12">MIN(J59:L59)</f>
        <v>45277.658569797815</v>
      </c>
      <c r="N59" s="39" t="s">
        <v>88</v>
      </c>
      <c r="Q59" s="32">
        <v>2</v>
      </c>
      <c r="R59" s="47"/>
      <c r="S59" s="47"/>
      <c r="T59" s="47">
        <v>3</v>
      </c>
    </row>
    <row r="60" spans="1:20" x14ac:dyDescent="0.35">
      <c r="J60" s="42">
        <f t="shared" si="9"/>
        <v>16410.976390956326</v>
      </c>
      <c r="K60" s="42">
        <f t="shared" si="10"/>
        <v>160699.18891486031</v>
      </c>
      <c r="L60" s="42">
        <f t="shared" si="11"/>
        <v>143840.49166257121</v>
      </c>
      <c r="M60" s="44">
        <f t="shared" si="12"/>
        <v>16410.976390956326</v>
      </c>
      <c r="N60" s="37" t="s">
        <v>86</v>
      </c>
      <c r="Q60" s="32">
        <v>3</v>
      </c>
      <c r="R60" s="47">
        <v>1</v>
      </c>
      <c r="S60" s="47"/>
      <c r="T60" s="47"/>
    </row>
    <row r="61" spans="1:20" x14ac:dyDescent="0.35">
      <c r="J61" s="42">
        <f t="shared" si="9"/>
        <v>148792.60784780455</v>
      </c>
      <c r="K61" s="42">
        <f t="shared" si="10"/>
        <v>1663.2020323324741</v>
      </c>
      <c r="L61" s="42">
        <f t="shared" si="11"/>
        <v>15536.000438955769</v>
      </c>
      <c r="M61" s="44">
        <f t="shared" si="12"/>
        <v>1663.2020323324741</v>
      </c>
      <c r="N61" s="38" t="s">
        <v>86</v>
      </c>
      <c r="Q61" s="32">
        <v>4</v>
      </c>
      <c r="R61" s="47"/>
      <c r="S61" s="47">
        <v>2</v>
      </c>
      <c r="T61" s="47"/>
    </row>
    <row r="62" spans="1:20" x14ac:dyDescent="0.35">
      <c r="J62" s="42">
        <f t="shared" si="9"/>
        <v>156525.30253088733</v>
      </c>
      <c r="K62" s="42">
        <f t="shared" si="10"/>
        <v>6223.0211201360989</v>
      </c>
      <c r="L62" s="42">
        <f t="shared" si="11"/>
        <v>23173.262545919886</v>
      </c>
      <c r="M62" s="44">
        <f t="shared" si="12"/>
        <v>6223.0211201360989</v>
      </c>
      <c r="N62" s="38" t="s">
        <v>86</v>
      </c>
      <c r="Q62" s="32">
        <v>5</v>
      </c>
      <c r="R62" s="47"/>
      <c r="S62" s="47">
        <v>2</v>
      </c>
      <c r="T62" s="47"/>
    </row>
    <row r="63" spans="1:20" x14ac:dyDescent="0.35">
      <c r="J63" s="42">
        <f t="shared" si="9"/>
        <v>154307.50845400468</v>
      </c>
      <c r="K63" s="42">
        <f t="shared" si="10"/>
        <v>3962.4768783718937</v>
      </c>
      <c r="L63" s="42">
        <f t="shared" si="11"/>
        <v>20906.228104156802</v>
      </c>
      <c r="M63" s="44">
        <f t="shared" si="12"/>
        <v>3962.4768783718937</v>
      </c>
      <c r="N63" s="38" t="s">
        <v>86</v>
      </c>
      <c r="Q63" s="32">
        <v>6</v>
      </c>
      <c r="R63" s="47"/>
      <c r="S63" s="47">
        <v>2</v>
      </c>
      <c r="T63" s="47"/>
    </row>
    <row r="64" spans="1:20" x14ac:dyDescent="0.35">
      <c r="J64" s="42">
        <f t="shared" si="9"/>
        <v>145726.632474994</v>
      </c>
      <c r="K64" s="42">
        <f t="shared" si="10"/>
        <v>4691.7783251491901</v>
      </c>
      <c r="L64" s="42">
        <f t="shared" si="11"/>
        <v>12277.278775503268</v>
      </c>
      <c r="M64" s="44">
        <f t="shared" si="12"/>
        <v>4691.7783251491901</v>
      </c>
      <c r="N64" s="38" t="s">
        <v>88</v>
      </c>
      <c r="Q64" s="32">
        <v>7</v>
      </c>
      <c r="R64" s="47"/>
      <c r="S64" s="47">
        <v>2</v>
      </c>
      <c r="T64" s="47"/>
    </row>
    <row r="65" spans="10:20" x14ac:dyDescent="0.35">
      <c r="J65" s="42">
        <f t="shared" si="9"/>
        <v>155835.10324900597</v>
      </c>
      <c r="K65" s="42">
        <f t="shared" si="10"/>
        <v>5512.0862078892178</v>
      </c>
      <c r="L65" s="42">
        <f t="shared" si="11"/>
        <v>22460.916285108335</v>
      </c>
      <c r="M65" s="44">
        <f t="shared" si="12"/>
        <v>5512.0862078892178</v>
      </c>
      <c r="N65" s="38" t="s">
        <v>86</v>
      </c>
      <c r="Q65" s="32">
        <v>8</v>
      </c>
      <c r="R65" s="47"/>
      <c r="S65" s="47">
        <v>2</v>
      </c>
      <c r="T65" s="47"/>
    </row>
    <row r="66" spans="10:20" x14ac:dyDescent="0.35">
      <c r="J66" s="42">
        <f t="shared" si="9"/>
        <v>142405.6559278176</v>
      </c>
      <c r="K66" s="42">
        <f t="shared" si="10"/>
        <v>7977.6966413477257</v>
      </c>
      <c r="L66" s="42">
        <f t="shared" si="11"/>
        <v>9079.0871171492818</v>
      </c>
      <c r="M66" s="44">
        <f t="shared" si="12"/>
        <v>7977.6966413477257</v>
      </c>
      <c r="N66" s="38" t="s">
        <v>88</v>
      </c>
      <c r="Q66" s="32">
        <v>9</v>
      </c>
      <c r="R66" s="47"/>
      <c r="S66" s="47">
        <v>2</v>
      </c>
      <c r="T66" s="47"/>
    </row>
    <row r="67" spans="10:20" x14ac:dyDescent="0.35">
      <c r="J67" s="42">
        <f t="shared" si="9"/>
        <v>76625.711442475833</v>
      </c>
      <c r="K67" s="42">
        <f t="shared" si="10"/>
        <v>73806.011925940053</v>
      </c>
      <c r="L67" s="42">
        <f t="shared" si="11"/>
        <v>57356.284415026072</v>
      </c>
      <c r="M67" s="44">
        <f t="shared" si="12"/>
        <v>57356.284415026072</v>
      </c>
      <c r="N67" s="39" t="s">
        <v>88</v>
      </c>
      <c r="Q67" s="32">
        <v>10</v>
      </c>
      <c r="R67" s="47"/>
      <c r="S67" s="47"/>
      <c r="T67" s="47">
        <v>3</v>
      </c>
    </row>
    <row r="68" spans="10:20" x14ac:dyDescent="0.35">
      <c r="J68" s="42" t="e">
        <f t="shared" si="9"/>
        <v>#VALUE!</v>
      </c>
      <c r="K68" s="42" t="e">
        <f t="shared" si="10"/>
        <v>#VALUE!</v>
      </c>
      <c r="L68" s="42" t="e">
        <f t="shared" si="11"/>
        <v>#VALUE!</v>
      </c>
      <c r="M68" s="44" t="e">
        <f t="shared" si="12"/>
        <v>#VALUE!</v>
      </c>
      <c r="N68" s="10"/>
      <c r="Q68" s="32">
        <v>11</v>
      </c>
      <c r="R68" s="47" t="s">
        <v>13</v>
      </c>
      <c r="S68" s="47" t="s">
        <v>13</v>
      </c>
      <c r="T68" s="47" t="s">
        <v>13</v>
      </c>
    </row>
    <row r="69" spans="10:20" x14ac:dyDescent="0.35">
      <c r="J69" s="42">
        <f t="shared" si="9"/>
        <v>146807.70128274517</v>
      </c>
      <c r="K69" s="42">
        <f t="shared" si="10"/>
        <v>3659.2258988308322</v>
      </c>
      <c r="L69" s="42">
        <f t="shared" si="11"/>
        <v>13306.542542155497</v>
      </c>
      <c r="M69" s="44">
        <f t="shared" si="12"/>
        <v>3659.2258988308322</v>
      </c>
      <c r="N69" s="38" t="s">
        <v>86</v>
      </c>
      <c r="Q69" s="32">
        <v>12</v>
      </c>
      <c r="R69" s="47"/>
      <c r="S69" s="47">
        <v>2</v>
      </c>
      <c r="T69" s="47"/>
    </row>
    <row r="70" spans="10:20" x14ac:dyDescent="0.35">
      <c r="J70" s="42">
        <f t="shared" si="9"/>
        <v>148629.23941142773</v>
      </c>
      <c r="K70" s="42">
        <f t="shared" si="10"/>
        <v>1742.0371905817631</v>
      </c>
      <c r="L70" s="42">
        <f t="shared" si="11"/>
        <v>15233.768656968912</v>
      </c>
      <c r="M70" s="44">
        <f t="shared" si="12"/>
        <v>1742.0371905817631</v>
      </c>
      <c r="N70" s="38" t="s">
        <v>86</v>
      </c>
      <c r="Q70" s="32">
        <v>13</v>
      </c>
      <c r="R70" s="47"/>
      <c r="S70" s="47">
        <v>2</v>
      </c>
      <c r="T70" s="47"/>
    </row>
    <row r="71" spans="10:20" x14ac:dyDescent="0.35">
      <c r="J71" s="42">
        <f t="shared" si="9"/>
        <v>148843.7476520834</v>
      </c>
      <c r="K71" s="42">
        <f t="shared" si="10"/>
        <v>1622.2251462031695</v>
      </c>
      <c r="L71" s="42">
        <f t="shared" si="11"/>
        <v>15363.86861492272</v>
      </c>
      <c r="M71" s="44">
        <f t="shared" si="12"/>
        <v>1622.2251462031695</v>
      </c>
      <c r="N71" s="38" t="s">
        <v>86</v>
      </c>
      <c r="Q71" s="32">
        <v>14</v>
      </c>
      <c r="R71" s="47"/>
      <c r="S71" s="47">
        <v>2</v>
      </c>
      <c r="T71" s="47"/>
    </row>
    <row r="72" spans="10:20" x14ac:dyDescent="0.35">
      <c r="J72" s="42">
        <f t="shared" si="9"/>
        <v>151470.8818591079</v>
      </c>
      <c r="K72" s="42">
        <f t="shared" si="10"/>
        <v>1171.170861302156</v>
      </c>
      <c r="L72" s="42">
        <f t="shared" si="11"/>
        <v>17996.044249071201</v>
      </c>
      <c r="M72" s="44">
        <f t="shared" si="12"/>
        <v>1171.170861302156</v>
      </c>
      <c r="N72" s="38" t="s">
        <v>88</v>
      </c>
      <c r="Q72" s="32">
        <v>15</v>
      </c>
      <c r="R72" s="47"/>
      <c r="S72" s="47">
        <v>2</v>
      </c>
      <c r="T72" s="47"/>
    </row>
    <row r="73" spans="10:20" x14ac:dyDescent="0.35">
      <c r="J73" s="42">
        <f t="shared" si="9"/>
        <v>99759.081982658085</v>
      </c>
      <c r="K73" s="42">
        <f t="shared" si="10"/>
        <v>50669.826825070981</v>
      </c>
      <c r="L73" s="42">
        <f t="shared" si="11"/>
        <v>34357.131515856097</v>
      </c>
      <c r="M73" s="44">
        <f t="shared" si="12"/>
        <v>34357.131515856097</v>
      </c>
      <c r="N73" s="39" t="s">
        <v>88</v>
      </c>
      <c r="Q73" s="32">
        <v>16</v>
      </c>
      <c r="R73" s="47"/>
      <c r="S73" s="47"/>
      <c r="T73" s="47">
        <v>3</v>
      </c>
    </row>
    <row r="74" spans="10:20" x14ac:dyDescent="0.35">
      <c r="J74" s="42">
        <f t="shared" si="9"/>
        <v>141295.995015414</v>
      </c>
      <c r="K74" s="42">
        <f t="shared" si="10"/>
        <v>9093.2597668060826</v>
      </c>
      <c r="L74" s="42">
        <f t="shared" si="11"/>
        <v>7978.4776845723518</v>
      </c>
      <c r="M74" s="44">
        <f t="shared" si="12"/>
        <v>7978.4776845723518</v>
      </c>
      <c r="N74" s="38" t="s">
        <v>88</v>
      </c>
      <c r="Q74" s="32">
        <v>17</v>
      </c>
      <c r="R74" s="47"/>
      <c r="S74" s="47">
        <v>2</v>
      </c>
      <c r="T74" s="47"/>
    </row>
    <row r="75" spans="10:20" x14ac:dyDescent="0.35">
      <c r="J75" s="42">
        <f t="shared" si="9"/>
        <v>148705.15025587767</v>
      </c>
      <c r="K75" s="42">
        <f t="shared" si="10"/>
        <v>2092.8496152736561</v>
      </c>
      <c r="L75" s="42">
        <f t="shared" si="11"/>
        <v>15123.231750130824</v>
      </c>
      <c r="M75" s="44">
        <f t="shared" si="12"/>
        <v>2092.8496152736561</v>
      </c>
      <c r="N75" s="38" t="s">
        <v>86</v>
      </c>
      <c r="Q75" s="32">
        <v>18</v>
      </c>
      <c r="R75" s="47"/>
      <c r="S75" s="47">
        <v>2</v>
      </c>
      <c r="T75" s="47"/>
    </row>
    <row r="76" spans="10:20" x14ac:dyDescent="0.35">
      <c r="J76" s="42">
        <f t="shared" si="9"/>
        <v>104499.50669507953</v>
      </c>
      <c r="K76" s="42">
        <f t="shared" si="10"/>
        <v>47579.699358126592</v>
      </c>
      <c r="L76" s="42">
        <f t="shared" si="11"/>
        <v>30641.653114578214</v>
      </c>
      <c r="M76" s="44">
        <f t="shared" si="12"/>
        <v>30641.653114578214</v>
      </c>
      <c r="N76" s="39" t="s">
        <v>86</v>
      </c>
      <c r="Q76" s="32">
        <v>19</v>
      </c>
      <c r="R76" s="47"/>
      <c r="S76" s="47"/>
      <c r="T76" s="47">
        <v>3</v>
      </c>
    </row>
    <row r="77" spans="10:20" x14ac:dyDescent="0.35">
      <c r="J77" s="42">
        <f t="shared" si="9"/>
        <v>145275.34485497535</v>
      </c>
      <c r="K77" s="42">
        <f t="shared" si="10"/>
        <v>5525.869877606232</v>
      </c>
      <c r="L77" s="42">
        <f t="shared" si="11"/>
        <v>11611.626511331087</v>
      </c>
      <c r="M77" s="44">
        <f t="shared" si="12"/>
        <v>5525.869877606232</v>
      </c>
      <c r="N77" s="38" t="s">
        <v>88</v>
      </c>
      <c r="Q77" s="32">
        <v>20</v>
      </c>
      <c r="R77" s="47"/>
      <c r="S77" s="47">
        <v>2</v>
      </c>
      <c r="T77" s="47"/>
    </row>
    <row r="78" spans="10:20" x14ac:dyDescent="0.35">
      <c r="J78" s="42">
        <f t="shared" si="9"/>
        <v>155563.31348362388</v>
      </c>
      <c r="K78" s="42">
        <f t="shared" si="10"/>
        <v>5233.4884835817902</v>
      </c>
      <c r="L78" s="42">
        <f t="shared" si="11"/>
        <v>22180.760286315079</v>
      </c>
      <c r="M78" s="44">
        <f t="shared" si="12"/>
        <v>5233.4884835817902</v>
      </c>
      <c r="N78" s="38" t="s">
        <v>86</v>
      </c>
      <c r="Q78" s="32">
        <v>21</v>
      </c>
      <c r="R78" s="47"/>
      <c r="S78" s="47">
        <v>2</v>
      </c>
      <c r="T78" s="47"/>
    </row>
    <row r="79" spans="10:20" x14ac:dyDescent="0.35">
      <c r="J79" s="42">
        <f t="shared" si="9"/>
        <v>155870.27356166713</v>
      </c>
      <c r="K79" s="42">
        <f t="shared" si="10"/>
        <v>5548.0552996843689</v>
      </c>
      <c r="L79" s="42">
        <f t="shared" si="11"/>
        <v>22490.598029842364</v>
      </c>
      <c r="M79" s="44">
        <f t="shared" si="12"/>
        <v>5548.0552996843689</v>
      </c>
      <c r="N79" s="38" t="s">
        <v>86</v>
      </c>
      <c r="Q79" s="32">
        <v>22</v>
      </c>
      <c r="R79" s="47"/>
      <c r="S79" s="47">
        <v>2</v>
      </c>
      <c r="T79" s="47"/>
    </row>
    <row r="80" spans="10:20" x14ac:dyDescent="0.35">
      <c r="J80" s="42">
        <f t="shared" si="9"/>
        <v>146607.31306289189</v>
      </c>
      <c r="K80" s="42">
        <f t="shared" si="10"/>
        <v>3773.0121561002434</v>
      </c>
      <c r="L80" s="42">
        <f t="shared" si="11"/>
        <v>13207.746498909119</v>
      </c>
      <c r="M80" s="44">
        <f t="shared" si="12"/>
        <v>3773.0121561002434</v>
      </c>
      <c r="N80" s="38" t="s">
        <v>86</v>
      </c>
      <c r="Q80" s="32">
        <v>23</v>
      </c>
      <c r="R80" s="47"/>
      <c r="S80" s="47">
        <v>2</v>
      </c>
      <c r="T80" s="47"/>
    </row>
    <row r="81" spans="7:20" x14ac:dyDescent="0.35">
      <c r="I81" s="41"/>
      <c r="J81" s="42">
        <f t="shared" si="9"/>
        <v>145210.04914979692</v>
      </c>
      <c r="K81" s="42">
        <f t="shared" si="10"/>
        <v>5399.5981264280927</v>
      </c>
      <c r="L81" s="42">
        <f t="shared" si="11"/>
        <v>12426.055794891188</v>
      </c>
      <c r="M81" s="44">
        <f t="shared" si="12"/>
        <v>5399.5981264280927</v>
      </c>
      <c r="N81" s="38" t="s">
        <v>86</v>
      </c>
      <c r="Q81" s="32">
        <v>24</v>
      </c>
      <c r="R81" s="47"/>
      <c r="S81" s="47">
        <v>2</v>
      </c>
      <c r="T81" s="47"/>
    </row>
    <row r="82" spans="7:20" x14ac:dyDescent="0.35">
      <c r="J82" s="42">
        <f t="shared" si="9"/>
        <v>138373.72639862931</v>
      </c>
      <c r="K82" s="42">
        <f t="shared" si="10"/>
        <v>12259.077001745511</v>
      </c>
      <c r="L82" s="42">
        <f t="shared" si="11"/>
        <v>4706.6638126086891</v>
      </c>
      <c r="M82" s="44">
        <f t="shared" si="12"/>
        <v>4706.6638126086891</v>
      </c>
      <c r="N82" s="39" t="s">
        <v>88</v>
      </c>
      <c r="Q82" s="32">
        <v>25</v>
      </c>
      <c r="R82" s="47"/>
      <c r="S82" s="47"/>
      <c r="T82" s="47">
        <v>3</v>
      </c>
    </row>
    <row r="83" spans="7:20" x14ac:dyDescent="0.35">
      <c r="J83" s="42">
        <f t="shared" si="9"/>
        <v>142418.20692826834</v>
      </c>
      <c r="K83" s="42">
        <f t="shared" si="10"/>
        <v>8342.2114089114857</v>
      </c>
      <c r="L83" s="42">
        <f t="shared" si="11"/>
        <v>8733.1036447265451</v>
      </c>
      <c r="M83" s="44">
        <f t="shared" si="12"/>
        <v>8342.2114089114857</v>
      </c>
      <c r="N83" s="39" t="s">
        <v>86</v>
      </c>
      <c r="Q83" s="32">
        <v>26</v>
      </c>
      <c r="R83" s="47"/>
      <c r="S83" s="47"/>
      <c r="T83" s="47">
        <v>3</v>
      </c>
    </row>
    <row r="84" spans="7:20" x14ac:dyDescent="0.35">
      <c r="J84" s="42">
        <f t="shared" si="9"/>
        <v>177621.58801999094</v>
      </c>
      <c r="K84" s="42">
        <f t="shared" si="10"/>
        <v>327106.08220717817</v>
      </c>
      <c r="L84" s="42">
        <f t="shared" si="11"/>
        <v>310767.01341439283</v>
      </c>
      <c r="M84" s="44">
        <f t="shared" si="12"/>
        <v>177621.58801999094</v>
      </c>
      <c r="N84" s="37" t="s">
        <v>86</v>
      </c>
      <c r="Q84" s="32">
        <v>27</v>
      </c>
      <c r="R84" s="47">
        <v>1</v>
      </c>
      <c r="S84" s="47"/>
      <c r="T84" s="47"/>
    </row>
    <row r="85" spans="7:20" x14ac:dyDescent="0.35">
      <c r="J85" s="42">
        <f t="shared" si="9"/>
        <v>120268.47958516006</v>
      </c>
      <c r="K85" s="42">
        <f t="shared" si="10"/>
        <v>270592.33417446003</v>
      </c>
      <c r="L85" s="42">
        <f t="shared" si="11"/>
        <v>253991.93295279387</v>
      </c>
      <c r="M85" s="44">
        <f t="shared" si="12"/>
        <v>120268.47958516006</v>
      </c>
      <c r="N85" s="37" t="s">
        <v>86</v>
      </c>
      <c r="Q85" s="32">
        <v>28</v>
      </c>
      <c r="R85" s="47">
        <v>1</v>
      </c>
      <c r="S85" s="47"/>
      <c r="T85" s="47"/>
    </row>
    <row r="86" spans="7:20" x14ac:dyDescent="0.35">
      <c r="J86" s="42">
        <f t="shared" si="9"/>
        <v>26855.919695787357</v>
      </c>
      <c r="K86" s="42">
        <f t="shared" si="10"/>
        <v>176967.57662784969</v>
      </c>
      <c r="L86" s="42">
        <f t="shared" si="11"/>
        <v>160255.27570481811</v>
      </c>
      <c r="M86" s="44">
        <f t="shared" si="12"/>
        <v>26855.919695787357</v>
      </c>
      <c r="N86" s="37" t="s">
        <v>86</v>
      </c>
      <c r="Q86" s="32">
        <v>29</v>
      </c>
      <c r="R86" s="47">
        <v>1</v>
      </c>
      <c r="S86" s="47"/>
      <c r="T86" s="47"/>
    </row>
    <row r="87" spans="7:20" x14ac:dyDescent="0.35">
      <c r="J87" s="42">
        <f t="shared" si="9"/>
        <v>126877.0803267084</v>
      </c>
      <c r="K87" s="42">
        <f t="shared" si="10"/>
        <v>277083.82702566241</v>
      </c>
      <c r="L87" s="42">
        <f t="shared" si="11"/>
        <v>260541.76625360706</v>
      </c>
      <c r="M87" s="44">
        <f t="shared" si="12"/>
        <v>126877.0803267084</v>
      </c>
      <c r="N87" s="37" t="s">
        <v>86</v>
      </c>
      <c r="Q87" s="32">
        <v>30</v>
      </c>
      <c r="R87" s="47">
        <v>1</v>
      </c>
      <c r="S87" s="47"/>
      <c r="T87" s="47"/>
    </row>
    <row r="88" spans="7:20" x14ac:dyDescent="0.35">
      <c r="J88" s="42">
        <f t="shared" si="9"/>
        <v>125136.86220419627</v>
      </c>
      <c r="K88" s="42">
        <f t="shared" si="10"/>
        <v>25428.430639083988</v>
      </c>
      <c r="L88" s="42">
        <f t="shared" si="11"/>
        <v>8589.9114728230634</v>
      </c>
      <c r="M88" s="44">
        <f t="shared" si="12"/>
        <v>8589.9114728230634</v>
      </c>
      <c r="N88" s="39" t="s">
        <v>86</v>
      </c>
      <c r="Q88" s="32">
        <v>31</v>
      </c>
      <c r="R88" s="47"/>
      <c r="S88" s="47"/>
      <c r="T88" s="47">
        <v>3</v>
      </c>
    </row>
    <row r="89" spans="7:20" x14ac:dyDescent="0.35">
      <c r="J89" s="42">
        <f t="shared" si="9"/>
        <v>122255.87752791306</v>
      </c>
      <c r="K89" s="42">
        <f t="shared" si="10"/>
        <v>28371.500010660577</v>
      </c>
      <c r="L89" s="42">
        <f t="shared" si="11"/>
        <v>11491.132977873935</v>
      </c>
      <c r="M89" s="44">
        <f t="shared" si="12"/>
        <v>11491.132977873935</v>
      </c>
      <c r="N89" s="39" t="s">
        <v>86</v>
      </c>
      <c r="Q89" s="32">
        <v>32</v>
      </c>
      <c r="R89" s="47"/>
      <c r="S89" s="47"/>
      <c r="T89" s="47">
        <v>3</v>
      </c>
    </row>
    <row r="90" spans="7:20" x14ac:dyDescent="0.35">
      <c r="J90" s="42">
        <f t="shared" si="9"/>
        <v>117944.90873318692</v>
      </c>
      <c r="K90" s="42">
        <f t="shared" si="10"/>
        <v>33404.585167018187</v>
      </c>
      <c r="L90" s="42">
        <f t="shared" si="11"/>
        <v>16463.430984988092</v>
      </c>
      <c r="M90" s="44">
        <f t="shared" si="12"/>
        <v>16463.430984988092</v>
      </c>
      <c r="N90" s="39" t="s">
        <v>86</v>
      </c>
      <c r="Q90" s="32">
        <v>33</v>
      </c>
      <c r="R90" s="47"/>
      <c r="S90" s="47"/>
      <c r="T90" s="47">
        <v>3</v>
      </c>
    </row>
    <row r="91" spans="7:20" x14ac:dyDescent="0.35">
      <c r="J91" s="42">
        <f t="shared" si="9"/>
        <v>145310.92481673037</v>
      </c>
      <c r="K91" s="42">
        <f t="shared" si="10"/>
        <v>5057.8546248526809</v>
      </c>
      <c r="L91" s="42">
        <f t="shared" si="11"/>
        <v>11960.187847182826</v>
      </c>
      <c r="M91" s="44">
        <f t="shared" si="12"/>
        <v>5057.8546248526809</v>
      </c>
      <c r="N91" s="38" t="s">
        <v>88</v>
      </c>
      <c r="Q91" s="32">
        <v>34</v>
      </c>
      <c r="R91" s="47"/>
      <c r="S91" s="47">
        <v>2</v>
      </c>
      <c r="T91" s="47"/>
    </row>
    <row r="92" spans="7:20" x14ac:dyDescent="0.35">
      <c r="Q92" s="28" t="s">
        <v>83</v>
      </c>
      <c r="R92" s="28">
        <v>6</v>
      </c>
      <c r="S92" s="28">
        <v>18</v>
      </c>
      <c r="T92" s="48">
        <v>9</v>
      </c>
    </row>
    <row r="94" spans="7:20" x14ac:dyDescent="0.35">
      <c r="G94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1AAC-6F2B-4332-9CF1-2F98143287F3}">
  <dimension ref="A1:CD36"/>
  <sheetViews>
    <sheetView zoomScale="59" workbookViewId="0">
      <selection activeCell="BB16" sqref="BB16"/>
    </sheetView>
  </sheetViews>
  <sheetFormatPr defaultRowHeight="14.5" x14ac:dyDescent="0.35"/>
  <cols>
    <col min="2" max="2" width="14.453125" customWidth="1"/>
    <col min="3" max="3" width="19.26953125" customWidth="1"/>
    <col min="4" max="4" width="16" customWidth="1"/>
    <col min="5" max="5" width="14.54296875" customWidth="1"/>
    <col min="6" max="6" width="18.7265625" customWidth="1"/>
    <col min="7" max="7" width="34" customWidth="1"/>
    <col min="8" max="8" width="33.81640625" customWidth="1"/>
    <col min="9" max="9" width="31" customWidth="1"/>
    <col min="10" max="10" width="25.453125" customWidth="1"/>
    <col min="11" max="11" width="27.1796875" customWidth="1"/>
    <col min="12" max="12" width="23" customWidth="1"/>
    <col min="13" max="13" width="22.26953125" customWidth="1"/>
    <col min="14" max="14" width="16.54296875" customWidth="1"/>
    <col min="15" max="15" width="19.81640625" customWidth="1"/>
    <col min="16" max="16" width="23.453125" customWidth="1"/>
    <col min="17" max="17" width="29.54296875" customWidth="1"/>
    <col min="18" max="18" width="35.26953125" customWidth="1"/>
    <col min="19" max="19" width="32.453125" customWidth="1"/>
    <col min="20" max="20" width="35.1796875" customWidth="1"/>
    <col min="21" max="21" width="26.26953125" customWidth="1"/>
    <col min="22" max="22" width="24" customWidth="1"/>
    <col min="23" max="23" width="11.54296875" customWidth="1"/>
    <col min="25" max="25" width="15.54296875" customWidth="1"/>
    <col min="26" max="26" width="10.7265625" customWidth="1"/>
    <col min="27" max="27" width="14.1796875" customWidth="1"/>
    <col min="30" max="30" width="11.453125" customWidth="1"/>
    <col min="31" max="31" width="14.54296875" customWidth="1"/>
    <col min="32" max="32" width="14.453125" customWidth="1"/>
    <col min="33" max="33" width="13.1796875" customWidth="1"/>
    <col min="35" max="35" width="13.81640625" customWidth="1"/>
    <col min="37" max="37" width="13" customWidth="1"/>
    <col min="39" max="39" width="13.81640625" customWidth="1"/>
    <col min="40" max="41" width="14.453125" customWidth="1"/>
    <col min="42" max="42" width="15" customWidth="1"/>
    <col min="43" max="43" width="17.1796875" customWidth="1"/>
    <col min="44" max="44" width="13.81640625" customWidth="1"/>
    <col min="45" max="45" width="12.1796875" customWidth="1"/>
    <col min="46" max="46" width="16.54296875" customWidth="1"/>
    <col min="47" max="47" width="16.1796875" customWidth="1"/>
    <col min="48" max="48" width="13.54296875" customWidth="1"/>
    <col min="49" max="49" width="12.1796875" customWidth="1"/>
    <col min="50" max="50" width="17.1796875" customWidth="1"/>
    <col min="51" max="51" width="14.453125" customWidth="1"/>
    <col min="52" max="52" width="15.453125" customWidth="1"/>
    <col min="53" max="53" width="16.81640625" customWidth="1"/>
    <col min="57" max="57" width="16.1796875" customWidth="1"/>
    <col min="60" max="60" width="14.453125" customWidth="1"/>
    <col min="61" max="61" width="16.54296875" customWidth="1"/>
    <col min="62" max="62" width="17.453125" customWidth="1"/>
    <col min="63" max="63" width="14.1796875" customWidth="1"/>
    <col min="65" max="65" width="19.453125" customWidth="1"/>
    <col min="66" max="66" width="19.54296875" customWidth="1"/>
    <col min="67" max="67" width="20.1796875" customWidth="1"/>
    <col min="70" max="70" width="15.7265625" customWidth="1"/>
    <col min="71" max="71" width="14.453125" customWidth="1"/>
    <col min="72" max="72" width="17.7265625" customWidth="1"/>
    <col min="73" max="73" width="19.1796875" customWidth="1"/>
    <col min="75" max="75" width="19.54296875" customWidth="1"/>
    <col min="76" max="76" width="20.1796875" customWidth="1"/>
  </cols>
  <sheetData>
    <row r="1" spans="1:82" ht="72.5" x14ac:dyDescent="0.35">
      <c r="A1" s="1" t="s">
        <v>0</v>
      </c>
      <c r="B1" s="2" t="s">
        <v>1</v>
      </c>
      <c r="C1" s="3" t="s">
        <v>37</v>
      </c>
      <c r="D1" s="3" t="s">
        <v>38</v>
      </c>
      <c r="E1" s="3" t="s">
        <v>39</v>
      </c>
      <c r="F1" s="18" t="s">
        <v>106</v>
      </c>
      <c r="G1" s="72" t="s">
        <v>107</v>
      </c>
      <c r="H1" s="72" t="s">
        <v>108</v>
      </c>
      <c r="I1" s="72" t="s">
        <v>109</v>
      </c>
      <c r="J1" s="72" t="s">
        <v>110</v>
      </c>
      <c r="K1" s="72" t="s">
        <v>111</v>
      </c>
      <c r="L1" s="72" t="s">
        <v>112</v>
      </c>
      <c r="M1" s="11" t="s">
        <v>40</v>
      </c>
      <c r="N1" s="11" t="s">
        <v>41</v>
      </c>
      <c r="O1" s="11" t="s">
        <v>42</v>
      </c>
      <c r="P1" s="18" t="s">
        <v>113</v>
      </c>
      <c r="Q1" s="72" t="s">
        <v>114</v>
      </c>
      <c r="R1" s="72" t="s">
        <v>115</v>
      </c>
      <c r="S1" s="72" t="s">
        <v>116</v>
      </c>
      <c r="T1" s="72" t="s">
        <v>117</v>
      </c>
      <c r="U1" s="72" t="s">
        <v>118</v>
      </c>
      <c r="V1" s="72" t="s">
        <v>119</v>
      </c>
      <c r="W1" s="15" t="s">
        <v>43</v>
      </c>
      <c r="X1" s="15" t="s">
        <v>44</v>
      </c>
      <c r="Y1" s="15" t="s">
        <v>45</v>
      </c>
      <c r="Z1" s="18" t="s">
        <v>120</v>
      </c>
      <c r="AA1" s="72" t="s">
        <v>121</v>
      </c>
      <c r="AB1" s="72" t="s">
        <v>122</v>
      </c>
      <c r="AC1" s="72" t="s">
        <v>123</v>
      </c>
      <c r="AD1" s="72" t="s">
        <v>124</v>
      </c>
      <c r="AE1" s="72" t="s">
        <v>125</v>
      </c>
      <c r="AF1" s="72" t="s">
        <v>126</v>
      </c>
      <c r="AG1" s="17" t="s">
        <v>46</v>
      </c>
      <c r="AH1" s="18" t="s">
        <v>47</v>
      </c>
      <c r="AI1" s="17" t="s">
        <v>48</v>
      </c>
      <c r="AJ1" s="18" t="s">
        <v>127</v>
      </c>
      <c r="AK1" s="72" t="s">
        <v>128</v>
      </c>
      <c r="AL1" s="72" t="s">
        <v>129</v>
      </c>
      <c r="AM1" s="72" t="s">
        <v>130</v>
      </c>
      <c r="AN1" s="72" t="s">
        <v>131</v>
      </c>
      <c r="AO1" s="72" t="s">
        <v>132</v>
      </c>
      <c r="AP1" s="72" t="s">
        <v>133</v>
      </c>
      <c r="AQ1" s="72" t="s">
        <v>49</v>
      </c>
      <c r="AR1" s="22" t="s">
        <v>50</v>
      </c>
      <c r="AS1" s="22" t="s">
        <v>51</v>
      </c>
      <c r="AT1" s="22" t="s">
        <v>134</v>
      </c>
      <c r="AU1" s="72" t="s">
        <v>135</v>
      </c>
      <c r="AV1" s="72" t="s">
        <v>136</v>
      </c>
      <c r="AW1" s="72" t="s">
        <v>137</v>
      </c>
      <c r="AX1" s="72" t="s">
        <v>138</v>
      </c>
      <c r="AY1" s="72" t="s">
        <v>139</v>
      </c>
      <c r="AZ1" s="72" t="s">
        <v>140</v>
      </c>
      <c r="BA1" s="23" t="s">
        <v>52</v>
      </c>
      <c r="BB1" s="23" t="s">
        <v>53</v>
      </c>
      <c r="BC1" s="23" t="s">
        <v>54</v>
      </c>
      <c r="BD1" s="22" t="s">
        <v>141</v>
      </c>
      <c r="BE1" s="72" t="s">
        <v>142</v>
      </c>
      <c r="BF1" s="72" t="s">
        <v>143</v>
      </c>
      <c r="BG1" s="72" t="s">
        <v>144</v>
      </c>
      <c r="BH1" s="72" t="s">
        <v>145</v>
      </c>
      <c r="BI1" s="72" t="s">
        <v>146</v>
      </c>
      <c r="BJ1" s="72" t="s">
        <v>147</v>
      </c>
      <c r="BK1" s="25" t="s">
        <v>55</v>
      </c>
      <c r="BL1" s="25" t="s">
        <v>56</v>
      </c>
      <c r="BM1" s="26" t="s">
        <v>57</v>
      </c>
      <c r="BN1" s="110" t="s">
        <v>148</v>
      </c>
      <c r="BO1" s="97" t="s">
        <v>149</v>
      </c>
      <c r="BP1" s="97" t="s">
        <v>150</v>
      </c>
      <c r="BQ1" s="97" t="s">
        <v>151</v>
      </c>
      <c r="BR1" s="72" t="s">
        <v>152</v>
      </c>
      <c r="BS1" s="72" t="s">
        <v>153</v>
      </c>
      <c r="BT1" s="72" t="s">
        <v>154</v>
      </c>
      <c r="BU1" s="27" t="s">
        <v>104</v>
      </c>
      <c r="BV1" s="27" t="s">
        <v>103</v>
      </c>
      <c r="BW1" s="27" t="s">
        <v>102</v>
      </c>
      <c r="BX1" s="101" t="s">
        <v>155</v>
      </c>
      <c r="BY1" s="97" t="s">
        <v>156</v>
      </c>
      <c r="BZ1" s="97" t="s">
        <v>157</v>
      </c>
      <c r="CA1" s="97" t="s">
        <v>158</v>
      </c>
      <c r="CB1" s="72" t="s">
        <v>159</v>
      </c>
      <c r="CC1" s="72" t="s">
        <v>160</v>
      </c>
      <c r="CD1" s="72" t="s">
        <v>161</v>
      </c>
    </row>
    <row r="2" spans="1:82" x14ac:dyDescent="0.35">
      <c r="A2" s="4">
        <v>1</v>
      </c>
      <c r="B2" s="5" t="s">
        <v>2</v>
      </c>
      <c r="C2" s="6">
        <v>101650.06</v>
      </c>
      <c r="D2" s="7">
        <v>683</v>
      </c>
      <c r="E2" s="8">
        <v>28015.087999999992</v>
      </c>
      <c r="F2" s="73">
        <v>128989</v>
      </c>
      <c r="G2" s="73">
        <v>101576</v>
      </c>
      <c r="H2" s="98"/>
      <c r="I2" s="98">
        <v>74</v>
      </c>
      <c r="J2" s="73">
        <v>32199</v>
      </c>
      <c r="K2" s="73">
        <v>41040</v>
      </c>
      <c r="L2" s="73">
        <v>28411</v>
      </c>
      <c r="M2" s="12">
        <v>102649</v>
      </c>
      <c r="N2" s="13">
        <v>763</v>
      </c>
      <c r="O2" s="14">
        <v>30661</v>
      </c>
      <c r="P2" s="73">
        <v>129727</v>
      </c>
      <c r="Q2" s="73">
        <v>102575</v>
      </c>
      <c r="R2" s="98"/>
      <c r="S2" s="98">
        <v>74</v>
      </c>
      <c r="T2" s="73">
        <v>32280</v>
      </c>
      <c r="U2" s="73">
        <v>40192</v>
      </c>
      <c r="V2" s="73">
        <v>30177</v>
      </c>
      <c r="W2" s="6">
        <v>103390</v>
      </c>
      <c r="X2" s="14">
        <v>763</v>
      </c>
      <c r="Y2" s="14">
        <v>31813</v>
      </c>
      <c r="Z2" s="73">
        <v>130226</v>
      </c>
      <c r="AA2" s="118">
        <v>103316</v>
      </c>
      <c r="AB2" s="98"/>
      <c r="AC2" s="98">
        <v>74</v>
      </c>
      <c r="AD2" s="73">
        <v>33282</v>
      </c>
      <c r="AE2" s="73">
        <v>41691</v>
      </c>
      <c r="AF2" s="73">
        <v>28417</v>
      </c>
      <c r="AG2" s="19">
        <v>101202.56</v>
      </c>
      <c r="AH2" s="20">
        <v>736.50765566417192</v>
      </c>
      <c r="AI2" s="14">
        <v>27129.000000000004</v>
      </c>
      <c r="AJ2" s="73">
        <v>129408</v>
      </c>
      <c r="AK2" s="19">
        <v>101202.56</v>
      </c>
      <c r="AL2" s="98"/>
      <c r="AM2" s="98"/>
      <c r="AN2" s="73">
        <v>32869</v>
      </c>
      <c r="AO2" s="73">
        <v>36835</v>
      </c>
      <c r="AP2" s="73">
        <v>31499</v>
      </c>
      <c r="AQ2" s="75">
        <v>99492.35</v>
      </c>
      <c r="AR2" s="76">
        <v>715.66141083372395</v>
      </c>
      <c r="AS2" s="76">
        <v>39295</v>
      </c>
      <c r="AT2" s="77">
        <v>127843</v>
      </c>
      <c r="AU2" s="111">
        <v>99492</v>
      </c>
      <c r="AV2" s="112"/>
      <c r="AW2" s="112"/>
      <c r="AX2" s="73">
        <v>30085</v>
      </c>
      <c r="AY2" s="73">
        <v>54907</v>
      </c>
      <c r="AZ2" s="73">
        <v>14500</v>
      </c>
      <c r="BA2" s="73">
        <v>99267</v>
      </c>
      <c r="BB2" s="14">
        <v>777</v>
      </c>
      <c r="BC2" s="14">
        <v>44181</v>
      </c>
      <c r="BD2" s="73">
        <v>126880</v>
      </c>
      <c r="BE2" s="73">
        <v>99267</v>
      </c>
      <c r="BF2" s="98"/>
      <c r="BG2" s="98"/>
      <c r="BH2" s="73">
        <v>27987</v>
      </c>
      <c r="BI2" s="73">
        <v>57618</v>
      </c>
      <c r="BJ2" s="73">
        <v>13662</v>
      </c>
      <c r="BK2" s="19">
        <v>99395</v>
      </c>
      <c r="BL2" s="14">
        <v>720</v>
      </c>
      <c r="BM2" s="14">
        <v>41648</v>
      </c>
      <c r="BN2" s="73">
        <v>127072</v>
      </c>
      <c r="BO2" s="19">
        <v>99395</v>
      </c>
      <c r="BP2" s="98"/>
      <c r="BQ2" s="98"/>
      <c r="BR2" s="73">
        <v>27597</v>
      </c>
      <c r="BS2" s="73">
        <v>57825</v>
      </c>
      <c r="BT2" s="73">
        <v>13937</v>
      </c>
      <c r="BU2" s="19">
        <v>98276</v>
      </c>
      <c r="BV2" s="14">
        <v>712</v>
      </c>
      <c r="BW2" s="14">
        <v>40948</v>
      </c>
      <c r="BX2" s="73">
        <v>128212</v>
      </c>
      <c r="BY2" s="19">
        <v>98276</v>
      </c>
      <c r="BZ2" s="98"/>
      <c r="CA2" s="98"/>
      <c r="CB2" s="73">
        <v>26649</v>
      </c>
      <c r="CC2" s="73">
        <v>57546</v>
      </c>
      <c r="CD2" s="73">
        <v>14081</v>
      </c>
    </row>
    <row r="3" spans="1:82" x14ac:dyDescent="0.35">
      <c r="A3" s="4">
        <v>2</v>
      </c>
      <c r="B3" s="9" t="s">
        <v>3</v>
      </c>
      <c r="C3" s="6">
        <v>65639</v>
      </c>
      <c r="D3" s="7">
        <v>740</v>
      </c>
      <c r="E3" s="8">
        <v>19379.754463009329</v>
      </c>
      <c r="F3" s="73">
        <v>65423</v>
      </c>
      <c r="G3" s="73">
        <v>63243</v>
      </c>
      <c r="H3" s="98">
        <v>270</v>
      </c>
      <c r="I3" s="73">
        <v>2126</v>
      </c>
      <c r="J3" s="73">
        <v>34898</v>
      </c>
      <c r="K3" s="73">
        <v>26192</v>
      </c>
      <c r="L3" s="73">
        <v>4549</v>
      </c>
      <c r="M3" s="12">
        <v>66027</v>
      </c>
      <c r="N3" s="13">
        <v>793</v>
      </c>
      <c r="O3" s="14">
        <v>16655</v>
      </c>
      <c r="P3" s="73">
        <v>65725</v>
      </c>
      <c r="Q3" s="73">
        <v>63631</v>
      </c>
      <c r="R3" s="98">
        <v>270</v>
      </c>
      <c r="S3" s="73">
        <v>2126</v>
      </c>
      <c r="T3" s="73">
        <v>34861</v>
      </c>
      <c r="U3" s="73">
        <v>21001</v>
      </c>
      <c r="V3" s="73">
        <v>10165</v>
      </c>
      <c r="W3" s="6">
        <v>68281</v>
      </c>
      <c r="X3" s="14">
        <v>1020</v>
      </c>
      <c r="Y3" s="14">
        <v>25114</v>
      </c>
      <c r="Z3" s="73">
        <v>74341</v>
      </c>
      <c r="AA3" s="119">
        <v>65437</v>
      </c>
      <c r="AB3" s="98">
        <v>270</v>
      </c>
      <c r="AC3" s="73">
        <v>2574</v>
      </c>
      <c r="AD3" s="73">
        <v>16506</v>
      </c>
      <c r="AE3" s="73">
        <v>24611</v>
      </c>
      <c r="AF3" s="73">
        <v>27164</v>
      </c>
      <c r="AG3" s="19">
        <v>60853.547488888886</v>
      </c>
      <c r="AH3" s="20">
        <v>1085.3750295509703</v>
      </c>
      <c r="AI3" s="14">
        <v>24318.810000000005</v>
      </c>
      <c r="AJ3" s="73">
        <v>81661</v>
      </c>
      <c r="AK3" s="98"/>
      <c r="AL3" s="98">
        <v>270</v>
      </c>
      <c r="AM3" s="73">
        <v>2576</v>
      </c>
      <c r="AN3" s="73">
        <v>13165</v>
      </c>
      <c r="AO3" s="73">
        <v>22406</v>
      </c>
      <c r="AP3" s="73">
        <v>25283</v>
      </c>
      <c r="AQ3" s="19">
        <v>57193.299999999996</v>
      </c>
      <c r="AR3" s="14">
        <v>891.20565777466095</v>
      </c>
      <c r="AS3" s="14">
        <v>35430.379999999997</v>
      </c>
      <c r="AT3" s="73">
        <v>78977</v>
      </c>
      <c r="AU3" s="111">
        <v>54038</v>
      </c>
      <c r="AV3" s="112"/>
      <c r="AW3" s="111">
        <v>3155</v>
      </c>
      <c r="AX3" s="73">
        <v>12587</v>
      </c>
      <c r="AY3" s="73">
        <v>39756</v>
      </c>
      <c r="AZ3" s="73">
        <v>4851</v>
      </c>
      <c r="BA3" s="73">
        <v>54545</v>
      </c>
      <c r="BB3" s="14">
        <v>937</v>
      </c>
      <c r="BC3" s="14">
        <v>37543</v>
      </c>
      <c r="BD3" s="73">
        <v>79256</v>
      </c>
      <c r="BE3" s="73">
        <v>54314</v>
      </c>
      <c r="BF3" s="98"/>
      <c r="BG3" s="98">
        <v>231</v>
      </c>
      <c r="BH3" s="73">
        <v>12762</v>
      </c>
      <c r="BI3" s="73">
        <v>36930</v>
      </c>
      <c r="BJ3" s="73">
        <v>4853</v>
      </c>
      <c r="BK3" s="19">
        <v>54598</v>
      </c>
      <c r="BL3" s="14">
        <v>969</v>
      </c>
      <c r="BM3" s="14">
        <v>35775</v>
      </c>
      <c r="BN3" s="73">
        <v>79298</v>
      </c>
      <c r="BO3" s="73">
        <v>54412</v>
      </c>
      <c r="BP3" s="98"/>
      <c r="BQ3" s="98">
        <v>186</v>
      </c>
      <c r="BR3" s="73">
        <v>12765</v>
      </c>
      <c r="BS3" s="73">
        <v>36936</v>
      </c>
      <c r="BT3" s="73">
        <v>4897</v>
      </c>
      <c r="BU3" s="73">
        <v>54653</v>
      </c>
      <c r="BV3" s="14">
        <v>970</v>
      </c>
      <c r="BW3" s="14">
        <v>35880</v>
      </c>
      <c r="BX3" s="73">
        <v>79267</v>
      </c>
      <c r="BY3" s="19">
        <v>54467</v>
      </c>
      <c r="BZ3" s="19"/>
      <c r="CA3" s="98">
        <v>186</v>
      </c>
      <c r="CB3" s="73">
        <v>12857</v>
      </c>
      <c r="CC3" s="73">
        <v>36985</v>
      </c>
      <c r="CD3" s="73">
        <v>4811</v>
      </c>
    </row>
    <row r="4" spans="1:82" x14ac:dyDescent="0.35">
      <c r="A4" s="4">
        <v>3</v>
      </c>
      <c r="B4" s="9" t="s">
        <v>4</v>
      </c>
      <c r="C4" s="6">
        <v>156997.70000000001</v>
      </c>
      <c r="D4" s="7">
        <v>816</v>
      </c>
      <c r="E4" s="8">
        <v>56675.0459282835</v>
      </c>
      <c r="F4" s="73">
        <v>119631</v>
      </c>
      <c r="G4" s="73">
        <v>155241</v>
      </c>
      <c r="H4" s="98"/>
      <c r="I4" s="73">
        <v>1757</v>
      </c>
      <c r="J4" s="73">
        <v>69520</v>
      </c>
      <c r="K4" s="73">
        <v>69467</v>
      </c>
      <c r="L4" s="73">
        <v>18010</v>
      </c>
      <c r="M4" s="12">
        <v>158863</v>
      </c>
      <c r="N4" s="13">
        <v>719</v>
      </c>
      <c r="O4" s="14">
        <v>58822</v>
      </c>
      <c r="P4" s="73">
        <v>122092</v>
      </c>
      <c r="Q4" s="73">
        <v>157106</v>
      </c>
      <c r="R4" s="98"/>
      <c r="S4" s="73">
        <v>1757</v>
      </c>
      <c r="T4" s="73">
        <v>66435</v>
      </c>
      <c r="U4" s="73">
        <v>81764</v>
      </c>
      <c r="V4" s="73">
        <v>10664</v>
      </c>
      <c r="W4" s="6">
        <v>157856</v>
      </c>
      <c r="X4" s="14">
        <v>866</v>
      </c>
      <c r="Y4" s="14">
        <v>52153</v>
      </c>
      <c r="Z4" s="73">
        <v>121451</v>
      </c>
      <c r="AA4" s="119">
        <v>155807</v>
      </c>
      <c r="AB4" s="98"/>
      <c r="AC4" s="73">
        <v>2409</v>
      </c>
      <c r="AD4" s="73">
        <v>56074</v>
      </c>
      <c r="AE4" s="73">
        <v>60239</v>
      </c>
      <c r="AF4" s="73">
        <v>41544</v>
      </c>
      <c r="AG4" s="19">
        <v>132557</v>
      </c>
      <c r="AH4" s="20">
        <v>842.9070639359868</v>
      </c>
      <c r="AI4" s="14">
        <v>46052.220100682884</v>
      </c>
      <c r="AJ4" s="73">
        <v>106990</v>
      </c>
      <c r="AK4" s="98"/>
      <c r="AL4" s="98"/>
      <c r="AM4" s="73">
        <v>2049</v>
      </c>
      <c r="AN4" s="73">
        <v>47005</v>
      </c>
      <c r="AO4" s="73">
        <v>54635</v>
      </c>
      <c r="AP4" s="73">
        <v>30867</v>
      </c>
      <c r="AQ4" s="19">
        <v>121720.54999999999</v>
      </c>
      <c r="AR4" s="14">
        <v>826.06594779471402</v>
      </c>
      <c r="AS4" s="14">
        <v>58980.2</v>
      </c>
      <c r="AT4" s="73">
        <v>99685</v>
      </c>
      <c r="AU4" s="111">
        <v>121228</v>
      </c>
      <c r="AV4" s="112"/>
      <c r="AW4" s="112">
        <v>493</v>
      </c>
      <c r="AX4" s="73">
        <v>22430</v>
      </c>
      <c r="AY4" s="73">
        <v>71399</v>
      </c>
      <c r="AZ4" s="73">
        <v>27891</v>
      </c>
      <c r="BA4" s="73">
        <v>114746</v>
      </c>
      <c r="BB4" s="14">
        <v>825</v>
      </c>
      <c r="BC4" s="14">
        <v>58952</v>
      </c>
      <c r="BD4" s="73">
        <v>96997</v>
      </c>
      <c r="BE4" s="73">
        <v>114719</v>
      </c>
      <c r="BF4" s="98"/>
      <c r="BG4" s="98">
        <v>26</v>
      </c>
      <c r="BH4" s="73">
        <v>22462</v>
      </c>
      <c r="BI4" s="73">
        <v>70606</v>
      </c>
      <c r="BJ4" s="73">
        <v>21678</v>
      </c>
      <c r="BK4" s="19">
        <v>79288</v>
      </c>
      <c r="BL4" s="14">
        <v>809</v>
      </c>
      <c r="BM4" s="14">
        <v>43593</v>
      </c>
      <c r="BN4" s="73">
        <v>83896</v>
      </c>
      <c r="BO4" s="73">
        <v>78491</v>
      </c>
      <c r="BP4" s="98"/>
      <c r="BQ4" s="98">
        <v>347</v>
      </c>
      <c r="BR4" s="73">
        <v>12524</v>
      </c>
      <c r="BS4" s="73">
        <v>53885</v>
      </c>
      <c r="BT4" s="73">
        <v>12878</v>
      </c>
      <c r="BU4" s="73">
        <v>67804</v>
      </c>
      <c r="BV4" s="14">
        <v>891</v>
      </c>
      <c r="BW4" s="14">
        <v>40201</v>
      </c>
      <c r="BX4" s="73">
        <v>93028</v>
      </c>
      <c r="BY4" s="19">
        <v>67456</v>
      </c>
      <c r="BZ4" s="99"/>
      <c r="CA4" s="98">
        <v>347</v>
      </c>
      <c r="CB4" s="73">
        <v>11356</v>
      </c>
      <c r="CC4" s="73">
        <v>45117</v>
      </c>
      <c r="CD4" s="73">
        <v>11331</v>
      </c>
    </row>
    <row r="5" spans="1:82" x14ac:dyDescent="0.35">
      <c r="A5" s="4">
        <v>4</v>
      </c>
      <c r="B5" s="9" t="s">
        <v>5</v>
      </c>
      <c r="C5" s="6">
        <v>7156.44</v>
      </c>
      <c r="D5" s="7">
        <v>695</v>
      </c>
      <c r="E5" s="8">
        <v>2952.4735033993293</v>
      </c>
      <c r="F5" s="73">
        <v>14075</v>
      </c>
      <c r="G5" s="73">
        <v>4407</v>
      </c>
      <c r="H5" s="98"/>
      <c r="I5" s="73">
        <v>2749</v>
      </c>
      <c r="J5" s="73">
        <v>1497</v>
      </c>
      <c r="K5" s="73">
        <v>4250</v>
      </c>
      <c r="L5" s="73">
        <v>1409</v>
      </c>
      <c r="M5" s="12">
        <v>7113</v>
      </c>
      <c r="N5" s="13">
        <v>745</v>
      </c>
      <c r="O5" s="14">
        <v>3086</v>
      </c>
      <c r="P5" s="73">
        <v>13828</v>
      </c>
      <c r="Q5" s="73">
        <v>4364</v>
      </c>
      <c r="R5" s="98"/>
      <c r="S5" s="73">
        <v>2749</v>
      </c>
      <c r="T5" s="73">
        <v>1427</v>
      </c>
      <c r="U5" s="73">
        <v>4145</v>
      </c>
      <c r="V5" s="73">
        <v>1541</v>
      </c>
      <c r="W5" s="6">
        <v>6581</v>
      </c>
      <c r="X5" s="14">
        <v>610</v>
      </c>
      <c r="Y5" s="14">
        <v>2294</v>
      </c>
      <c r="Z5" s="73">
        <v>14135</v>
      </c>
      <c r="AA5" s="119">
        <v>4620</v>
      </c>
      <c r="AB5" s="98"/>
      <c r="AC5" s="73">
        <v>1961</v>
      </c>
      <c r="AD5" s="73">
        <v>1710</v>
      </c>
      <c r="AE5" s="73">
        <v>3762</v>
      </c>
      <c r="AF5" s="73">
        <v>1109</v>
      </c>
      <c r="AG5" s="19">
        <v>6534.92</v>
      </c>
      <c r="AH5" s="20">
        <v>613.20776267200029</v>
      </c>
      <c r="AI5" s="14">
        <v>2316.2740313655895</v>
      </c>
      <c r="AJ5" s="73">
        <v>14033</v>
      </c>
      <c r="AK5" s="98"/>
      <c r="AL5" s="98"/>
      <c r="AM5" s="73">
        <v>1961</v>
      </c>
      <c r="AN5" s="73">
        <v>1611</v>
      </c>
      <c r="AO5" s="73">
        <v>3777</v>
      </c>
      <c r="AP5" s="73">
        <v>1146</v>
      </c>
      <c r="AQ5" s="19">
        <v>5828.91</v>
      </c>
      <c r="AR5" s="14">
        <v>827.58749845849752</v>
      </c>
      <c r="AS5" s="14">
        <v>3223.90847962</v>
      </c>
      <c r="AT5" s="73">
        <v>14035</v>
      </c>
      <c r="AU5" s="111">
        <v>4363</v>
      </c>
      <c r="AV5" s="112"/>
      <c r="AW5" s="111">
        <v>1466</v>
      </c>
      <c r="AX5" s="73">
        <v>1430</v>
      </c>
      <c r="AY5" s="73">
        <v>3896</v>
      </c>
      <c r="AZ5" s="98">
        <v>503</v>
      </c>
      <c r="BA5" s="73">
        <v>4321</v>
      </c>
      <c r="BB5" s="14">
        <v>477</v>
      </c>
      <c r="BC5" s="14">
        <v>1921</v>
      </c>
      <c r="BD5" s="73">
        <v>13946</v>
      </c>
      <c r="BE5" s="73">
        <v>4321</v>
      </c>
      <c r="BF5" s="98"/>
      <c r="BG5" s="98"/>
      <c r="BH5" s="73">
        <v>1174</v>
      </c>
      <c r="BI5" s="73">
        <v>2479</v>
      </c>
      <c r="BJ5" s="73">
        <v>668</v>
      </c>
      <c r="BK5" s="19">
        <v>3662</v>
      </c>
      <c r="BL5" s="14">
        <v>452</v>
      </c>
      <c r="BM5" s="14">
        <v>967</v>
      </c>
      <c r="BN5" s="73">
        <v>11108</v>
      </c>
      <c r="BO5" s="73">
        <v>3662</v>
      </c>
      <c r="BP5" s="98"/>
      <c r="BQ5" s="98"/>
      <c r="BR5" s="98">
        <v>835</v>
      </c>
      <c r="BS5" s="73">
        <v>2141</v>
      </c>
      <c r="BT5" s="98">
        <v>687</v>
      </c>
      <c r="BU5" s="19">
        <v>3752</v>
      </c>
      <c r="BV5" s="14">
        <v>451</v>
      </c>
      <c r="BW5" s="14">
        <v>959</v>
      </c>
      <c r="BX5" s="73">
        <v>13200</v>
      </c>
      <c r="BY5" s="19">
        <v>3752</v>
      </c>
      <c r="BZ5" s="98"/>
      <c r="CA5" s="98"/>
      <c r="CB5" s="98">
        <v>917</v>
      </c>
      <c r="CC5" s="73">
        <v>2128</v>
      </c>
      <c r="CD5" s="98">
        <v>707</v>
      </c>
    </row>
    <row r="6" spans="1:82" x14ac:dyDescent="0.35">
      <c r="A6" s="4">
        <v>5</v>
      </c>
      <c r="B6" s="9" t="s">
        <v>6</v>
      </c>
      <c r="C6" s="6">
        <v>5</v>
      </c>
      <c r="D6" s="7">
        <v>333</v>
      </c>
      <c r="E6" s="8">
        <v>0.75344051462171702</v>
      </c>
      <c r="F6" s="73">
        <v>97</v>
      </c>
      <c r="G6" s="73">
        <v>5</v>
      </c>
      <c r="H6" s="98"/>
      <c r="I6" s="98"/>
      <c r="J6" s="73">
        <v>2</v>
      </c>
      <c r="K6" s="73">
        <v>2</v>
      </c>
      <c r="L6" s="73">
        <v>1</v>
      </c>
      <c r="M6" s="12">
        <v>23</v>
      </c>
      <c r="N6" s="13">
        <v>500</v>
      </c>
      <c r="O6" s="14">
        <v>1</v>
      </c>
      <c r="P6" s="73">
        <v>212</v>
      </c>
      <c r="Q6" s="73">
        <v>23</v>
      </c>
      <c r="R6" s="98"/>
      <c r="S6" s="98"/>
      <c r="T6" s="73">
        <v>19</v>
      </c>
      <c r="U6" s="73">
        <v>3</v>
      </c>
      <c r="V6" s="73">
        <v>1</v>
      </c>
      <c r="W6" s="6">
        <v>45</v>
      </c>
      <c r="X6" s="14">
        <v>329</v>
      </c>
      <c r="Y6" s="14">
        <v>2</v>
      </c>
      <c r="Z6" s="73">
        <v>231</v>
      </c>
      <c r="AA6" s="118">
        <v>45</v>
      </c>
      <c r="AB6" s="98"/>
      <c r="AC6" s="98"/>
      <c r="AD6" s="73">
        <v>37</v>
      </c>
      <c r="AE6" s="73">
        <v>5</v>
      </c>
      <c r="AF6" s="73">
        <v>3</v>
      </c>
      <c r="AG6" s="19">
        <v>37.688919355305664</v>
      </c>
      <c r="AH6" s="20">
        <v>171.42857142857142</v>
      </c>
      <c r="AI6" s="14">
        <v>0.88952903233811409</v>
      </c>
      <c r="AJ6" s="73">
        <v>204</v>
      </c>
      <c r="AK6" s="19">
        <v>37.688919355305664</v>
      </c>
      <c r="AL6" s="98"/>
      <c r="AM6" s="98"/>
      <c r="AN6" s="73">
        <v>30</v>
      </c>
      <c r="AO6" s="73">
        <v>5</v>
      </c>
      <c r="AP6" s="73">
        <v>3</v>
      </c>
      <c r="AQ6" s="19">
        <v>36.5</v>
      </c>
      <c r="AR6" s="14">
        <v>280</v>
      </c>
      <c r="AS6" s="14">
        <v>2.1</v>
      </c>
      <c r="AT6" s="73">
        <v>202</v>
      </c>
      <c r="AU6" s="112">
        <v>37</v>
      </c>
      <c r="AV6" s="112"/>
      <c r="AW6" s="112"/>
      <c r="AX6" s="98">
        <v>25</v>
      </c>
      <c r="AY6" s="98">
        <v>8</v>
      </c>
      <c r="AZ6" s="98">
        <v>5</v>
      </c>
      <c r="BA6" s="73">
        <v>39</v>
      </c>
      <c r="BB6" s="14">
        <v>246</v>
      </c>
      <c r="BC6" s="14">
        <v>2</v>
      </c>
      <c r="BD6" s="73">
        <v>217</v>
      </c>
      <c r="BE6" s="73">
        <v>39</v>
      </c>
      <c r="BF6" s="98"/>
      <c r="BG6" s="98"/>
      <c r="BH6" s="73">
        <v>27</v>
      </c>
      <c r="BI6" s="73">
        <v>8</v>
      </c>
      <c r="BJ6" s="73">
        <v>5</v>
      </c>
      <c r="BK6" s="19">
        <v>38</v>
      </c>
      <c r="BL6" s="14">
        <v>935</v>
      </c>
      <c r="BM6" s="14">
        <v>6</v>
      </c>
      <c r="BN6" s="98">
        <v>247</v>
      </c>
      <c r="BO6" s="98">
        <v>38</v>
      </c>
      <c r="BP6" s="98"/>
      <c r="BQ6" s="98"/>
      <c r="BR6" s="98">
        <v>26</v>
      </c>
      <c r="BS6" s="98">
        <v>7</v>
      </c>
      <c r="BT6" s="98">
        <v>6</v>
      </c>
      <c r="BU6" s="19">
        <v>34</v>
      </c>
      <c r="BV6" s="14">
        <v>1108</v>
      </c>
      <c r="BW6" s="14">
        <v>7</v>
      </c>
      <c r="BX6" s="98">
        <v>188</v>
      </c>
      <c r="BY6" s="19">
        <v>34</v>
      </c>
      <c r="BZ6" s="98"/>
      <c r="CA6" s="98"/>
      <c r="CB6" s="98">
        <v>24</v>
      </c>
      <c r="CC6" s="98">
        <v>7</v>
      </c>
      <c r="CD6" s="98">
        <v>3</v>
      </c>
    </row>
    <row r="7" spans="1:82" x14ac:dyDescent="0.35">
      <c r="A7" s="4">
        <v>6</v>
      </c>
      <c r="B7" s="9" t="s">
        <v>7</v>
      </c>
      <c r="C7" s="6">
        <v>2220</v>
      </c>
      <c r="D7" s="7">
        <v>583</v>
      </c>
      <c r="E7" s="8">
        <v>485.96913193100744</v>
      </c>
      <c r="F7" s="73">
        <v>5751</v>
      </c>
      <c r="G7" s="73">
        <v>2220</v>
      </c>
      <c r="H7" s="98"/>
      <c r="I7" s="98"/>
      <c r="J7" s="98">
        <v>861</v>
      </c>
      <c r="K7" s="98">
        <v>833</v>
      </c>
      <c r="L7" s="98">
        <v>526</v>
      </c>
      <c r="M7" s="12">
        <v>2270</v>
      </c>
      <c r="N7" s="13">
        <v>614</v>
      </c>
      <c r="O7" s="14">
        <v>493</v>
      </c>
      <c r="P7" s="73">
        <v>5839</v>
      </c>
      <c r="Q7" s="73">
        <v>2270</v>
      </c>
      <c r="R7" s="98"/>
      <c r="S7" s="98"/>
      <c r="T7" s="73">
        <v>864</v>
      </c>
      <c r="U7" s="73">
        <v>804</v>
      </c>
      <c r="V7" s="73">
        <v>602</v>
      </c>
      <c r="W7" s="6">
        <v>2354</v>
      </c>
      <c r="X7" s="14">
        <v>592</v>
      </c>
      <c r="Y7" s="14">
        <v>520</v>
      </c>
      <c r="Z7" s="73">
        <v>5895</v>
      </c>
      <c r="AA7" s="118">
        <v>2354</v>
      </c>
      <c r="AB7" s="98"/>
      <c r="AC7" s="98"/>
      <c r="AD7" s="73">
        <v>936</v>
      </c>
      <c r="AE7" s="73">
        <v>879</v>
      </c>
      <c r="AF7" s="73">
        <v>539</v>
      </c>
      <c r="AG7" s="19">
        <v>2439</v>
      </c>
      <c r="AH7" s="20">
        <v>584.97447118891307</v>
      </c>
      <c r="AI7" s="14">
        <v>594.50190327930613</v>
      </c>
      <c r="AJ7" s="73">
        <v>5725</v>
      </c>
      <c r="AK7" s="19">
        <v>2439</v>
      </c>
      <c r="AL7" s="98"/>
      <c r="AM7" s="98"/>
      <c r="AN7" s="73">
        <v>809</v>
      </c>
      <c r="AO7" s="73">
        <v>1016</v>
      </c>
      <c r="AP7" s="73">
        <v>614</v>
      </c>
      <c r="AQ7" s="19">
        <v>2617</v>
      </c>
      <c r="AR7" s="14">
        <v>575.22743177046891</v>
      </c>
      <c r="AS7" s="14">
        <v>822</v>
      </c>
      <c r="AT7" s="73">
        <v>6105</v>
      </c>
      <c r="AU7" s="111">
        <v>2617</v>
      </c>
      <c r="AV7" s="112"/>
      <c r="AW7" s="112"/>
      <c r="AX7" s="98">
        <v>902</v>
      </c>
      <c r="AY7" s="73">
        <v>1430</v>
      </c>
      <c r="AZ7" s="98">
        <v>286</v>
      </c>
      <c r="BA7" s="73">
        <v>2681</v>
      </c>
      <c r="BB7" s="14">
        <v>566</v>
      </c>
      <c r="BC7" s="14">
        <v>832</v>
      </c>
      <c r="BD7" s="73">
        <v>6117</v>
      </c>
      <c r="BE7" s="73">
        <v>2681</v>
      </c>
      <c r="BF7" s="98"/>
      <c r="BG7" s="98"/>
      <c r="BH7" s="73">
        <v>921</v>
      </c>
      <c r="BI7" s="73">
        <v>1452</v>
      </c>
      <c r="BJ7" s="73">
        <v>308</v>
      </c>
      <c r="BK7" s="19">
        <v>2745</v>
      </c>
      <c r="BL7" s="14">
        <v>591</v>
      </c>
      <c r="BM7" s="14">
        <v>925</v>
      </c>
      <c r="BN7" s="73">
        <v>6167</v>
      </c>
      <c r="BO7" s="73">
        <v>2745</v>
      </c>
      <c r="BP7" s="98"/>
      <c r="BQ7" s="98"/>
      <c r="BR7" s="98">
        <v>795</v>
      </c>
      <c r="BS7" s="73">
        <v>1565</v>
      </c>
      <c r="BT7" s="98">
        <v>385</v>
      </c>
      <c r="BU7" s="19">
        <v>2805</v>
      </c>
      <c r="BV7" s="14">
        <v>587</v>
      </c>
      <c r="BW7" s="14">
        <v>929</v>
      </c>
      <c r="BX7" s="73">
        <v>6235</v>
      </c>
      <c r="BY7" s="19">
        <v>2805</v>
      </c>
      <c r="BZ7" s="98"/>
      <c r="CA7" s="98"/>
      <c r="CB7" s="98">
        <v>840</v>
      </c>
      <c r="CC7" s="73">
        <v>1582</v>
      </c>
      <c r="CD7" s="98">
        <v>383</v>
      </c>
    </row>
    <row r="8" spans="1:82" x14ac:dyDescent="0.35">
      <c r="A8" s="4">
        <v>7</v>
      </c>
      <c r="B8" s="9" t="s">
        <v>8</v>
      </c>
      <c r="C8" s="6">
        <v>10454.69</v>
      </c>
      <c r="D8" s="7">
        <v>791</v>
      </c>
      <c r="E8" s="8">
        <v>3118.3245331060698</v>
      </c>
      <c r="F8" s="73">
        <v>12528</v>
      </c>
      <c r="G8" s="73">
        <v>10455</v>
      </c>
      <c r="H8" s="98"/>
      <c r="I8" s="98"/>
      <c r="J8" s="73">
        <v>5106</v>
      </c>
      <c r="K8" s="73">
        <v>3943</v>
      </c>
      <c r="L8" s="73">
        <v>1406</v>
      </c>
      <c r="M8" s="12">
        <v>10806</v>
      </c>
      <c r="N8" s="13">
        <v>726</v>
      </c>
      <c r="O8" s="14">
        <v>2835</v>
      </c>
      <c r="P8" s="73">
        <v>12831</v>
      </c>
      <c r="Q8" s="73">
        <v>10806</v>
      </c>
      <c r="R8" s="98"/>
      <c r="S8" s="98"/>
      <c r="T8" s="73">
        <v>4580</v>
      </c>
      <c r="U8" s="73">
        <v>3906</v>
      </c>
      <c r="V8" s="73">
        <v>2320</v>
      </c>
      <c r="W8" s="6">
        <v>10846</v>
      </c>
      <c r="X8" s="14">
        <v>843</v>
      </c>
      <c r="Y8" s="14">
        <v>3287</v>
      </c>
      <c r="Z8" s="73">
        <v>12120</v>
      </c>
      <c r="AA8" s="118">
        <v>10846</v>
      </c>
      <c r="AB8" s="98"/>
      <c r="AC8" s="98"/>
      <c r="AD8" s="73">
        <v>5150</v>
      </c>
      <c r="AE8" s="73">
        <v>3900</v>
      </c>
      <c r="AF8" s="73">
        <v>1796</v>
      </c>
      <c r="AG8" s="19">
        <v>10716.59</v>
      </c>
      <c r="AH8" s="20">
        <v>755.09329192340897</v>
      </c>
      <c r="AI8" s="14">
        <v>3042.1892905963509</v>
      </c>
      <c r="AJ8" s="73">
        <v>12875</v>
      </c>
      <c r="AK8" s="19">
        <v>10716.59</v>
      </c>
      <c r="AL8" s="98"/>
      <c r="AM8" s="98"/>
      <c r="AN8" s="73">
        <v>4860</v>
      </c>
      <c r="AO8" s="73">
        <v>4029</v>
      </c>
      <c r="AP8" s="73">
        <v>1828</v>
      </c>
      <c r="AQ8" s="19">
        <v>10791.09</v>
      </c>
      <c r="AR8" s="14">
        <v>687.45850037193645</v>
      </c>
      <c r="AS8" s="14">
        <v>4131</v>
      </c>
      <c r="AT8" s="73">
        <v>12342</v>
      </c>
      <c r="AU8" s="111">
        <v>10791</v>
      </c>
      <c r="AV8" s="112"/>
      <c r="AW8" s="112"/>
      <c r="AX8" s="73">
        <v>4252</v>
      </c>
      <c r="AY8" s="98">
        <v>25</v>
      </c>
      <c r="AZ8" s="98">
        <v>530</v>
      </c>
      <c r="BA8" s="73">
        <v>10531</v>
      </c>
      <c r="BB8" s="14">
        <v>669</v>
      </c>
      <c r="BC8" s="14">
        <v>3957</v>
      </c>
      <c r="BD8" s="73">
        <v>11661</v>
      </c>
      <c r="BE8" s="73">
        <v>10531</v>
      </c>
      <c r="BF8" s="98"/>
      <c r="BG8" s="98"/>
      <c r="BH8" s="73">
        <v>4404</v>
      </c>
      <c r="BI8" s="73">
        <v>5527</v>
      </c>
      <c r="BJ8" s="73">
        <v>583</v>
      </c>
      <c r="BK8" s="19">
        <v>10445</v>
      </c>
      <c r="BL8" s="14">
        <v>705</v>
      </c>
      <c r="BM8" s="14">
        <v>3969</v>
      </c>
      <c r="BN8" s="73">
        <v>11542</v>
      </c>
      <c r="BO8" s="73">
        <v>10445</v>
      </c>
      <c r="BP8" s="98"/>
      <c r="BQ8" s="98"/>
      <c r="BR8" s="73">
        <v>4214</v>
      </c>
      <c r="BS8" s="73">
        <v>5632</v>
      </c>
      <c r="BT8" s="98">
        <v>600</v>
      </c>
      <c r="BU8" s="19">
        <v>8047</v>
      </c>
      <c r="BV8" s="14">
        <v>734</v>
      </c>
      <c r="BW8" s="14">
        <v>3017</v>
      </c>
      <c r="BX8" s="73">
        <v>7824</v>
      </c>
      <c r="BY8" s="19">
        <v>8047</v>
      </c>
      <c r="BZ8" s="98"/>
      <c r="CA8" s="98"/>
      <c r="CB8" s="73">
        <v>3434</v>
      </c>
      <c r="CC8" s="73">
        <v>4109</v>
      </c>
      <c r="CD8" s="98">
        <v>504</v>
      </c>
    </row>
    <row r="9" spans="1:82" x14ac:dyDescent="0.35">
      <c r="A9" s="4">
        <v>8</v>
      </c>
      <c r="B9" s="9" t="s">
        <v>9</v>
      </c>
      <c r="C9" s="6">
        <v>709.87999999999988</v>
      </c>
      <c r="D9" s="7">
        <v>477</v>
      </c>
      <c r="E9" s="8">
        <v>116.66678145065175</v>
      </c>
      <c r="F9" s="98">
        <v>648</v>
      </c>
      <c r="G9" s="73">
        <v>710</v>
      </c>
      <c r="H9" s="98"/>
      <c r="I9" s="98"/>
      <c r="J9" s="98">
        <v>331</v>
      </c>
      <c r="K9" s="98">
        <v>244</v>
      </c>
      <c r="L9" s="98">
        <v>135</v>
      </c>
      <c r="M9" s="12">
        <v>769</v>
      </c>
      <c r="N9" s="13">
        <v>543</v>
      </c>
      <c r="O9" s="14">
        <v>136</v>
      </c>
      <c r="P9" s="73">
        <v>749</v>
      </c>
      <c r="Q9" s="73">
        <v>769</v>
      </c>
      <c r="R9" s="98"/>
      <c r="S9" s="98"/>
      <c r="T9" s="73">
        <v>335</v>
      </c>
      <c r="U9" s="73">
        <v>251</v>
      </c>
      <c r="V9" s="73">
        <v>183</v>
      </c>
      <c r="W9" s="6">
        <v>768</v>
      </c>
      <c r="X9" s="14">
        <v>740</v>
      </c>
      <c r="Y9" s="14">
        <v>199</v>
      </c>
      <c r="Z9" s="73">
        <v>735</v>
      </c>
      <c r="AA9" s="118">
        <v>768</v>
      </c>
      <c r="AB9" s="98"/>
      <c r="AC9" s="98"/>
      <c r="AD9" s="73">
        <v>340</v>
      </c>
      <c r="AE9" s="73">
        <v>268</v>
      </c>
      <c r="AF9" s="73">
        <v>159</v>
      </c>
      <c r="AG9" s="19">
        <v>764.15300000000002</v>
      </c>
      <c r="AH9" s="20">
        <v>583.90017323410996</v>
      </c>
      <c r="AI9" s="14">
        <v>177.39542880748007</v>
      </c>
      <c r="AJ9" s="73">
        <v>1220</v>
      </c>
      <c r="AK9" s="19">
        <v>764.15300000000002</v>
      </c>
      <c r="AL9" s="98"/>
      <c r="AM9" s="98"/>
      <c r="AN9" s="73">
        <v>288</v>
      </c>
      <c r="AO9" s="73">
        <v>304</v>
      </c>
      <c r="AP9" s="73">
        <v>173</v>
      </c>
      <c r="AQ9" s="19">
        <v>732.9</v>
      </c>
      <c r="AR9" s="14">
        <v>775.80688879228785</v>
      </c>
      <c r="AS9" s="14">
        <v>303.39480000000003</v>
      </c>
      <c r="AT9" s="73">
        <v>925</v>
      </c>
      <c r="AU9" s="112">
        <v>733</v>
      </c>
      <c r="AV9" s="112"/>
      <c r="AW9" s="112"/>
      <c r="AX9" s="98">
        <v>284</v>
      </c>
      <c r="AY9" s="98">
        <v>902</v>
      </c>
      <c r="AZ9" s="98">
        <v>58</v>
      </c>
      <c r="BA9" s="73">
        <v>702</v>
      </c>
      <c r="BB9" s="14">
        <v>740</v>
      </c>
      <c r="BC9" s="14">
        <v>307</v>
      </c>
      <c r="BD9" s="73">
        <v>830</v>
      </c>
      <c r="BE9" s="73">
        <v>702</v>
      </c>
      <c r="BF9" s="98"/>
      <c r="BG9" s="98"/>
      <c r="BH9" s="73">
        <v>217</v>
      </c>
      <c r="BI9" s="73">
        <v>434</v>
      </c>
      <c r="BJ9" s="73">
        <v>51</v>
      </c>
      <c r="BK9" s="19">
        <v>705</v>
      </c>
      <c r="BL9" s="14">
        <v>720</v>
      </c>
      <c r="BM9" s="14">
        <v>333</v>
      </c>
      <c r="BN9" s="98">
        <v>814</v>
      </c>
      <c r="BO9" s="98">
        <v>705</v>
      </c>
      <c r="BP9" s="98"/>
      <c r="BQ9" s="98"/>
      <c r="BR9" s="98">
        <v>195</v>
      </c>
      <c r="BS9" s="98">
        <v>463</v>
      </c>
      <c r="BT9" s="98">
        <v>47</v>
      </c>
      <c r="BU9" s="19">
        <v>706</v>
      </c>
      <c r="BV9" s="14">
        <v>726</v>
      </c>
      <c r="BW9" s="14">
        <v>359</v>
      </c>
      <c r="BX9" s="98">
        <v>815</v>
      </c>
      <c r="BY9" s="19">
        <v>706</v>
      </c>
      <c r="BZ9" s="98"/>
      <c r="CA9" s="98"/>
      <c r="CB9" s="98">
        <v>171</v>
      </c>
      <c r="CC9" s="98">
        <v>494</v>
      </c>
      <c r="CD9" s="98">
        <v>41</v>
      </c>
    </row>
    <row r="10" spans="1:82" x14ac:dyDescent="0.35">
      <c r="A10" s="4">
        <v>9</v>
      </c>
      <c r="B10" s="9" t="s">
        <v>10</v>
      </c>
      <c r="C10" s="6">
        <v>13421.000000000002</v>
      </c>
      <c r="D10" s="7">
        <v>728</v>
      </c>
      <c r="E10" s="8">
        <v>4615.5765925726382</v>
      </c>
      <c r="F10" s="73">
        <v>20633</v>
      </c>
      <c r="G10" s="73">
        <v>13421</v>
      </c>
      <c r="H10" s="98"/>
      <c r="I10" s="98"/>
      <c r="J10" s="73">
        <v>3954</v>
      </c>
      <c r="K10" s="73">
        <v>6343</v>
      </c>
      <c r="L10" s="73">
        <v>3124</v>
      </c>
      <c r="M10" s="12">
        <v>13125</v>
      </c>
      <c r="N10" s="13">
        <v>771</v>
      </c>
      <c r="O10" s="14">
        <v>4039</v>
      </c>
      <c r="P10" s="73">
        <v>20441</v>
      </c>
      <c r="Q10" s="73">
        <v>13125</v>
      </c>
      <c r="R10" s="98"/>
      <c r="S10" s="98"/>
      <c r="T10" s="73">
        <v>3932</v>
      </c>
      <c r="U10" s="73">
        <v>5239</v>
      </c>
      <c r="V10" s="73">
        <v>3954</v>
      </c>
      <c r="W10" s="6">
        <v>12909</v>
      </c>
      <c r="X10" s="14">
        <v>761</v>
      </c>
      <c r="Y10" s="14">
        <v>4272</v>
      </c>
      <c r="Z10" s="73">
        <v>20196</v>
      </c>
      <c r="AA10" s="118">
        <v>12909</v>
      </c>
      <c r="AB10" s="98"/>
      <c r="AC10" s="98"/>
      <c r="AD10" s="73">
        <v>3722</v>
      </c>
      <c r="AE10" s="73">
        <v>5615</v>
      </c>
      <c r="AF10" s="73">
        <v>3572</v>
      </c>
      <c r="AG10" s="19">
        <v>9448.84</v>
      </c>
      <c r="AH10" s="20">
        <v>564.4590103275342</v>
      </c>
      <c r="AI10" s="14">
        <v>3166.2385618010617</v>
      </c>
      <c r="AJ10" s="73">
        <v>12221</v>
      </c>
      <c r="AK10" s="19">
        <v>9448.84</v>
      </c>
      <c r="AL10" s="98"/>
      <c r="AM10" s="98"/>
      <c r="AN10" s="73">
        <v>1425</v>
      </c>
      <c r="AO10" s="73">
        <v>5609</v>
      </c>
      <c r="AP10" s="73">
        <v>2415</v>
      </c>
      <c r="AQ10" s="19">
        <v>8079.74</v>
      </c>
      <c r="AR10" s="14">
        <v>516.18430141287274</v>
      </c>
      <c r="AS10" s="14">
        <v>3288.0939999999996</v>
      </c>
      <c r="AT10" s="73">
        <v>11591</v>
      </c>
      <c r="AU10" s="111">
        <v>8080</v>
      </c>
      <c r="AV10" s="112"/>
      <c r="AW10" s="112"/>
      <c r="AX10" s="73">
        <v>1379</v>
      </c>
      <c r="AY10" s="73">
        <v>4252</v>
      </c>
      <c r="AZ10" s="98">
        <v>330</v>
      </c>
      <c r="BA10" s="73">
        <v>7637</v>
      </c>
      <c r="BB10" s="14">
        <v>579</v>
      </c>
      <c r="BC10" s="14">
        <v>3270</v>
      </c>
      <c r="BD10" s="73">
        <v>10879</v>
      </c>
      <c r="BE10" s="73">
        <v>7637</v>
      </c>
      <c r="BF10" s="98"/>
      <c r="BG10" s="98"/>
      <c r="BH10" s="73">
        <v>1157</v>
      </c>
      <c r="BI10" s="73">
        <v>6194</v>
      </c>
      <c r="BJ10" s="73">
        <v>287</v>
      </c>
      <c r="BK10" s="19">
        <v>7059</v>
      </c>
      <c r="BL10" s="14">
        <v>684</v>
      </c>
      <c r="BM10" s="14">
        <v>3774</v>
      </c>
      <c r="BN10" s="73">
        <v>10537</v>
      </c>
      <c r="BO10" s="73">
        <v>7059</v>
      </c>
      <c r="BP10" s="98"/>
      <c r="BQ10" s="98"/>
      <c r="BR10" s="73">
        <v>1029</v>
      </c>
      <c r="BS10" s="73">
        <v>5519</v>
      </c>
      <c r="BT10" s="98">
        <v>511</v>
      </c>
      <c r="BU10" s="19">
        <v>7154</v>
      </c>
      <c r="BV10" s="14">
        <v>702</v>
      </c>
      <c r="BW10" s="14">
        <v>3751</v>
      </c>
      <c r="BX10" s="73">
        <v>11643</v>
      </c>
      <c r="BY10" s="19">
        <v>7154</v>
      </c>
      <c r="BZ10" s="98"/>
      <c r="CA10" s="98"/>
      <c r="CB10" s="73">
        <v>1051</v>
      </c>
      <c r="CC10" s="73">
        <v>5347</v>
      </c>
      <c r="CD10" s="98">
        <v>756</v>
      </c>
    </row>
    <row r="11" spans="1:82" x14ac:dyDescent="0.35">
      <c r="A11" s="4">
        <v>10</v>
      </c>
      <c r="B11" s="9" t="s">
        <v>11</v>
      </c>
      <c r="C11" s="6">
        <v>72032</v>
      </c>
      <c r="D11" s="7">
        <v>801</v>
      </c>
      <c r="E11" s="8">
        <v>34689.488110595688</v>
      </c>
      <c r="F11" s="73">
        <v>118331</v>
      </c>
      <c r="G11" s="73">
        <v>71404</v>
      </c>
      <c r="H11" s="98">
        <v>20</v>
      </c>
      <c r="I11" s="98">
        <v>608</v>
      </c>
      <c r="J11" s="73">
        <v>13984</v>
      </c>
      <c r="K11" s="73">
        <v>43287</v>
      </c>
      <c r="L11" s="73">
        <v>14761</v>
      </c>
      <c r="M11" s="12">
        <v>71192</v>
      </c>
      <c r="N11" s="13">
        <v>894</v>
      </c>
      <c r="O11" s="14">
        <v>33177</v>
      </c>
      <c r="P11" s="73">
        <v>116259</v>
      </c>
      <c r="Q11" s="73">
        <v>70564</v>
      </c>
      <c r="R11" s="98">
        <v>20</v>
      </c>
      <c r="S11" s="98">
        <v>608</v>
      </c>
      <c r="T11" s="73">
        <v>11897</v>
      </c>
      <c r="U11" s="73">
        <v>37095</v>
      </c>
      <c r="V11" s="73">
        <v>22200</v>
      </c>
      <c r="W11" s="6">
        <v>73151</v>
      </c>
      <c r="X11" s="14">
        <v>862</v>
      </c>
      <c r="Y11" s="14">
        <v>34809</v>
      </c>
      <c r="Z11" s="73">
        <v>115284</v>
      </c>
      <c r="AA11" s="120"/>
      <c r="AB11" s="98"/>
      <c r="AC11" s="98">
        <v>432</v>
      </c>
      <c r="AD11" s="73">
        <v>11435</v>
      </c>
      <c r="AE11" s="73">
        <v>40360</v>
      </c>
      <c r="AF11" s="73">
        <v>21356</v>
      </c>
      <c r="AG11" s="19">
        <v>72495</v>
      </c>
      <c r="AH11" s="20">
        <v>871.24912288108942</v>
      </c>
      <c r="AI11" s="14">
        <v>34856.837261165769</v>
      </c>
      <c r="AJ11" s="73">
        <v>115285</v>
      </c>
      <c r="AK11" s="98"/>
      <c r="AL11" s="98"/>
      <c r="AM11" s="98">
        <v>432</v>
      </c>
      <c r="AN11" s="73">
        <v>11968</v>
      </c>
      <c r="AO11" s="73">
        <v>40008</v>
      </c>
      <c r="AP11" s="73">
        <v>20525</v>
      </c>
      <c r="AQ11" s="19">
        <v>80711.5</v>
      </c>
      <c r="AR11" s="14">
        <v>889.85553723046849</v>
      </c>
      <c r="AS11" s="14">
        <v>58271.3</v>
      </c>
      <c r="AT11" s="73">
        <v>142392</v>
      </c>
      <c r="AU11" s="111">
        <v>79246</v>
      </c>
      <c r="AV11" s="112"/>
      <c r="AW11" s="111">
        <v>1466</v>
      </c>
      <c r="AX11" s="73">
        <v>7667</v>
      </c>
      <c r="AY11" s="98">
        <v>284</v>
      </c>
      <c r="AZ11" s="73">
        <v>7561</v>
      </c>
      <c r="BA11" s="73">
        <v>79653</v>
      </c>
      <c r="BB11" s="14">
        <v>889</v>
      </c>
      <c r="BC11" s="14">
        <v>58177</v>
      </c>
      <c r="BD11" s="73">
        <v>142408</v>
      </c>
      <c r="BE11" s="73">
        <v>79356</v>
      </c>
      <c r="BF11" s="98"/>
      <c r="BG11" s="98">
        <v>297</v>
      </c>
      <c r="BH11" s="73">
        <v>6893</v>
      </c>
      <c r="BI11" s="73">
        <v>65295</v>
      </c>
      <c r="BJ11" s="73">
        <v>7465</v>
      </c>
      <c r="BK11" s="19">
        <v>78990</v>
      </c>
      <c r="BL11" s="14">
        <v>896</v>
      </c>
      <c r="BM11" s="14">
        <v>57510</v>
      </c>
      <c r="BN11" s="73">
        <v>140873</v>
      </c>
      <c r="BO11" s="73">
        <v>78711</v>
      </c>
      <c r="BP11" s="98"/>
      <c r="BQ11" s="98">
        <v>279</v>
      </c>
      <c r="BR11" s="73">
        <v>6762</v>
      </c>
      <c r="BS11" s="73">
        <v>64193</v>
      </c>
      <c r="BT11" s="73">
        <v>8035</v>
      </c>
      <c r="BU11" s="73">
        <v>77391</v>
      </c>
      <c r="BV11" s="14">
        <v>876</v>
      </c>
      <c r="BW11" s="14">
        <v>54796</v>
      </c>
      <c r="BX11" s="73">
        <v>138625</v>
      </c>
      <c r="BY11" s="100">
        <v>77092</v>
      </c>
      <c r="BZ11" s="98"/>
      <c r="CA11" s="98">
        <v>299</v>
      </c>
      <c r="CB11" s="73">
        <v>6408</v>
      </c>
      <c r="CC11" s="73">
        <v>62585</v>
      </c>
      <c r="CD11" s="73">
        <v>8398</v>
      </c>
    </row>
    <row r="12" spans="1:82" s="108" customFormat="1" x14ac:dyDescent="0.35">
      <c r="A12" s="102">
        <v>11</v>
      </c>
      <c r="B12" s="103" t="s">
        <v>12</v>
      </c>
      <c r="C12" s="104"/>
      <c r="D12" s="114"/>
      <c r="E12" s="115"/>
      <c r="M12" s="116"/>
      <c r="N12" s="117"/>
      <c r="O12" s="106"/>
      <c r="W12" s="104"/>
      <c r="X12" s="105"/>
      <c r="Y12" s="106"/>
      <c r="Z12" s="107"/>
      <c r="AG12" s="104"/>
      <c r="AH12" s="106"/>
      <c r="AI12" s="106"/>
      <c r="AK12" s="107"/>
      <c r="AL12" s="107"/>
      <c r="AM12" s="107"/>
      <c r="AQ12" s="84"/>
      <c r="AR12" s="85"/>
      <c r="AS12" s="85"/>
      <c r="AT12" s="86"/>
      <c r="AU12" s="82"/>
      <c r="AV12" s="82"/>
      <c r="AW12" s="82"/>
      <c r="AX12" s="82"/>
      <c r="AY12" s="94"/>
      <c r="AZ12" s="82"/>
      <c r="BA12" s="104"/>
      <c r="BB12" s="105"/>
      <c r="BC12" s="106"/>
      <c r="BK12" s="104"/>
      <c r="BL12" s="105"/>
      <c r="BM12" s="106"/>
      <c r="BN12" s="107"/>
      <c r="BO12" s="107"/>
      <c r="BP12" s="107"/>
      <c r="BQ12" s="107"/>
      <c r="BR12" s="107"/>
      <c r="BS12" s="107"/>
      <c r="BT12" s="107"/>
      <c r="BU12" s="104"/>
      <c r="BV12" s="105"/>
      <c r="BW12" s="106"/>
      <c r="BX12" s="107"/>
      <c r="BY12" s="107"/>
      <c r="BZ12" s="107"/>
      <c r="CA12" s="107"/>
      <c r="CB12" s="107"/>
      <c r="CC12" s="107"/>
      <c r="CD12" s="107"/>
    </row>
    <row r="13" spans="1:82" x14ac:dyDescent="0.35">
      <c r="A13" s="4">
        <v>12</v>
      </c>
      <c r="B13" s="9" t="s">
        <v>14</v>
      </c>
      <c r="C13" s="6">
        <v>9546.1299999999992</v>
      </c>
      <c r="D13" s="7">
        <v>514</v>
      </c>
      <c r="E13" s="8">
        <v>2509.1115574066789</v>
      </c>
      <c r="F13" s="73">
        <v>19371</v>
      </c>
      <c r="G13" s="73">
        <v>6391</v>
      </c>
      <c r="H13" s="98">
        <v>203</v>
      </c>
      <c r="I13" s="73">
        <v>2952</v>
      </c>
      <c r="J13" s="73">
        <v>2660</v>
      </c>
      <c r="K13" s="73">
        <v>4882</v>
      </c>
      <c r="L13" s="73">
        <v>2004</v>
      </c>
      <c r="M13" s="12">
        <v>9470</v>
      </c>
      <c r="N13" s="13">
        <v>520</v>
      </c>
      <c r="O13" s="14">
        <v>2414</v>
      </c>
      <c r="P13" s="73">
        <v>19424</v>
      </c>
      <c r="Q13" s="73">
        <v>6314</v>
      </c>
      <c r="R13" s="98">
        <v>203</v>
      </c>
      <c r="S13" s="73">
        <v>2953</v>
      </c>
      <c r="T13" s="73">
        <v>2440</v>
      </c>
      <c r="U13" s="73">
        <v>4647</v>
      </c>
      <c r="V13" s="73">
        <v>2383</v>
      </c>
      <c r="W13" s="6">
        <v>8476</v>
      </c>
      <c r="X13" s="14">
        <v>526</v>
      </c>
      <c r="Y13" s="14">
        <v>2306</v>
      </c>
      <c r="Z13" s="73">
        <v>18479</v>
      </c>
      <c r="AA13" s="119">
        <v>5784</v>
      </c>
      <c r="AB13" s="98"/>
      <c r="AC13" s="73">
        <v>2692</v>
      </c>
      <c r="AD13" s="73">
        <v>2052</v>
      </c>
      <c r="AE13" s="73">
        <v>4384</v>
      </c>
      <c r="AF13" s="73">
        <v>2040</v>
      </c>
      <c r="AG13" s="19">
        <v>8477.880000000001</v>
      </c>
      <c r="AH13" s="20">
        <v>840.06931821012836</v>
      </c>
      <c r="AI13" s="14">
        <v>3994.6831899922554</v>
      </c>
      <c r="AJ13" s="73">
        <v>17999</v>
      </c>
      <c r="AK13" s="98"/>
      <c r="AL13" s="98">
        <v>203</v>
      </c>
      <c r="AM13" s="73">
        <v>2814</v>
      </c>
      <c r="AN13" s="73">
        <v>1829</v>
      </c>
      <c r="AO13" s="73">
        <v>4775</v>
      </c>
      <c r="AP13" s="73">
        <v>1894</v>
      </c>
      <c r="AQ13" s="19">
        <v>7945.4</v>
      </c>
      <c r="AR13" s="14">
        <v>496.76491730965898</v>
      </c>
      <c r="AS13" s="14">
        <v>2604.0551091899997</v>
      </c>
      <c r="AT13" s="73">
        <v>16612</v>
      </c>
      <c r="AU13" s="111">
        <v>5352</v>
      </c>
      <c r="AV13" s="112"/>
      <c r="AW13" s="111">
        <v>2594</v>
      </c>
      <c r="AX13" s="73">
        <v>1675</v>
      </c>
      <c r="AY13" s="73">
        <v>5242</v>
      </c>
      <c r="AZ13" s="73">
        <v>1028</v>
      </c>
      <c r="BA13" s="19">
        <v>9811</v>
      </c>
      <c r="BB13" s="14">
        <v>523</v>
      </c>
      <c r="BC13" s="14">
        <v>2395</v>
      </c>
      <c r="BD13" s="73">
        <v>15569</v>
      </c>
      <c r="BE13" s="73">
        <v>4864</v>
      </c>
      <c r="BF13" s="98"/>
      <c r="BG13" s="73">
        <v>4947</v>
      </c>
      <c r="BH13" s="73">
        <v>1515</v>
      </c>
      <c r="BI13" s="73">
        <v>4919</v>
      </c>
      <c r="BJ13" s="73">
        <v>3377</v>
      </c>
      <c r="BK13" s="19">
        <v>9803</v>
      </c>
      <c r="BL13" s="14">
        <v>449</v>
      </c>
      <c r="BM13" s="14">
        <v>2193</v>
      </c>
      <c r="BN13" s="73">
        <v>15418</v>
      </c>
      <c r="BO13" s="73">
        <v>4815</v>
      </c>
      <c r="BP13" s="98"/>
      <c r="BQ13" s="73">
        <v>4988</v>
      </c>
      <c r="BR13" s="73">
        <v>1539</v>
      </c>
      <c r="BS13" s="73">
        <v>4888</v>
      </c>
      <c r="BT13" s="73">
        <v>3323</v>
      </c>
      <c r="BU13" s="19">
        <v>9764</v>
      </c>
      <c r="BV13" s="14">
        <v>455</v>
      </c>
      <c r="BW13" s="14">
        <v>2199</v>
      </c>
      <c r="BX13" s="73">
        <v>15209</v>
      </c>
      <c r="BY13" s="73">
        <v>4780</v>
      </c>
      <c r="BZ13" s="98"/>
      <c r="CA13" s="73">
        <v>4984</v>
      </c>
      <c r="CB13" s="73">
        <v>1579</v>
      </c>
      <c r="CC13" s="73">
        <v>4837</v>
      </c>
      <c r="CD13" s="73">
        <v>3349</v>
      </c>
    </row>
    <row r="14" spans="1:82" x14ac:dyDescent="0.35">
      <c r="A14" s="4">
        <v>13</v>
      </c>
      <c r="B14" s="9" t="s">
        <v>15</v>
      </c>
      <c r="C14" s="6">
        <v>7582.3089999999993</v>
      </c>
      <c r="D14" s="7">
        <v>708</v>
      </c>
      <c r="E14" s="8">
        <v>2414.270937856912</v>
      </c>
      <c r="F14" s="73">
        <v>7393</v>
      </c>
      <c r="G14" s="73">
        <v>7139</v>
      </c>
      <c r="H14" s="98"/>
      <c r="I14" s="98">
        <v>443</v>
      </c>
      <c r="J14" s="73">
        <v>2521</v>
      </c>
      <c r="K14" s="73">
        <v>3412</v>
      </c>
      <c r="L14" s="73">
        <v>1649</v>
      </c>
      <c r="M14" s="12">
        <v>7866</v>
      </c>
      <c r="N14" s="13">
        <v>736</v>
      </c>
      <c r="O14" s="14">
        <v>2232</v>
      </c>
      <c r="P14" s="73">
        <v>9426</v>
      </c>
      <c r="Q14" s="73">
        <v>7423</v>
      </c>
      <c r="R14" s="98"/>
      <c r="S14" s="98">
        <v>443</v>
      </c>
      <c r="T14" s="73">
        <v>2781</v>
      </c>
      <c r="U14" s="73">
        <v>3034</v>
      </c>
      <c r="V14" s="73">
        <v>2052</v>
      </c>
      <c r="W14" s="6">
        <v>8140</v>
      </c>
      <c r="X14" s="14">
        <v>746</v>
      </c>
      <c r="Y14" s="14">
        <v>2378</v>
      </c>
      <c r="Z14" s="73">
        <v>4979</v>
      </c>
      <c r="AA14" s="119">
        <v>7697</v>
      </c>
      <c r="AB14" s="98"/>
      <c r="AC14" s="98">
        <v>443</v>
      </c>
      <c r="AD14" s="73">
        <v>2891</v>
      </c>
      <c r="AE14" s="73">
        <v>3188</v>
      </c>
      <c r="AF14" s="73">
        <v>2061</v>
      </c>
      <c r="AG14" s="19">
        <v>7808.2299999999977</v>
      </c>
      <c r="AH14" s="20">
        <v>800.39811192127638</v>
      </c>
      <c r="AI14" s="14">
        <v>2593.5078286503649</v>
      </c>
      <c r="AJ14" s="73">
        <v>4930</v>
      </c>
      <c r="AK14" s="98"/>
      <c r="AL14" s="98"/>
      <c r="AM14" s="98">
        <v>443</v>
      </c>
      <c r="AN14" s="73">
        <v>2553</v>
      </c>
      <c r="AO14" s="73">
        <v>3240</v>
      </c>
      <c r="AP14" s="73">
        <v>2015</v>
      </c>
      <c r="AQ14" s="19">
        <v>8082.25</v>
      </c>
      <c r="AR14" s="14">
        <v>689.75548333474342</v>
      </c>
      <c r="AS14" s="14">
        <v>2771.81</v>
      </c>
      <c r="AT14" s="73">
        <v>7943</v>
      </c>
      <c r="AU14" s="111">
        <v>7634</v>
      </c>
      <c r="AV14" s="112"/>
      <c r="AW14" s="112">
        <v>448</v>
      </c>
      <c r="AX14" s="73">
        <v>2756</v>
      </c>
      <c r="AY14" s="73">
        <v>4019</v>
      </c>
      <c r="AZ14" s="73">
        <v>1308</v>
      </c>
      <c r="BA14" s="19">
        <v>8194</v>
      </c>
      <c r="BB14" s="14">
        <v>671</v>
      </c>
      <c r="BC14" s="14">
        <v>2694</v>
      </c>
      <c r="BD14" s="73">
        <v>7943</v>
      </c>
      <c r="BE14" s="73">
        <v>7792</v>
      </c>
      <c r="BF14" s="98"/>
      <c r="BG14" s="98">
        <v>403</v>
      </c>
      <c r="BH14" s="73">
        <v>2888</v>
      </c>
      <c r="BI14" s="73">
        <v>3997</v>
      </c>
      <c r="BJ14" s="73">
        <v>1310</v>
      </c>
      <c r="BK14" s="19">
        <v>7651</v>
      </c>
      <c r="BL14" s="14">
        <v>510</v>
      </c>
      <c r="BM14" s="14">
        <v>2001</v>
      </c>
      <c r="BN14" s="73">
        <v>7732</v>
      </c>
      <c r="BO14" s="73">
        <v>4815</v>
      </c>
      <c r="BP14" s="98"/>
      <c r="BQ14" s="98"/>
      <c r="BR14" s="73">
        <v>2420</v>
      </c>
      <c r="BS14" s="73">
        <v>3927</v>
      </c>
      <c r="BT14" s="73">
        <v>1268</v>
      </c>
      <c r="BU14" s="19">
        <v>7651</v>
      </c>
      <c r="BV14" s="14">
        <v>591</v>
      </c>
      <c r="BW14" s="14">
        <v>2044</v>
      </c>
      <c r="BX14" s="73">
        <v>7739</v>
      </c>
      <c r="BY14" s="73">
        <v>7615</v>
      </c>
      <c r="BZ14" s="98"/>
      <c r="CA14" s="98"/>
      <c r="CB14" s="73">
        <v>2353</v>
      </c>
      <c r="CC14" s="73">
        <v>3940</v>
      </c>
      <c r="CD14" s="73">
        <v>1322</v>
      </c>
    </row>
    <row r="15" spans="1:82" x14ac:dyDescent="0.35">
      <c r="A15" s="4">
        <v>14</v>
      </c>
      <c r="B15" s="9" t="s">
        <v>16</v>
      </c>
      <c r="C15" s="6">
        <v>7572.3810000000012</v>
      </c>
      <c r="D15" s="7">
        <v>604</v>
      </c>
      <c r="E15" s="8">
        <v>1924.5350729521847</v>
      </c>
      <c r="F15" s="73">
        <v>26381</v>
      </c>
      <c r="G15" s="73">
        <v>6582</v>
      </c>
      <c r="H15" s="98">
        <v>6</v>
      </c>
      <c r="I15" s="98">
        <v>985</v>
      </c>
      <c r="J15" s="73">
        <v>3315</v>
      </c>
      <c r="K15" s="73">
        <v>3188</v>
      </c>
      <c r="L15" s="73">
        <v>1069</v>
      </c>
      <c r="M15" s="12">
        <v>7613</v>
      </c>
      <c r="N15" s="13">
        <v>587</v>
      </c>
      <c r="O15" s="14">
        <v>1810</v>
      </c>
      <c r="P15" s="73">
        <v>26503</v>
      </c>
      <c r="Q15" s="73">
        <v>6622</v>
      </c>
      <c r="R15" s="98">
        <v>6</v>
      </c>
      <c r="S15" s="98">
        <v>985</v>
      </c>
      <c r="T15" s="73">
        <v>3193</v>
      </c>
      <c r="U15" s="73">
        <v>3081</v>
      </c>
      <c r="V15" s="73">
        <v>1338</v>
      </c>
      <c r="W15" s="6">
        <v>7292</v>
      </c>
      <c r="X15" s="14">
        <v>487</v>
      </c>
      <c r="Y15" s="14">
        <v>1604</v>
      </c>
      <c r="Z15" s="73">
        <v>23833</v>
      </c>
      <c r="AA15" s="119">
        <v>6299</v>
      </c>
      <c r="AB15" s="98">
        <v>106</v>
      </c>
      <c r="AC15" s="98">
        <v>887</v>
      </c>
      <c r="AD15" s="73">
        <v>2789</v>
      </c>
      <c r="AE15" s="73">
        <v>3292</v>
      </c>
      <c r="AF15" s="73">
        <v>1211</v>
      </c>
      <c r="AG15" s="19">
        <v>7410.01</v>
      </c>
      <c r="AH15" s="20">
        <v>618.15561246468405</v>
      </c>
      <c r="AI15" s="14">
        <v>2107.6200965347166</v>
      </c>
      <c r="AJ15" s="73">
        <v>22349</v>
      </c>
      <c r="AK15" s="98"/>
      <c r="AL15" s="98">
        <v>106</v>
      </c>
      <c r="AM15" s="98">
        <v>986</v>
      </c>
      <c r="AN15" s="73">
        <v>2612</v>
      </c>
      <c r="AO15" s="73">
        <v>3410</v>
      </c>
      <c r="AP15" s="73">
        <v>1389</v>
      </c>
      <c r="AQ15" s="19">
        <v>7099.2278838883885</v>
      </c>
      <c r="AR15" s="14">
        <v>490.29159547728244</v>
      </c>
      <c r="AS15" s="14">
        <v>2066.6816239914624</v>
      </c>
      <c r="AT15" s="73">
        <v>20208</v>
      </c>
      <c r="AU15" s="111">
        <v>6246</v>
      </c>
      <c r="AV15" s="112">
        <v>4</v>
      </c>
      <c r="AW15" s="112">
        <v>849</v>
      </c>
      <c r="AX15" s="73">
        <v>2549</v>
      </c>
      <c r="AY15" s="73">
        <v>4215</v>
      </c>
      <c r="AZ15" s="98">
        <v>335</v>
      </c>
      <c r="BA15" s="19">
        <v>6614</v>
      </c>
      <c r="BB15" s="14">
        <v>505</v>
      </c>
      <c r="BC15" s="14">
        <v>2169</v>
      </c>
      <c r="BD15" s="73">
        <v>19998</v>
      </c>
      <c r="BE15" s="73">
        <v>6128</v>
      </c>
      <c r="BF15" s="98">
        <v>2</v>
      </c>
      <c r="BG15" s="98">
        <v>485</v>
      </c>
      <c r="BH15" s="73">
        <v>2211</v>
      </c>
      <c r="BI15" s="73">
        <v>4018</v>
      </c>
      <c r="BJ15" s="73">
        <v>385</v>
      </c>
      <c r="BK15" s="19">
        <v>6481</v>
      </c>
      <c r="BL15" s="14">
        <v>387</v>
      </c>
      <c r="BM15" s="14">
        <v>1594</v>
      </c>
      <c r="BN15" s="73">
        <v>18761</v>
      </c>
      <c r="BO15" s="73">
        <v>5655</v>
      </c>
      <c r="BP15" s="98">
        <v>36</v>
      </c>
      <c r="BQ15" s="98">
        <v>790</v>
      </c>
      <c r="BR15" s="73">
        <v>1979</v>
      </c>
      <c r="BS15" s="73">
        <v>4121</v>
      </c>
      <c r="BT15" s="98">
        <v>380</v>
      </c>
      <c r="BU15" s="19">
        <v>6008</v>
      </c>
      <c r="BV15" s="14">
        <v>369</v>
      </c>
      <c r="BW15" s="14">
        <v>1428</v>
      </c>
      <c r="BX15" s="73">
        <v>16633</v>
      </c>
      <c r="BY15" s="73">
        <v>5182</v>
      </c>
      <c r="BZ15" s="98">
        <v>36</v>
      </c>
      <c r="CA15" s="98">
        <v>790</v>
      </c>
      <c r="CB15" s="73">
        <v>1767</v>
      </c>
      <c r="CC15" s="73">
        <v>3874</v>
      </c>
      <c r="CD15" s="98">
        <v>366</v>
      </c>
    </row>
    <row r="16" spans="1:82" x14ac:dyDescent="0.35">
      <c r="A16" s="4">
        <v>15</v>
      </c>
      <c r="B16" s="9" t="s">
        <v>17</v>
      </c>
      <c r="C16" s="6">
        <v>5087.95</v>
      </c>
      <c r="D16" s="7">
        <v>406</v>
      </c>
      <c r="E16" s="8">
        <v>1038.625283811183</v>
      </c>
      <c r="F16" s="73">
        <v>27864</v>
      </c>
      <c r="G16" s="73">
        <v>5088</v>
      </c>
      <c r="H16" s="98"/>
      <c r="I16" s="98"/>
      <c r="J16" s="73">
        <v>2179</v>
      </c>
      <c r="K16" s="73">
        <v>2559</v>
      </c>
      <c r="L16" s="73">
        <v>350</v>
      </c>
      <c r="M16" s="12">
        <v>5156</v>
      </c>
      <c r="N16" s="13">
        <v>514</v>
      </c>
      <c r="O16" s="14">
        <v>1121</v>
      </c>
      <c r="P16" s="73">
        <v>28262</v>
      </c>
      <c r="Q16" s="73">
        <v>5516</v>
      </c>
      <c r="R16" s="98"/>
      <c r="S16" s="98"/>
      <c r="T16" s="73">
        <v>1913</v>
      </c>
      <c r="U16" s="73">
        <v>2180</v>
      </c>
      <c r="V16" s="73">
        <v>1063</v>
      </c>
      <c r="W16" s="6">
        <v>5161</v>
      </c>
      <c r="X16" s="14">
        <v>507</v>
      </c>
      <c r="Y16" s="14">
        <v>1191</v>
      </c>
      <c r="Z16" s="73">
        <v>28271</v>
      </c>
      <c r="AA16" s="119">
        <v>5161</v>
      </c>
      <c r="AB16" s="98"/>
      <c r="AC16" s="98"/>
      <c r="AD16" s="73">
        <v>1855</v>
      </c>
      <c r="AE16" s="73">
        <v>2350</v>
      </c>
      <c r="AF16" s="73">
        <v>956</v>
      </c>
      <c r="AG16" s="19">
        <v>5151.95</v>
      </c>
      <c r="AH16" s="20">
        <v>517.38774802017622</v>
      </c>
      <c r="AI16" s="14">
        <v>1237.8537759178471</v>
      </c>
      <c r="AJ16" s="73">
        <v>28295</v>
      </c>
      <c r="AK16" s="98"/>
      <c r="AL16" s="98"/>
      <c r="AM16" s="98"/>
      <c r="AN16" s="73">
        <v>1882</v>
      </c>
      <c r="AO16" s="73">
        <v>2393</v>
      </c>
      <c r="AP16" s="73">
        <v>938</v>
      </c>
      <c r="AQ16" s="19">
        <v>5164.41</v>
      </c>
      <c r="AR16" s="14">
        <v>554.54195763737516</v>
      </c>
      <c r="AS16" s="14">
        <v>1773.22</v>
      </c>
      <c r="AT16" s="73">
        <v>28310</v>
      </c>
      <c r="AU16" s="111">
        <v>5164</v>
      </c>
      <c r="AV16" s="112"/>
      <c r="AW16" s="112"/>
      <c r="AX16" s="73">
        <v>1816</v>
      </c>
      <c r="AY16" s="73">
        <v>3198</v>
      </c>
      <c r="AZ16" s="98">
        <v>151</v>
      </c>
      <c r="BA16" s="73">
        <v>5281</v>
      </c>
      <c r="BB16" s="14">
        <v>574</v>
      </c>
      <c r="BC16" s="14">
        <v>1851</v>
      </c>
      <c r="BD16" s="73">
        <v>28267</v>
      </c>
      <c r="BE16" s="73">
        <v>5281</v>
      </c>
      <c r="BF16" s="98"/>
      <c r="BG16" s="98"/>
      <c r="BH16" s="73">
        <v>1315</v>
      </c>
      <c r="BI16" s="73">
        <v>3143</v>
      </c>
      <c r="BJ16" s="73">
        <v>822</v>
      </c>
      <c r="BK16" s="19">
        <v>5110</v>
      </c>
      <c r="BL16" s="14">
        <v>564</v>
      </c>
      <c r="BM16" s="14">
        <v>1894</v>
      </c>
      <c r="BN16" s="73">
        <v>27247</v>
      </c>
      <c r="BO16" s="73">
        <v>5110</v>
      </c>
      <c r="BP16" s="98"/>
      <c r="BQ16" s="98"/>
      <c r="BR16" s="98">
        <v>994</v>
      </c>
      <c r="BS16" s="73">
        <v>3361</v>
      </c>
      <c r="BT16" s="98">
        <v>755</v>
      </c>
      <c r="BU16" s="19">
        <v>5249</v>
      </c>
      <c r="BV16" s="14">
        <v>583</v>
      </c>
      <c r="BW16" s="14">
        <v>1991</v>
      </c>
      <c r="BX16" s="73">
        <v>27925</v>
      </c>
      <c r="BY16" s="73">
        <v>5249</v>
      </c>
      <c r="BZ16" s="98"/>
      <c r="CA16" s="98"/>
      <c r="CB16" s="98">
        <v>991</v>
      </c>
      <c r="CC16" s="73">
        <v>3416</v>
      </c>
      <c r="CD16" s="98">
        <v>842</v>
      </c>
    </row>
    <row r="17" spans="1:82" x14ac:dyDescent="0.35">
      <c r="A17" s="4">
        <v>16</v>
      </c>
      <c r="B17" s="9" t="s">
        <v>18</v>
      </c>
      <c r="C17" s="6">
        <v>51071.79</v>
      </c>
      <c r="D17" s="7">
        <v>854</v>
      </c>
      <c r="E17" s="8">
        <v>24870.684915584476</v>
      </c>
      <c r="F17" s="73">
        <v>83995</v>
      </c>
      <c r="G17" s="73">
        <v>35680</v>
      </c>
      <c r="H17" s="73">
        <v>12313</v>
      </c>
      <c r="I17" s="73">
        <v>3079</v>
      </c>
      <c r="J17" s="73">
        <v>13730</v>
      </c>
      <c r="K17" s="73">
        <v>29137</v>
      </c>
      <c r="L17" s="73">
        <v>8204</v>
      </c>
      <c r="M17" s="12">
        <v>54211</v>
      </c>
      <c r="N17" s="13">
        <v>825</v>
      </c>
      <c r="O17" s="14">
        <v>24803</v>
      </c>
      <c r="P17" s="73">
        <v>88924</v>
      </c>
      <c r="Q17" s="73">
        <v>38132</v>
      </c>
      <c r="R17" s="73">
        <v>12313</v>
      </c>
      <c r="S17" s="73">
        <v>3766</v>
      </c>
      <c r="T17" s="73">
        <v>14880</v>
      </c>
      <c r="U17" s="73">
        <v>30060</v>
      </c>
      <c r="V17" s="73">
        <v>9272</v>
      </c>
      <c r="W17" s="6">
        <v>57877</v>
      </c>
      <c r="X17" s="14">
        <v>910</v>
      </c>
      <c r="Y17" s="14">
        <v>27384</v>
      </c>
      <c r="Z17" s="73">
        <v>96799</v>
      </c>
      <c r="AA17" s="119">
        <v>40957</v>
      </c>
      <c r="AB17" s="73">
        <v>12313</v>
      </c>
      <c r="AC17" s="73">
        <v>4607</v>
      </c>
      <c r="AD17" s="73">
        <v>15106</v>
      </c>
      <c r="AE17" s="73">
        <v>30082</v>
      </c>
      <c r="AF17" s="73">
        <v>12689</v>
      </c>
      <c r="AG17" s="19">
        <v>58019.46</v>
      </c>
      <c r="AH17" s="20">
        <v>885.52966966453869</v>
      </c>
      <c r="AI17" s="14">
        <v>28214.437570626473</v>
      </c>
      <c r="AJ17" s="73">
        <v>97167</v>
      </c>
      <c r="AK17" s="98"/>
      <c r="AL17" s="73">
        <v>12229</v>
      </c>
      <c r="AM17" s="73">
        <v>4583</v>
      </c>
      <c r="AN17" s="73">
        <v>12441</v>
      </c>
      <c r="AO17" s="73">
        <v>31862</v>
      </c>
      <c r="AP17" s="73">
        <v>13717</v>
      </c>
      <c r="AQ17" s="19">
        <v>54637.91</v>
      </c>
      <c r="AR17" s="14">
        <v>785.71195797404653</v>
      </c>
      <c r="AS17" s="14">
        <v>30137.75</v>
      </c>
      <c r="AT17" s="73">
        <v>95375</v>
      </c>
      <c r="AU17" s="111">
        <v>40690</v>
      </c>
      <c r="AV17" s="111">
        <v>10318</v>
      </c>
      <c r="AW17" s="111">
        <v>3630</v>
      </c>
      <c r="AX17" s="73">
        <v>10031</v>
      </c>
      <c r="AY17" s="73">
        <v>38357</v>
      </c>
      <c r="AZ17" s="73">
        <v>6250</v>
      </c>
      <c r="BA17" s="19">
        <v>48686</v>
      </c>
      <c r="BB17" s="14">
        <v>797</v>
      </c>
      <c r="BC17" s="14">
        <v>30950</v>
      </c>
      <c r="BD17" s="73">
        <v>92730</v>
      </c>
      <c r="BE17" s="73">
        <v>40059</v>
      </c>
      <c r="BF17" s="73">
        <v>5429</v>
      </c>
      <c r="BG17" s="73">
        <v>3197</v>
      </c>
      <c r="BH17" s="73">
        <v>9023</v>
      </c>
      <c r="BI17" s="73">
        <v>33554</v>
      </c>
      <c r="BJ17" s="73">
        <v>6108</v>
      </c>
      <c r="BK17" s="19">
        <v>45623</v>
      </c>
      <c r="BL17" s="14">
        <v>711</v>
      </c>
      <c r="BM17" s="14">
        <v>22105</v>
      </c>
      <c r="BN17" s="73">
        <v>90736</v>
      </c>
      <c r="BO17" s="73">
        <v>38678</v>
      </c>
      <c r="BP17" s="73">
        <v>4765</v>
      </c>
      <c r="BQ17" s="73">
        <v>2181</v>
      </c>
      <c r="BR17" s="73">
        <v>8914</v>
      </c>
      <c r="BS17" s="73">
        <v>31111</v>
      </c>
      <c r="BT17" s="73">
        <v>5599</v>
      </c>
      <c r="BU17" s="19">
        <v>41485</v>
      </c>
      <c r="BV17" s="14">
        <v>773</v>
      </c>
      <c r="BW17" s="14">
        <v>21753</v>
      </c>
      <c r="BX17" s="73">
        <v>91064</v>
      </c>
      <c r="BY17" s="73">
        <v>38809</v>
      </c>
      <c r="BZ17" s="98">
        <v>600</v>
      </c>
      <c r="CA17" s="73">
        <v>2077</v>
      </c>
      <c r="CB17" s="73">
        <v>7508</v>
      </c>
      <c r="CC17" s="73">
        <v>28158</v>
      </c>
      <c r="CD17" s="73">
        <v>5820</v>
      </c>
    </row>
    <row r="18" spans="1:82" x14ac:dyDescent="0.35">
      <c r="A18" s="4">
        <v>17</v>
      </c>
      <c r="B18" s="9" t="s">
        <v>19</v>
      </c>
      <c r="C18" s="6">
        <v>14484.4</v>
      </c>
      <c r="D18" s="7">
        <v>641</v>
      </c>
      <c r="E18" s="8">
        <v>4960.4848241524096</v>
      </c>
      <c r="F18" s="73">
        <v>57987</v>
      </c>
      <c r="G18" s="73">
        <v>14470</v>
      </c>
      <c r="H18" s="98">
        <v>14</v>
      </c>
      <c r="I18" s="98"/>
      <c r="J18" s="73">
        <v>3064</v>
      </c>
      <c r="K18" s="73">
        <v>7738</v>
      </c>
      <c r="L18" s="73">
        <v>3682</v>
      </c>
      <c r="M18" s="12">
        <v>14487</v>
      </c>
      <c r="N18" s="13">
        <v>625</v>
      </c>
      <c r="O18" s="14">
        <v>4345</v>
      </c>
      <c r="P18" s="73">
        <v>57987</v>
      </c>
      <c r="Q18" s="73">
        <v>14473</v>
      </c>
      <c r="R18" s="98">
        <v>14</v>
      </c>
      <c r="S18" s="98"/>
      <c r="T18" s="73">
        <v>2498</v>
      </c>
      <c r="U18" s="73">
        <v>6948</v>
      </c>
      <c r="V18" s="73">
        <v>5041</v>
      </c>
      <c r="W18" s="6">
        <v>14187</v>
      </c>
      <c r="X18" s="14">
        <v>620</v>
      </c>
      <c r="Y18" s="14">
        <v>4616</v>
      </c>
      <c r="Z18" s="73">
        <v>56599</v>
      </c>
      <c r="AA18" s="119">
        <v>14141</v>
      </c>
      <c r="AB18" s="98"/>
      <c r="AC18" s="98">
        <v>46</v>
      </c>
      <c r="AD18" s="73">
        <v>2242</v>
      </c>
      <c r="AE18" s="73">
        <v>7442</v>
      </c>
      <c r="AF18" s="73">
        <v>4503</v>
      </c>
      <c r="AG18" s="19">
        <v>14033.940720000001</v>
      </c>
      <c r="AH18" s="20">
        <v>478.22127883319075</v>
      </c>
      <c r="AI18" s="14">
        <v>3596.066678745005</v>
      </c>
      <c r="AJ18" s="73">
        <v>55838</v>
      </c>
      <c r="AK18" s="98"/>
      <c r="AL18" s="98">
        <v>32</v>
      </c>
      <c r="AM18" s="98"/>
      <c r="AN18" s="73">
        <v>2029</v>
      </c>
      <c r="AO18" s="73">
        <v>7520</v>
      </c>
      <c r="AP18" s="73">
        <v>4485</v>
      </c>
      <c r="AQ18" s="19">
        <v>13954.10072</v>
      </c>
      <c r="AR18" s="14">
        <v>464.17603992950831</v>
      </c>
      <c r="AS18" s="14">
        <v>4709.4744000000001</v>
      </c>
      <c r="AT18" s="73">
        <v>55903</v>
      </c>
      <c r="AU18" s="111">
        <v>13931</v>
      </c>
      <c r="AV18" s="112">
        <v>9</v>
      </c>
      <c r="AW18" s="112">
        <v>14</v>
      </c>
      <c r="AX18" s="73">
        <v>1673</v>
      </c>
      <c r="AY18" s="73">
        <v>10146</v>
      </c>
      <c r="AZ18" s="73">
        <v>2135</v>
      </c>
      <c r="BA18" s="19">
        <v>13950</v>
      </c>
      <c r="BB18" s="14">
        <v>481</v>
      </c>
      <c r="BC18" s="14">
        <v>4955</v>
      </c>
      <c r="BD18" s="73">
        <v>55499</v>
      </c>
      <c r="BE18" s="73">
        <v>13881</v>
      </c>
      <c r="BF18" s="98">
        <v>15</v>
      </c>
      <c r="BG18" s="98">
        <v>13</v>
      </c>
      <c r="BH18" s="73">
        <v>1459</v>
      </c>
      <c r="BI18" s="73">
        <v>10256</v>
      </c>
      <c r="BJ18" s="73">
        <v>2194</v>
      </c>
      <c r="BK18" s="19">
        <v>13844</v>
      </c>
      <c r="BL18" s="14">
        <v>487</v>
      </c>
      <c r="BM18" s="14">
        <v>4986</v>
      </c>
      <c r="BN18" s="73">
        <v>55359</v>
      </c>
      <c r="BO18" s="73">
        <v>13821</v>
      </c>
      <c r="BP18" s="98">
        <v>9</v>
      </c>
      <c r="BQ18" s="98">
        <v>14</v>
      </c>
      <c r="BR18" s="73">
        <v>1375</v>
      </c>
      <c r="BS18" s="73">
        <v>10244</v>
      </c>
      <c r="BT18" s="73">
        <v>2225</v>
      </c>
      <c r="BU18" s="19">
        <v>13908</v>
      </c>
      <c r="BV18" s="14">
        <v>474</v>
      </c>
      <c r="BW18" s="14">
        <v>4880</v>
      </c>
      <c r="BX18" s="73">
        <v>55856</v>
      </c>
      <c r="BY18" s="73">
        <v>13876</v>
      </c>
      <c r="BZ18" s="98">
        <v>18</v>
      </c>
      <c r="CA18" s="98">
        <v>14</v>
      </c>
      <c r="CB18" s="73">
        <v>1264</v>
      </c>
      <c r="CC18" s="73">
        <v>10290</v>
      </c>
      <c r="CD18" s="73">
        <v>2354</v>
      </c>
    </row>
    <row r="19" spans="1:82" x14ac:dyDescent="0.35">
      <c r="A19" s="4">
        <v>18</v>
      </c>
      <c r="B19" s="9" t="s">
        <v>20</v>
      </c>
      <c r="C19" s="6">
        <v>7992.9800000000014</v>
      </c>
      <c r="D19" s="7">
        <v>442</v>
      </c>
      <c r="E19" s="8">
        <v>1351.6722832313601</v>
      </c>
      <c r="F19" s="73">
        <v>9802</v>
      </c>
      <c r="G19" s="73">
        <v>7993</v>
      </c>
      <c r="H19" s="98"/>
      <c r="I19" s="98"/>
      <c r="J19" s="73">
        <v>3055</v>
      </c>
      <c r="K19" s="73">
        <v>3058</v>
      </c>
      <c r="L19" s="73">
        <v>1880</v>
      </c>
      <c r="M19" s="12">
        <v>8152</v>
      </c>
      <c r="N19" s="13">
        <v>466</v>
      </c>
      <c r="O19" s="14">
        <v>1352</v>
      </c>
      <c r="P19" s="73">
        <v>9669</v>
      </c>
      <c r="Q19" s="73">
        <v>8152</v>
      </c>
      <c r="R19" s="98"/>
      <c r="S19" s="98"/>
      <c r="T19" s="73">
        <v>2929</v>
      </c>
      <c r="U19" s="73">
        <v>2901</v>
      </c>
      <c r="V19" s="73">
        <v>2321</v>
      </c>
      <c r="W19" s="6">
        <v>8388</v>
      </c>
      <c r="X19" s="14">
        <v>491</v>
      </c>
      <c r="Y19" s="14">
        <v>1562</v>
      </c>
      <c r="Z19" s="73">
        <v>9517</v>
      </c>
      <c r="AA19" s="119">
        <v>8388</v>
      </c>
      <c r="AB19" s="98"/>
      <c r="AC19" s="98"/>
      <c r="AD19" s="73">
        <v>3172</v>
      </c>
      <c r="AE19" s="73">
        <v>3183</v>
      </c>
      <c r="AF19" s="73">
        <v>2044</v>
      </c>
      <c r="AG19" s="19">
        <v>7656.51</v>
      </c>
      <c r="AH19" s="20">
        <v>530.46783893752138</v>
      </c>
      <c r="AI19" s="14">
        <v>1544.3484167518809</v>
      </c>
      <c r="AJ19" s="73">
        <v>8363</v>
      </c>
      <c r="AK19" s="19">
        <v>7656.51</v>
      </c>
      <c r="AL19" s="98"/>
      <c r="AM19" s="98"/>
      <c r="AN19" s="73">
        <v>2829</v>
      </c>
      <c r="AO19" s="73">
        <v>2911</v>
      </c>
      <c r="AP19" s="73">
        <v>1917</v>
      </c>
      <c r="AQ19" s="19">
        <v>7763.94</v>
      </c>
      <c r="AR19" s="14">
        <v>471.44861932752457</v>
      </c>
      <c r="AS19" s="14">
        <v>1995.51</v>
      </c>
      <c r="AT19" s="73">
        <v>8131</v>
      </c>
      <c r="AU19" s="111">
        <v>7764</v>
      </c>
      <c r="AV19" s="112"/>
      <c r="AW19" s="112"/>
      <c r="AX19" s="73">
        <v>2331</v>
      </c>
      <c r="AY19" s="73">
        <v>4223</v>
      </c>
      <c r="AZ19" s="73">
        <v>1200</v>
      </c>
      <c r="BA19" s="19">
        <v>8008</v>
      </c>
      <c r="BB19" s="14">
        <v>470</v>
      </c>
      <c r="BC19" s="14">
        <v>2219</v>
      </c>
      <c r="BD19" s="73">
        <v>8505</v>
      </c>
      <c r="BE19" s="73">
        <v>7996</v>
      </c>
      <c r="BF19" s="98"/>
      <c r="BG19" s="98"/>
      <c r="BH19" s="73">
        <v>2090</v>
      </c>
      <c r="BI19" s="73">
        <v>4787</v>
      </c>
      <c r="BJ19" s="73">
        <v>1119</v>
      </c>
      <c r="BK19" s="19">
        <v>7929</v>
      </c>
      <c r="BL19" s="14">
        <v>542</v>
      </c>
      <c r="BM19" s="14">
        <v>2566</v>
      </c>
      <c r="BN19" s="73">
        <v>8500</v>
      </c>
      <c r="BO19" s="73">
        <v>7929</v>
      </c>
      <c r="BP19" s="98"/>
      <c r="BQ19" s="98"/>
      <c r="BR19" s="73">
        <v>2005</v>
      </c>
      <c r="BS19" s="73">
        <v>4733</v>
      </c>
      <c r="BT19" s="73">
        <v>1190</v>
      </c>
      <c r="BU19" s="19">
        <v>7831</v>
      </c>
      <c r="BV19" s="14">
        <v>532</v>
      </c>
      <c r="BW19" s="14">
        <v>2524</v>
      </c>
      <c r="BX19" s="73">
        <v>8288</v>
      </c>
      <c r="BY19" s="73">
        <v>7831</v>
      </c>
      <c r="BZ19" s="98"/>
      <c r="CA19" s="98"/>
      <c r="CB19" s="73">
        <v>1944</v>
      </c>
      <c r="CC19" s="73">
        <v>4746</v>
      </c>
      <c r="CD19" s="73">
        <v>1141</v>
      </c>
    </row>
    <row r="20" spans="1:82" x14ac:dyDescent="0.35">
      <c r="A20" s="4">
        <v>19</v>
      </c>
      <c r="B20" s="9" t="s">
        <v>21</v>
      </c>
      <c r="C20" s="6">
        <v>52520.3</v>
      </c>
      <c r="D20" s="7">
        <v>584</v>
      </c>
      <c r="E20" s="8">
        <v>11580.876449244062</v>
      </c>
      <c r="F20" s="73">
        <v>78594</v>
      </c>
      <c r="G20" s="73">
        <v>52147</v>
      </c>
      <c r="H20" s="98"/>
      <c r="I20" s="98">
        <v>373</v>
      </c>
      <c r="J20" s="73">
        <v>22100</v>
      </c>
      <c r="K20" s="73">
        <v>19832</v>
      </c>
      <c r="L20" s="73">
        <v>10588</v>
      </c>
      <c r="M20" s="12">
        <v>53903</v>
      </c>
      <c r="N20" s="13">
        <v>646</v>
      </c>
      <c r="O20" s="14">
        <v>12863</v>
      </c>
      <c r="P20" s="73">
        <v>82911</v>
      </c>
      <c r="Q20" s="73">
        <v>53530</v>
      </c>
      <c r="R20" s="98"/>
      <c r="S20" s="98">
        <v>373</v>
      </c>
      <c r="T20" s="73">
        <v>21079</v>
      </c>
      <c r="U20" s="73">
        <v>19921</v>
      </c>
      <c r="V20" s="73">
        <v>12903</v>
      </c>
      <c r="W20" s="6">
        <v>57651</v>
      </c>
      <c r="X20" s="14">
        <v>636</v>
      </c>
      <c r="Y20" s="14">
        <v>14553</v>
      </c>
      <c r="Z20" s="73">
        <v>84689</v>
      </c>
      <c r="AA20" s="119">
        <v>56576</v>
      </c>
      <c r="AB20" s="98"/>
      <c r="AC20" s="73">
        <v>1075</v>
      </c>
      <c r="AD20" s="73">
        <v>21317</v>
      </c>
      <c r="AE20" s="73">
        <v>22873</v>
      </c>
      <c r="AF20" s="73">
        <v>13461</v>
      </c>
      <c r="AG20" s="19">
        <v>57838.25</v>
      </c>
      <c r="AH20" s="20">
        <v>627.04158431906512</v>
      </c>
      <c r="AI20" s="14">
        <v>13762.999999999998</v>
      </c>
      <c r="AJ20" s="73">
        <v>87876</v>
      </c>
      <c r="AK20" s="98"/>
      <c r="AL20" s="98"/>
      <c r="AM20" s="73">
        <v>1175</v>
      </c>
      <c r="AN20" s="73">
        <v>22586</v>
      </c>
      <c r="AO20" s="73">
        <v>21949</v>
      </c>
      <c r="AP20" s="73">
        <v>13303</v>
      </c>
      <c r="AQ20" s="19">
        <v>61890.03</v>
      </c>
      <c r="AR20" s="14">
        <v>624.46814897081674</v>
      </c>
      <c r="AS20" s="14">
        <v>19972.14</v>
      </c>
      <c r="AT20" s="73">
        <v>98232</v>
      </c>
      <c r="AU20" s="111">
        <v>61531</v>
      </c>
      <c r="AV20" s="112"/>
      <c r="AW20" s="112">
        <v>377</v>
      </c>
      <c r="AX20" s="73">
        <v>25578</v>
      </c>
      <c r="AY20" s="73">
        <v>31983</v>
      </c>
      <c r="AZ20" s="73">
        <v>4330</v>
      </c>
      <c r="BA20" s="19">
        <v>62484</v>
      </c>
      <c r="BB20" s="14">
        <v>625</v>
      </c>
      <c r="BC20" s="14">
        <v>20016</v>
      </c>
      <c r="BD20" s="73">
        <v>97031</v>
      </c>
      <c r="BE20" s="73">
        <v>61427</v>
      </c>
      <c r="BF20" s="98"/>
      <c r="BG20" s="98">
        <v>373</v>
      </c>
      <c r="BH20" s="73">
        <v>25178</v>
      </c>
      <c r="BI20" s="73">
        <v>32314</v>
      </c>
      <c r="BJ20" s="73">
        <v>4308</v>
      </c>
      <c r="BK20" s="19">
        <v>64149</v>
      </c>
      <c r="BL20" s="14">
        <v>596</v>
      </c>
      <c r="BM20" s="14">
        <v>20726</v>
      </c>
      <c r="BN20" s="73">
        <v>98347</v>
      </c>
      <c r="BO20" s="73">
        <v>62145</v>
      </c>
      <c r="BP20" s="98"/>
      <c r="BQ20" s="98">
        <v>241</v>
      </c>
      <c r="BR20" s="73">
        <v>24686</v>
      </c>
      <c r="BS20" s="73">
        <v>34756</v>
      </c>
      <c r="BT20" s="73">
        <v>4707</v>
      </c>
      <c r="BU20" s="19">
        <v>63939</v>
      </c>
      <c r="BV20" s="14">
        <v>599</v>
      </c>
      <c r="BW20" s="14">
        <v>20803</v>
      </c>
      <c r="BX20" s="73">
        <v>98513</v>
      </c>
      <c r="BY20" s="73">
        <v>61936</v>
      </c>
      <c r="BZ20" s="98"/>
      <c r="CA20" s="73">
        <v>2004</v>
      </c>
      <c r="CB20" s="73">
        <v>24490</v>
      </c>
      <c r="CC20" s="73">
        <v>34745</v>
      </c>
      <c r="CD20" s="73">
        <v>4705</v>
      </c>
    </row>
    <row r="21" spans="1:82" x14ac:dyDescent="0.35">
      <c r="A21" s="4">
        <v>20</v>
      </c>
      <c r="B21" s="9" t="s">
        <v>22</v>
      </c>
      <c r="C21" s="6">
        <v>11477</v>
      </c>
      <c r="D21" s="7">
        <v>551</v>
      </c>
      <c r="E21" s="8">
        <v>2007.1655309522541</v>
      </c>
      <c r="F21" s="73">
        <v>12320</v>
      </c>
      <c r="G21" s="73">
        <v>11477</v>
      </c>
      <c r="H21" s="98"/>
      <c r="I21" s="98"/>
      <c r="J21" s="73">
        <v>5133</v>
      </c>
      <c r="K21" s="73">
        <v>3644</v>
      </c>
      <c r="L21" s="73">
        <v>2700</v>
      </c>
      <c r="M21" s="12">
        <v>11535</v>
      </c>
      <c r="N21" s="13">
        <v>517</v>
      </c>
      <c r="O21" s="14">
        <v>1845</v>
      </c>
      <c r="P21" s="73">
        <v>12429</v>
      </c>
      <c r="Q21" s="73">
        <v>11535</v>
      </c>
      <c r="R21" s="98"/>
      <c r="S21" s="98"/>
      <c r="T21" s="73">
        <v>4995</v>
      </c>
      <c r="U21" s="73">
        <v>3566</v>
      </c>
      <c r="V21" s="73">
        <v>2974</v>
      </c>
      <c r="W21" s="6">
        <v>11301</v>
      </c>
      <c r="X21" s="14">
        <v>489</v>
      </c>
      <c r="Y21" s="14">
        <v>1866</v>
      </c>
      <c r="Z21" s="73">
        <v>12158</v>
      </c>
      <c r="AA21" s="119">
        <v>11301</v>
      </c>
      <c r="AB21" s="98"/>
      <c r="AC21" s="98"/>
      <c r="AD21" s="73">
        <v>4809</v>
      </c>
      <c r="AE21" s="73">
        <v>3817</v>
      </c>
      <c r="AF21" s="73">
        <v>2675</v>
      </c>
      <c r="AG21" s="19">
        <v>11386</v>
      </c>
      <c r="AH21" s="20">
        <v>511.29774045190959</v>
      </c>
      <c r="AI21" s="14">
        <v>1895.4381130737981</v>
      </c>
      <c r="AJ21" s="73">
        <v>12251</v>
      </c>
      <c r="AK21" s="19">
        <v>11386</v>
      </c>
      <c r="AL21" s="98"/>
      <c r="AM21" s="98"/>
      <c r="AN21" s="73">
        <v>4338</v>
      </c>
      <c r="AO21" s="73">
        <v>3707</v>
      </c>
      <c r="AP21" s="73">
        <v>3341</v>
      </c>
      <c r="AQ21" s="19">
        <v>11289</v>
      </c>
      <c r="AR21" s="14">
        <v>539.08759905761406</v>
      </c>
      <c r="AS21" s="14">
        <v>2517</v>
      </c>
      <c r="AT21" s="73">
        <v>11874</v>
      </c>
      <c r="AU21" s="111">
        <v>11289</v>
      </c>
      <c r="AV21" s="112"/>
      <c r="AW21" s="112"/>
      <c r="AX21" s="73">
        <v>3927</v>
      </c>
      <c r="AY21" s="73">
        <v>4669</v>
      </c>
      <c r="AZ21" s="73">
        <v>2693</v>
      </c>
      <c r="BA21" s="73">
        <v>11366</v>
      </c>
      <c r="BB21" s="14">
        <v>515</v>
      </c>
      <c r="BC21" s="14">
        <v>2442</v>
      </c>
      <c r="BD21" s="73">
        <v>11966</v>
      </c>
      <c r="BE21" s="73">
        <v>11366</v>
      </c>
      <c r="BF21" s="98"/>
      <c r="BG21" s="98"/>
      <c r="BH21" s="73">
        <v>3420</v>
      </c>
      <c r="BI21" s="73">
        <v>4772</v>
      </c>
      <c r="BJ21" s="73">
        <v>3174</v>
      </c>
      <c r="BK21" s="19">
        <v>10227</v>
      </c>
      <c r="BL21" s="14">
        <v>452</v>
      </c>
      <c r="BM21" s="14">
        <v>2131</v>
      </c>
      <c r="BN21" s="73">
        <v>11183</v>
      </c>
      <c r="BO21" s="73">
        <v>10227</v>
      </c>
      <c r="BP21" s="98"/>
      <c r="BQ21" s="98"/>
      <c r="BR21" s="73">
        <v>2712</v>
      </c>
      <c r="BS21" s="73">
        <v>4710</v>
      </c>
      <c r="BT21" s="73">
        <v>2805</v>
      </c>
      <c r="BU21" s="19">
        <v>10106</v>
      </c>
      <c r="BV21" s="14">
        <v>487</v>
      </c>
      <c r="BW21" s="14">
        <v>2132</v>
      </c>
      <c r="BX21" s="73">
        <v>10972</v>
      </c>
      <c r="BY21" s="73">
        <v>10106</v>
      </c>
      <c r="BZ21" s="98"/>
      <c r="CA21" s="98"/>
      <c r="CB21" s="73">
        <v>2359</v>
      </c>
      <c r="CC21" s="73">
        <v>4381</v>
      </c>
      <c r="CD21" s="73">
        <v>3366</v>
      </c>
    </row>
    <row r="22" spans="1:82" x14ac:dyDescent="0.35">
      <c r="A22" s="4">
        <v>21</v>
      </c>
      <c r="B22" s="9" t="s">
        <v>23</v>
      </c>
      <c r="C22" s="6">
        <v>987.16</v>
      </c>
      <c r="D22" s="7">
        <v>531</v>
      </c>
      <c r="E22" s="8">
        <v>163.19521546706392</v>
      </c>
      <c r="F22" s="73">
        <v>1045</v>
      </c>
      <c r="G22" s="73">
        <v>987</v>
      </c>
      <c r="H22" s="98"/>
      <c r="I22" s="98"/>
      <c r="J22" s="73">
        <v>568</v>
      </c>
      <c r="K22" s="73">
        <v>307</v>
      </c>
      <c r="L22" s="73">
        <v>112</v>
      </c>
      <c r="M22" s="12">
        <v>1318</v>
      </c>
      <c r="N22" s="13">
        <v>524</v>
      </c>
      <c r="O22" s="14">
        <v>381</v>
      </c>
      <c r="P22" s="73">
        <v>1138</v>
      </c>
      <c r="Q22" s="73">
        <v>1318</v>
      </c>
      <c r="R22" s="98"/>
      <c r="S22" s="98"/>
      <c r="T22" s="73">
        <v>216</v>
      </c>
      <c r="U22" s="73">
        <v>727</v>
      </c>
      <c r="V22" s="73">
        <v>374</v>
      </c>
      <c r="W22" s="6">
        <v>1912</v>
      </c>
      <c r="X22" s="14">
        <v>545</v>
      </c>
      <c r="Y22" s="14">
        <v>576</v>
      </c>
      <c r="Z22" s="73">
        <v>1725</v>
      </c>
      <c r="AA22" s="119">
        <v>1912</v>
      </c>
      <c r="AB22" s="98"/>
      <c r="AC22" s="98"/>
      <c r="AD22" s="73">
        <v>426</v>
      </c>
      <c r="AE22" s="73">
        <v>1058</v>
      </c>
      <c r="AF22" s="73">
        <v>428</v>
      </c>
      <c r="AG22" s="19">
        <v>2137.41</v>
      </c>
      <c r="AH22" s="20">
        <v>563.51445693675555</v>
      </c>
      <c r="AI22" s="14">
        <v>621.45988521694619</v>
      </c>
      <c r="AJ22" s="73">
        <v>1883</v>
      </c>
      <c r="AK22" s="19">
        <v>2137.41</v>
      </c>
      <c r="AL22" s="98"/>
      <c r="AM22" s="98"/>
      <c r="AN22" s="73">
        <v>611</v>
      </c>
      <c r="AO22" s="73">
        <v>1103</v>
      </c>
      <c r="AP22" s="73">
        <v>424</v>
      </c>
      <c r="AQ22" s="19">
        <v>2304.91</v>
      </c>
      <c r="AR22" s="14">
        <v>908.80263236455062</v>
      </c>
      <c r="AS22" s="14">
        <v>1369.92</v>
      </c>
      <c r="AT22" s="73">
        <v>1689</v>
      </c>
      <c r="AU22" s="111">
        <v>2305</v>
      </c>
      <c r="AV22" s="112"/>
      <c r="AW22" s="112"/>
      <c r="AX22" s="98">
        <v>745</v>
      </c>
      <c r="AY22" s="73">
        <v>1507</v>
      </c>
      <c r="AZ22" s="98">
        <v>52</v>
      </c>
      <c r="BA22" s="73">
        <v>2838</v>
      </c>
      <c r="BB22" s="14">
        <v>909</v>
      </c>
      <c r="BC22" s="14">
        <v>1404</v>
      </c>
      <c r="BD22" s="73">
        <v>2132</v>
      </c>
      <c r="BE22" s="73">
        <v>2838</v>
      </c>
      <c r="BF22" s="98"/>
      <c r="BG22" s="98"/>
      <c r="BH22" s="73">
        <v>1142</v>
      </c>
      <c r="BI22" s="73">
        <v>1648</v>
      </c>
      <c r="BJ22" s="73">
        <v>49</v>
      </c>
      <c r="BK22" s="19">
        <v>2878</v>
      </c>
      <c r="BL22" s="14">
        <v>896</v>
      </c>
      <c r="BM22" s="14">
        <v>1557</v>
      </c>
      <c r="BN22" s="73">
        <v>2317</v>
      </c>
      <c r="BO22" s="73">
        <v>2878</v>
      </c>
      <c r="BP22" s="98"/>
      <c r="BQ22" s="98"/>
      <c r="BR22" s="73">
        <v>1070</v>
      </c>
      <c r="BS22" s="73">
        <v>1739</v>
      </c>
      <c r="BT22" s="98">
        <v>69</v>
      </c>
      <c r="BU22" s="19">
        <v>2872</v>
      </c>
      <c r="BV22" s="14">
        <v>895</v>
      </c>
      <c r="BW22" s="14">
        <v>1552</v>
      </c>
      <c r="BX22" s="73">
        <v>2265</v>
      </c>
      <c r="BY22" s="73">
        <v>2872</v>
      </c>
      <c r="BZ22" s="98"/>
      <c r="CA22" s="98"/>
      <c r="CB22" s="73">
        <v>1053</v>
      </c>
      <c r="CC22" s="73">
        <v>1735</v>
      </c>
      <c r="CD22" s="73">
        <v>83</v>
      </c>
    </row>
    <row r="23" spans="1:82" x14ac:dyDescent="0.35">
      <c r="A23" s="4">
        <v>22</v>
      </c>
      <c r="B23" s="9" t="s">
        <v>24</v>
      </c>
      <c r="C23" s="6">
        <v>695</v>
      </c>
      <c r="D23" s="7">
        <v>294</v>
      </c>
      <c r="E23" s="8">
        <v>65.549324772089378</v>
      </c>
      <c r="F23" s="73">
        <v>1049</v>
      </c>
      <c r="G23" s="73">
        <v>695</v>
      </c>
      <c r="H23" s="98"/>
      <c r="I23" s="98"/>
      <c r="J23" s="73">
        <v>157</v>
      </c>
      <c r="K23" s="73">
        <v>223</v>
      </c>
      <c r="L23" s="73">
        <v>315</v>
      </c>
      <c r="M23" s="12">
        <v>587</v>
      </c>
      <c r="N23" s="13">
        <v>343</v>
      </c>
      <c r="O23" s="14">
        <v>58</v>
      </c>
      <c r="P23" s="73">
        <v>854</v>
      </c>
      <c r="Q23" s="73">
        <v>587</v>
      </c>
      <c r="R23" s="98"/>
      <c r="S23" s="98"/>
      <c r="T23" s="73">
        <v>175</v>
      </c>
      <c r="U23" s="73">
        <v>168</v>
      </c>
      <c r="V23" s="73">
        <v>244</v>
      </c>
      <c r="W23" s="6">
        <v>558</v>
      </c>
      <c r="X23" s="14">
        <v>331</v>
      </c>
      <c r="Y23" s="14">
        <v>67</v>
      </c>
      <c r="Z23" s="73">
        <v>867</v>
      </c>
      <c r="AA23" s="119">
        <v>558</v>
      </c>
      <c r="AB23" s="98"/>
      <c r="AC23" s="98"/>
      <c r="AD23" s="73">
        <v>150</v>
      </c>
      <c r="AE23" s="73">
        <v>202</v>
      </c>
      <c r="AF23" s="73">
        <v>206</v>
      </c>
      <c r="AG23" s="19">
        <v>637</v>
      </c>
      <c r="AH23" s="20">
        <v>319.54887218045116</v>
      </c>
      <c r="AI23" s="14">
        <v>63.008306457283076</v>
      </c>
      <c r="AJ23" s="73">
        <v>914</v>
      </c>
      <c r="AK23" s="19">
        <v>637</v>
      </c>
      <c r="AL23" s="98"/>
      <c r="AM23" s="98"/>
      <c r="AN23" s="73">
        <v>263</v>
      </c>
      <c r="AO23" s="73">
        <v>197</v>
      </c>
      <c r="AP23" s="73">
        <v>177</v>
      </c>
      <c r="AQ23" s="19">
        <v>685</v>
      </c>
      <c r="AR23" s="14">
        <v>385.96491228070175</v>
      </c>
      <c r="AS23" s="14">
        <v>88</v>
      </c>
      <c r="AT23" s="73">
        <v>969</v>
      </c>
      <c r="AU23" s="112">
        <v>685</v>
      </c>
      <c r="AV23" s="112"/>
      <c r="AW23" s="112"/>
      <c r="AX23" s="98">
        <v>358</v>
      </c>
      <c r="AY23" s="98">
        <v>228</v>
      </c>
      <c r="AZ23" s="98">
        <v>99</v>
      </c>
      <c r="BA23" s="73">
        <v>697</v>
      </c>
      <c r="BB23" s="14">
        <v>387</v>
      </c>
      <c r="BC23" s="14">
        <v>110</v>
      </c>
      <c r="BD23" s="73">
        <v>1002</v>
      </c>
      <c r="BE23" s="73">
        <v>697</v>
      </c>
      <c r="BF23" s="98"/>
      <c r="BG23" s="98"/>
      <c r="BH23" s="73">
        <v>329</v>
      </c>
      <c r="BI23" s="73">
        <v>276</v>
      </c>
      <c r="BJ23" s="73">
        <v>92</v>
      </c>
      <c r="BK23" s="19">
        <v>646</v>
      </c>
      <c r="BL23" s="14">
        <v>389</v>
      </c>
      <c r="BM23" s="14">
        <v>97</v>
      </c>
      <c r="BN23" s="98">
        <v>932</v>
      </c>
      <c r="BO23" s="98">
        <v>646</v>
      </c>
      <c r="BP23" s="98"/>
      <c r="BQ23" s="98"/>
      <c r="BR23" s="98">
        <v>315</v>
      </c>
      <c r="BS23" s="98">
        <v>250</v>
      </c>
      <c r="BT23" s="98">
        <v>81</v>
      </c>
      <c r="BU23" s="19">
        <v>623</v>
      </c>
      <c r="BV23" s="14">
        <v>377</v>
      </c>
      <c r="BW23" s="14">
        <v>81</v>
      </c>
      <c r="BX23" s="98">
        <v>901</v>
      </c>
      <c r="BY23" s="98">
        <v>623</v>
      </c>
      <c r="BZ23" s="98"/>
      <c r="CA23" s="98"/>
      <c r="CB23" s="98">
        <v>319</v>
      </c>
      <c r="CC23" s="98">
        <v>215</v>
      </c>
      <c r="CD23" s="73">
        <v>89</v>
      </c>
    </row>
    <row r="24" spans="1:82" x14ac:dyDescent="0.35">
      <c r="A24" s="4">
        <v>23</v>
      </c>
      <c r="B24" s="9" t="s">
        <v>25</v>
      </c>
      <c r="C24" s="6">
        <v>9514</v>
      </c>
      <c r="D24" s="7">
        <v>707</v>
      </c>
      <c r="E24" s="8">
        <v>3053.6944057618189</v>
      </c>
      <c r="F24" s="73">
        <v>7677</v>
      </c>
      <c r="G24" s="73">
        <v>9514</v>
      </c>
      <c r="H24" s="98"/>
      <c r="I24" s="98"/>
      <c r="J24" s="73">
        <v>2640</v>
      </c>
      <c r="K24" s="73">
        <v>4321</v>
      </c>
      <c r="L24" s="73">
        <v>2553</v>
      </c>
      <c r="M24" s="12">
        <v>8296</v>
      </c>
      <c r="N24" s="13">
        <v>765</v>
      </c>
      <c r="O24" s="14">
        <v>2712</v>
      </c>
      <c r="P24" s="73">
        <v>7094</v>
      </c>
      <c r="Q24" s="73">
        <v>8296</v>
      </c>
      <c r="R24" s="98"/>
      <c r="S24" s="98"/>
      <c r="T24" s="73">
        <v>1888</v>
      </c>
      <c r="U24" s="73">
        <v>3547</v>
      </c>
      <c r="V24" s="73">
        <v>2861</v>
      </c>
      <c r="W24" s="6">
        <v>7929</v>
      </c>
      <c r="X24" s="14">
        <v>552</v>
      </c>
      <c r="Y24" s="14">
        <v>2036</v>
      </c>
      <c r="Z24" s="73">
        <v>5520</v>
      </c>
      <c r="AA24" s="119">
        <v>7929</v>
      </c>
      <c r="AB24" s="98"/>
      <c r="AC24" s="98"/>
      <c r="AD24" s="73">
        <v>1886</v>
      </c>
      <c r="AE24" s="73">
        <v>3687</v>
      </c>
      <c r="AF24" s="73">
        <v>2356</v>
      </c>
      <c r="AG24" s="19">
        <v>7777.9650967744601</v>
      </c>
      <c r="AH24" s="20">
        <v>501.59184514003306</v>
      </c>
      <c r="AI24" s="14">
        <v>1805.5437916140959</v>
      </c>
      <c r="AJ24" s="73">
        <v>5087</v>
      </c>
      <c r="AK24" s="19">
        <v>7777.9650967744601</v>
      </c>
      <c r="AL24" s="98"/>
      <c r="AM24" s="98"/>
      <c r="AN24" s="73">
        <v>1926</v>
      </c>
      <c r="AO24" s="73">
        <v>3600</v>
      </c>
      <c r="AP24" s="73">
        <v>2252</v>
      </c>
      <c r="AQ24" s="19">
        <v>7298</v>
      </c>
      <c r="AR24" s="14">
        <v>551.00161178908593</v>
      </c>
      <c r="AS24" s="14">
        <v>2393</v>
      </c>
      <c r="AT24" s="73">
        <v>4586</v>
      </c>
      <c r="AU24" s="111">
        <v>7298</v>
      </c>
      <c r="AV24" s="112"/>
      <c r="AW24" s="112"/>
      <c r="AX24" s="73">
        <v>2468</v>
      </c>
      <c r="AY24" s="73">
        <v>4343</v>
      </c>
      <c r="AZ24" s="98">
        <v>487</v>
      </c>
      <c r="BA24" s="73">
        <v>7328</v>
      </c>
      <c r="BB24" s="14">
        <v>532</v>
      </c>
      <c r="BC24" s="14">
        <v>2360</v>
      </c>
      <c r="BD24" s="73">
        <v>4058</v>
      </c>
      <c r="BE24" s="73">
        <v>7328</v>
      </c>
      <c r="BF24" s="98"/>
      <c r="BG24" s="98"/>
      <c r="BH24" s="73">
        <v>2337</v>
      </c>
      <c r="BI24" s="73">
        <v>4429</v>
      </c>
      <c r="BJ24" s="73">
        <v>562</v>
      </c>
      <c r="BK24" s="19">
        <v>6886</v>
      </c>
      <c r="BL24" s="14">
        <v>612</v>
      </c>
      <c r="BM24" s="14">
        <v>2541</v>
      </c>
      <c r="BN24" s="73">
        <v>3671</v>
      </c>
      <c r="BO24" s="73">
        <v>6886</v>
      </c>
      <c r="BP24" s="98"/>
      <c r="BQ24" s="98"/>
      <c r="BR24" s="73">
        <v>2341</v>
      </c>
      <c r="BS24" s="73">
        <v>4152</v>
      </c>
      <c r="BT24" s="98">
        <v>393</v>
      </c>
      <c r="BU24" s="19">
        <v>7021</v>
      </c>
      <c r="BV24" s="14">
        <v>750</v>
      </c>
      <c r="BW24" s="14">
        <v>3114</v>
      </c>
      <c r="BX24" s="73">
        <v>3721</v>
      </c>
      <c r="BY24" s="73">
        <v>7021</v>
      </c>
      <c r="BZ24" s="98"/>
      <c r="CA24" s="98"/>
      <c r="CB24" s="73">
        <v>2478</v>
      </c>
      <c r="CC24" s="73">
        <v>4152</v>
      </c>
      <c r="CD24" s="73">
        <v>391</v>
      </c>
    </row>
    <row r="25" spans="1:82" x14ac:dyDescent="0.35">
      <c r="A25" s="4">
        <v>24</v>
      </c>
      <c r="B25" s="9" t="s">
        <v>26</v>
      </c>
      <c r="C25" s="6">
        <v>9992</v>
      </c>
      <c r="D25" s="7">
        <v>895</v>
      </c>
      <c r="E25" s="8">
        <v>5380.3187149136811</v>
      </c>
      <c r="F25" s="73">
        <v>7837</v>
      </c>
      <c r="G25" s="73">
        <v>9992</v>
      </c>
      <c r="H25" s="98"/>
      <c r="I25" s="98"/>
      <c r="J25" s="73">
        <v>2477</v>
      </c>
      <c r="K25" s="73">
        <v>6009</v>
      </c>
      <c r="L25" s="73">
        <v>1506</v>
      </c>
      <c r="M25" s="12">
        <v>7806</v>
      </c>
      <c r="N25" s="13">
        <v>741</v>
      </c>
      <c r="O25" s="14">
        <v>2962</v>
      </c>
      <c r="P25" s="73">
        <v>4830</v>
      </c>
      <c r="Q25" s="73">
        <v>7806</v>
      </c>
      <c r="R25" s="98"/>
      <c r="S25" s="98"/>
      <c r="T25" s="73">
        <v>1585</v>
      </c>
      <c r="U25" s="73">
        <v>3996</v>
      </c>
      <c r="V25" s="73">
        <v>2225</v>
      </c>
      <c r="W25" s="6">
        <v>7168</v>
      </c>
      <c r="X25" s="14">
        <v>1053</v>
      </c>
      <c r="Y25" s="14">
        <v>4253</v>
      </c>
      <c r="Z25" s="73">
        <v>4641</v>
      </c>
      <c r="AA25" s="119">
        <v>7168</v>
      </c>
      <c r="AB25" s="98"/>
      <c r="AC25" s="98"/>
      <c r="AD25" s="73">
        <v>1325</v>
      </c>
      <c r="AE25" s="73">
        <v>4039</v>
      </c>
      <c r="AF25" s="73">
        <v>1804</v>
      </c>
      <c r="AG25" s="19">
        <v>3303.75</v>
      </c>
      <c r="AH25" s="20">
        <v>516.01294498381867</v>
      </c>
      <c r="AI25" s="14">
        <v>886.46015717654757</v>
      </c>
      <c r="AJ25" s="73">
        <v>2763</v>
      </c>
      <c r="AK25" s="19">
        <v>3303.75</v>
      </c>
      <c r="AL25" s="98"/>
      <c r="AM25" s="98"/>
      <c r="AN25" s="73">
        <v>692</v>
      </c>
      <c r="AO25" s="73">
        <v>1718</v>
      </c>
      <c r="AP25" s="73">
        <v>894</v>
      </c>
      <c r="AQ25" s="19">
        <v>2702.3</v>
      </c>
      <c r="AR25" s="14">
        <v>641.533939070016</v>
      </c>
      <c r="AS25" s="14">
        <v>1200.31</v>
      </c>
      <c r="AT25" s="73">
        <v>2306</v>
      </c>
      <c r="AU25" s="111">
        <v>2702</v>
      </c>
      <c r="AV25" s="112"/>
      <c r="AW25" s="112"/>
      <c r="AX25" s="98">
        <v>447</v>
      </c>
      <c r="AY25" s="73">
        <v>1871</v>
      </c>
      <c r="AZ25" s="98">
        <v>384</v>
      </c>
      <c r="BA25" s="73">
        <v>2622</v>
      </c>
      <c r="BB25" s="14">
        <v>636</v>
      </c>
      <c r="BC25" s="14">
        <v>1212</v>
      </c>
      <c r="BD25" s="73">
        <v>2281</v>
      </c>
      <c r="BE25" s="73">
        <v>2622</v>
      </c>
      <c r="BF25" s="98"/>
      <c r="BG25" s="98"/>
      <c r="BH25" s="73">
        <v>363</v>
      </c>
      <c r="BI25" s="73">
        <v>1896</v>
      </c>
      <c r="BJ25" s="73">
        <v>363</v>
      </c>
      <c r="BK25" s="19">
        <v>2692</v>
      </c>
      <c r="BL25" s="14">
        <v>496</v>
      </c>
      <c r="BM25" s="14">
        <v>941</v>
      </c>
      <c r="BN25" s="73">
        <v>2177</v>
      </c>
      <c r="BO25" s="73">
        <v>2692</v>
      </c>
      <c r="BP25" s="98"/>
      <c r="BQ25" s="98"/>
      <c r="BR25" s="98">
        <v>433</v>
      </c>
      <c r="BS25" s="73">
        <v>1896</v>
      </c>
      <c r="BT25" s="98">
        <v>363</v>
      </c>
      <c r="BU25" s="19">
        <v>2581</v>
      </c>
      <c r="BV25" s="14">
        <v>372</v>
      </c>
      <c r="BW25" s="14">
        <v>687</v>
      </c>
      <c r="BX25" s="73">
        <v>2016</v>
      </c>
      <c r="BY25" s="73">
        <v>2581</v>
      </c>
      <c r="BZ25" s="98"/>
      <c r="CA25" s="98"/>
      <c r="CB25" s="98">
        <v>410</v>
      </c>
      <c r="CC25" s="73">
        <v>1847</v>
      </c>
      <c r="CD25" s="98">
        <v>325</v>
      </c>
    </row>
    <row r="26" spans="1:82" x14ac:dyDescent="0.35">
      <c r="A26" s="4">
        <v>25</v>
      </c>
      <c r="B26" s="9" t="s">
        <v>27</v>
      </c>
      <c r="C26" s="6">
        <v>17895.55</v>
      </c>
      <c r="D26" s="7">
        <v>673</v>
      </c>
      <c r="E26" s="8">
        <v>4582.884598219307</v>
      </c>
      <c r="F26" s="73">
        <v>20168</v>
      </c>
      <c r="G26" s="73">
        <v>16821</v>
      </c>
      <c r="H26" s="98">
        <v>292</v>
      </c>
      <c r="I26" s="98">
        <v>783</v>
      </c>
      <c r="J26" s="73">
        <v>7753</v>
      </c>
      <c r="K26" s="73">
        <v>6815</v>
      </c>
      <c r="L26" s="73">
        <v>3328</v>
      </c>
      <c r="M26" s="12">
        <v>17884</v>
      </c>
      <c r="N26" s="13">
        <v>647</v>
      </c>
      <c r="O26" s="14">
        <v>4251</v>
      </c>
      <c r="P26" s="73">
        <v>19933</v>
      </c>
      <c r="Q26" s="73">
        <v>16809</v>
      </c>
      <c r="R26" s="98">
        <v>292</v>
      </c>
      <c r="S26" s="98">
        <v>783</v>
      </c>
      <c r="T26" s="73">
        <v>7120</v>
      </c>
      <c r="U26" s="73">
        <v>6572</v>
      </c>
      <c r="V26" s="73">
        <v>4192</v>
      </c>
      <c r="W26" s="6">
        <v>17113</v>
      </c>
      <c r="X26" s="14">
        <v>752</v>
      </c>
      <c r="Y26" s="14">
        <v>4143</v>
      </c>
      <c r="Z26" s="73">
        <v>19907</v>
      </c>
      <c r="AA26" s="119">
        <v>16720</v>
      </c>
      <c r="AB26" s="98">
        <v>50</v>
      </c>
      <c r="AC26" s="98">
        <v>344</v>
      </c>
      <c r="AD26" s="73">
        <v>6850</v>
      </c>
      <c r="AE26" s="73">
        <v>5509</v>
      </c>
      <c r="AF26" s="73">
        <v>4755</v>
      </c>
      <c r="AG26" s="19">
        <v>16716.52</v>
      </c>
      <c r="AH26" s="20">
        <v>887.44520817990463</v>
      </c>
      <c r="AI26" s="14">
        <v>4821.5807680151174</v>
      </c>
      <c r="AJ26" s="73">
        <v>19806</v>
      </c>
      <c r="AK26" s="98"/>
      <c r="AL26" s="98">
        <v>50</v>
      </c>
      <c r="AM26" s="98">
        <v>344</v>
      </c>
      <c r="AN26" s="73">
        <v>6545</v>
      </c>
      <c r="AO26" s="73">
        <v>5433</v>
      </c>
      <c r="AP26" s="73">
        <v>4738</v>
      </c>
      <c r="AQ26" s="19">
        <v>16447.849999999999</v>
      </c>
      <c r="AR26" s="14">
        <v>700.60067859287278</v>
      </c>
      <c r="AS26" s="14">
        <v>5880.73</v>
      </c>
      <c r="AT26" s="73">
        <v>19787</v>
      </c>
      <c r="AU26" s="111">
        <v>16448</v>
      </c>
      <c r="AV26" s="112"/>
      <c r="AW26" s="112"/>
      <c r="AX26" s="73">
        <v>5515</v>
      </c>
      <c r="AY26" s="73">
        <v>8394</v>
      </c>
      <c r="AZ26" s="73">
        <v>2539</v>
      </c>
      <c r="BA26" s="19">
        <v>16464</v>
      </c>
      <c r="BB26" s="14">
        <v>687</v>
      </c>
      <c r="BC26" s="14">
        <v>5804</v>
      </c>
      <c r="BD26" s="73">
        <v>19904</v>
      </c>
      <c r="BE26" s="73">
        <v>16483</v>
      </c>
      <c r="BF26" s="98"/>
      <c r="BG26" s="98">
        <v>764</v>
      </c>
      <c r="BH26" s="73">
        <v>5909</v>
      </c>
      <c r="BI26" s="73">
        <v>8825</v>
      </c>
      <c r="BJ26" s="73">
        <v>2514</v>
      </c>
      <c r="BK26" s="19">
        <v>17564</v>
      </c>
      <c r="BL26" s="14">
        <v>564</v>
      </c>
      <c r="BM26" s="14">
        <v>5581</v>
      </c>
      <c r="BN26" s="73">
        <v>20254</v>
      </c>
      <c r="BO26" s="73">
        <v>16800</v>
      </c>
      <c r="BP26" s="98"/>
      <c r="BQ26" s="98"/>
      <c r="BR26" s="73">
        <v>5496</v>
      </c>
      <c r="BS26" s="73">
        <v>8534</v>
      </c>
      <c r="BT26" s="73">
        <v>3534</v>
      </c>
      <c r="BU26" s="19">
        <v>17767</v>
      </c>
      <c r="BV26" s="14">
        <v>621</v>
      </c>
      <c r="BW26" s="14">
        <v>5244</v>
      </c>
      <c r="BX26" s="73">
        <v>20218</v>
      </c>
      <c r="BY26" s="73">
        <v>17000</v>
      </c>
      <c r="BZ26" s="98"/>
      <c r="CA26" s="98">
        <v>766</v>
      </c>
      <c r="CB26" s="73">
        <v>5595</v>
      </c>
      <c r="CC26" s="73">
        <v>8575</v>
      </c>
      <c r="CD26" s="73">
        <v>3359</v>
      </c>
    </row>
    <row r="27" spans="1:82" x14ac:dyDescent="0.35">
      <c r="A27" s="4">
        <v>26</v>
      </c>
      <c r="B27" s="9" t="s">
        <v>28</v>
      </c>
      <c r="C27" s="6">
        <v>14221.630789235234</v>
      </c>
      <c r="D27" s="7">
        <v>853</v>
      </c>
      <c r="E27" s="8">
        <v>2890.3074669326561</v>
      </c>
      <c r="F27" s="73">
        <v>14651</v>
      </c>
      <c r="G27" s="73">
        <v>14222</v>
      </c>
      <c r="H27" s="98"/>
      <c r="I27" s="98"/>
      <c r="J27" s="73">
        <v>8056</v>
      </c>
      <c r="K27" s="73">
        <v>3389</v>
      </c>
      <c r="L27" s="73">
        <v>2777</v>
      </c>
      <c r="M27" s="12">
        <v>14494</v>
      </c>
      <c r="N27" s="13">
        <v>606</v>
      </c>
      <c r="O27" s="14">
        <v>2025</v>
      </c>
      <c r="P27" s="73">
        <v>14921</v>
      </c>
      <c r="Q27" s="73">
        <v>14494</v>
      </c>
      <c r="R27" s="98"/>
      <c r="S27" s="98"/>
      <c r="T27" s="73">
        <v>9214</v>
      </c>
      <c r="U27" s="73">
        <v>3344</v>
      </c>
      <c r="V27" s="73">
        <v>1936</v>
      </c>
      <c r="W27" s="6">
        <v>15107</v>
      </c>
      <c r="X27" s="14">
        <v>909</v>
      </c>
      <c r="Y27" s="14">
        <v>3563</v>
      </c>
      <c r="Z27" s="73">
        <v>15457</v>
      </c>
      <c r="AA27" s="119">
        <v>15107</v>
      </c>
      <c r="AB27" s="98"/>
      <c r="AC27" s="98"/>
      <c r="AD27" s="73">
        <v>9151</v>
      </c>
      <c r="AE27" s="73">
        <v>3919</v>
      </c>
      <c r="AF27" s="73">
        <v>2037</v>
      </c>
      <c r="AG27" s="19">
        <v>15162</v>
      </c>
      <c r="AH27" s="20">
        <v>948.1684981684981</v>
      </c>
      <c r="AI27" s="14">
        <v>3837.5765003453471</v>
      </c>
      <c r="AJ27" s="73">
        <v>15522</v>
      </c>
      <c r="AK27" s="19">
        <v>15162</v>
      </c>
      <c r="AL27" s="98"/>
      <c r="AM27" s="98"/>
      <c r="AN27" s="73">
        <v>8516</v>
      </c>
      <c r="AO27" s="73">
        <v>4047</v>
      </c>
      <c r="AP27" s="73">
        <v>2599</v>
      </c>
      <c r="AQ27" s="19">
        <v>15037.7</v>
      </c>
      <c r="AR27" s="14">
        <v>855.37323406048415</v>
      </c>
      <c r="AS27" s="14">
        <v>4851.6000000000004</v>
      </c>
      <c r="AT27" s="73">
        <v>15364</v>
      </c>
      <c r="AU27" s="111">
        <v>15038</v>
      </c>
      <c r="AV27" s="112"/>
      <c r="AW27" s="112"/>
      <c r="AX27" s="73">
        <v>8046</v>
      </c>
      <c r="AY27" s="73">
        <v>5672</v>
      </c>
      <c r="AZ27" s="73">
        <v>1320</v>
      </c>
      <c r="BA27" s="73">
        <v>14395</v>
      </c>
      <c r="BB27" s="14">
        <v>800</v>
      </c>
      <c r="BC27" s="14">
        <v>4592</v>
      </c>
      <c r="BD27" s="73">
        <v>14894</v>
      </c>
      <c r="BE27" s="73">
        <v>14395</v>
      </c>
      <c r="BF27" s="98"/>
      <c r="BG27" s="98"/>
      <c r="BH27" s="73">
        <v>6576</v>
      </c>
      <c r="BI27" s="73">
        <v>5520</v>
      </c>
      <c r="BJ27" s="73">
        <v>2299</v>
      </c>
      <c r="BK27" s="19">
        <v>14177</v>
      </c>
      <c r="BL27" s="14">
        <v>708</v>
      </c>
      <c r="BM27" s="14">
        <v>3298</v>
      </c>
      <c r="BN27" s="73">
        <v>14595</v>
      </c>
      <c r="BO27" s="73">
        <v>14177</v>
      </c>
      <c r="BP27" s="98"/>
      <c r="BQ27" s="98"/>
      <c r="BR27" s="73">
        <v>6003</v>
      </c>
      <c r="BS27" s="73">
        <v>4656</v>
      </c>
      <c r="BT27" s="73">
        <v>3518</v>
      </c>
      <c r="BU27" s="19">
        <v>14092</v>
      </c>
      <c r="BV27" s="14">
        <v>698</v>
      </c>
      <c r="BW27" s="14">
        <v>3436</v>
      </c>
      <c r="BX27" s="73">
        <v>14505</v>
      </c>
      <c r="BY27" s="73">
        <v>14092</v>
      </c>
      <c r="BZ27" s="98"/>
      <c r="CA27" s="98"/>
      <c r="CB27" s="73">
        <v>5616</v>
      </c>
      <c r="CC27" s="73">
        <v>4924</v>
      </c>
      <c r="CD27" s="98">
        <v>3552</v>
      </c>
    </row>
    <row r="28" spans="1:82" x14ac:dyDescent="0.35">
      <c r="A28" s="4">
        <v>27</v>
      </c>
      <c r="B28" s="9" t="s">
        <v>29</v>
      </c>
      <c r="C28" s="6">
        <v>291449.49</v>
      </c>
      <c r="D28" s="7">
        <v>908</v>
      </c>
      <c r="E28" s="8">
        <v>161468.98532598049</v>
      </c>
      <c r="F28" s="73">
        <v>184720</v>
      </c>
      <c r="G28" s="73">
        <v>291445</v>
      </c>
      <c r="H28" s="98"/>
      <c r="I28" s="98">
        <v>4</v>
      </c>
      <c r="J28" s="73">
        <v>60387</v>
      </c>
      <c r="K28" s="73">
        <v>177732</v>
      </c>
      <c r="L28" s="73">
        <v>53330</v>
      </c>
      <c r="M28" s="12">
        <v>288990</v>
      </c>
      <c r="N28" s="13">
        <v>818</v>
      </c>
      <c r="O28" s="14">
        <v>100651</v>
      </c>
      <c r="P28" s="73">
        <v>182078</v>
      </c>
      <c r="Q28" s="73">
        <v>288986</v>
      </c>
      <c r="R28" s="98"/>
      <c r="S28" s="98">
        <v>4</v>
      </c>
      <c r="T28" s="73">
        <v>60559</v>
      </c>
      <c r="U28" s="73">
        <v>123047</v>
      </c>
      <c r="V28" s="73">
        <v>105344</v>
      </c>
      <c r="W28" s="6">
        <v>289198</v>
      </c>
      <c r="X28" s="14">
        <v>843</v>
      </c>
      <c r="Y28" s="14">
        <v>124921</v>
      </c>
      <c r="Z28" s="73">
        <v>181369</v>
      </c>
      <c r="AA28" s="119">
        <v>289194</v>
      </c>
      <c r="AB28" s="98"/>
      <c r="AC28" s="98">
        <v>4</v>
      </c>
      <c r="AD28" s="73">
        <v>54535</v>
      </c>
      <c r="AE28" s="73">
        <v>148235</v>
      </c>
      <c r="AF28" s="73">
        <v>86428</v>
      </c>
      <c r="AG28" s="19">
        <v>285787.5</v>
      </c>
      <c r="AH28" s="20">
        <v>687.69456046375126</v>
      </c>
      <c r="AI28" s="14">
        <v>100590.00000000003</v>
      </c>
      <c r="AJ28" s="73">
        <v>176262</v>
      </c>
      <c r="AK28" s="98"/>
      <c r="AL28" s="98"/>
      <c r="AM28" s="98">
        <v>4</v>
      </c>
      <c r="AN28" s="73">
        <v>48633</v>
      </c>
      <c r="AO28" s="73">
        <v>146271</v>
      </c>
      <c r="AP28" s="73">
        <v>90883</v>
      </c>
      <c r="AQ28" s="19">
        <v>283625.71000000002</v>
      </c>
      <c r="AR28" s="14">
        <v>674.77094794809329</v>
      </c>
      <c r="AS28" s="14">
        <v>125472.98300000001</v>
      </c>
      <c r="AT28" s="73">
        <v>177120</v>
      </c>
      <c r="AU28" s="111">
        <v>283626</v>
      </c>
      <c r="AV28" s="112"/>
      <c r="AW28" s="112"/>
      <c r="AX28" s="73">
        <v>44399</v>
      </c>
      <c r="AY28" s="73">
        <v>185949</v>
      </c>
      <c r="AZ28" s="73">
        <v>53278</v>
      </c>
      <c r="BA28" s="73">
        <v>279298</v>
      </c>
      <c r="BB28" s="14">
        <v>687</v>
      </c>
      <c r="BC28" s="14">
        <v>127669</v>
      </c>
      <c r="BD28" s="73">
        <v>175337</v>
      </c>
      <c r="BE28" s="73">
        <v>279298</v>
      </c>
      <c r="BF28" s="98"/>
      <c r="BG28" s="98"/>
      <c r="BH28" s="73">
        <v>38956</v>
      </c>
      <c r="BI28" s="73">
        <v>186261</v>
      </c>
      <c r="BJ28" s="73">
        <v>54080</v>
      </c>
      <c r="BK28" s="19">
        <v>278258</v>
      </c>
      <c r="BL28" s="14">
        <v>692</v>
      </c>
      <c r="BM28" s="14">
        <v>128617</v>
      </c>
      <c r="BN28" s="73">
        <v>174440</v>
      </c>
      <c r="BO28" s="73">
        <v>278258</v>
      </c>
      <c r="BP28" s="98"/>
      <c r="BQ28" s="98"/>
      <c r="BR28" s="73">
        <v>37101</v>
      </c>
      <c r="BS28" s="73">
        <v>185915</v>
      </c>
      <c r="BT28" s="73">
        <v>55243</v>
      </c>
      <c r="BU28" s="19">
        <v>276324</v>
      </c>
      <c r="BV28" s="14">
        <v>702</v>
      </c>
      <c r="BW28" s="14">
        <v>130650</v>
      </c>
      <c r="BX28" s="73">
        <v>172033</v>
      </c>
      <c r="BY28" s="73">
        <v>276324</v>
      </c>
      <c r="BZ28" s="98"/>
      <c r="CA28" s="98"/>
      <c r="CB28" s="73">
        <v>35858</v>
      </c>
      <c r="CC28" s="73">
        <v>186206</v>
      </c>
      <c r="CD28" s="73">
        <v>54260</v>
      </c>
    </row>
    <row r="29" spans="1:82" x14ac:dyDescent="0.35">
      <c r="A29" s="4">
        <v>28</v>
      </c>
      <c r="B29" s="9" t="s">
        <v>30</v>
      </c>
      <c r="C29" s="6">
        <v>250174.82999999993</v>
      </c>
      <c r="D29" s="7">
        <v>802</v>
      </c>
      <c r="E29" s="8">
        <v>118328.99999999999</v>
      </c>
      <c r="F29" s="73">
        <v>278625</v>
      </c>
      <c r="G29" s="73">
        <v>246223</v>
      </c>
      <c r="H29" s="98"/>
      <c r="I29" s="73">
        <v>3952</v>
      </c>
      <c r="J29" s="73">
        <v>27492</v>
      </c>
      <c r="K29" s="73">
        <v>147593</v>
      </c>
      <c r="L29" s="73">
        <v>75090</v>
      </c>
      <c r="M29" s="12">
        <v>247730</v>
      </c>
      <c r="N29" s="13">
        <v>814</v>
      </c>
      <c r="O29" s="14">
        <v>99339</v>
      </c>
      <c r="P29" s="73">
        <v>257728</v>
      </c>
      <c r="Q29" s="73">
        <v>243778</v>
      </c>
      <c r="R29" s="98"/>
      <c r="S29" s="73">
        <v>3952</v>
      </c>
      <c r="T29" s="73">
        <v>27669</v>
      </c>
      <c r="U29" s="73">
        <v>122068</v>
      </c>
      <c r="V29" s="73">
        <v>97992</v>
      </c>
      <c r="W29" s="6">
        <v>249159</v>
      </c>
      <c r="X29" s="14">
        <v>865</v>
      </c>
      <c r="Y29" s="14">
        <v>114276</v>
      </c>
      <c r="Z29" s="73">
        <v>267486</v>
      </c>
      <c r="AA29" s="119">
        <v>245207</v>
      </c>
      <c r="AB29" s="98"/>
      <c r="AC29" s="73">
        <v>3952</v>
      </c>
      <c r="AD29" s="73">
        <v>25675</v>
      </c>
      <c r="AE29" s="73">
        <v>132135</v>
      </c>
      <c r="AF29" s="73">
        <v>91349</v>
      </c>
      <c r="AG29" s="19">
        <v>237711.83</v>
      </c>
      <c r="AH29" s="20">
        <v>773.45105903081355</v>
      </c>
      <c r="AI29" s="14">
        <v>100391.4566218481</v>
      </c>
      <c r="AJ29" s="73">
        <v>262240</v>
      </c>
      <c r="AK29" s="98"/>
      <c r="AL29" s="98"/>
      <c r="AM29" s="73">
        <v>3952</v>
      </c>
      <c r="AN29" s="73">
        <v>23524</v>
      </c>
      <c r="AO29" s="73">
        <v>129797</v>
      </c>
      <c r="AP29" s="73">
        <v>84391</v>
      </c>
      <c r="AQ29" s="19">
        <v>218168.87</v>
      </c>
      <c r="AR29" s="14">
        <v>807.19259292755714</v>
      </c>
      <c r="AS29" s="14">
        <v>124951.799</v>
      </c>
      <c r="AT29" s="73">
        <v>252212</v>
      </c>
      <c r="AU29" s="111">
        <v>218169</v>
      </c>
      <c r="AV29" s="112"/>
      <c r="AW29" s="112"/>
      <c r="AX29" s="73">
        <v>25828</v>
      </c>
      <c r="AY29" s="73">
        <v>154789</v>
      </c>
      <c r="AZ29" s="73">
        <v>37543</v>
      </c>
      <c r="BA29" s="73">
        <v>201216</v>
      </c>
      <c r="BB29" s="14">
        <v>756</v>
      </c>
      <c r="BC29" s="14">
        <v>118775</v>
      </c>
      <c r="BD29" s="73">
        <v>231742</v>
      </c>
      <c r="BE29" s="73">
        <v>201216</v>
      </c>
      <c r="BF29" s="98"/>
      <c r="BG29" s="98"/>
      <c r="BH29" s="73">
        <v>23169</v>
      </c>
      <c r="BI29" s="73">
        <v>143084</v>
      </c>
      <c r="BJ29" s="73">
        <v>34963</v>
      </c>
      <c r="BK29" s="19">
        <v>195049</v>
      </c>
      <c r="BL29" s="14">
        <v>776</v>
      </c>
      <c r="BM29" s="14">
        <v>110418</v>
      </c>
      <c r="BN29" s="73">
        <v>224039</v>
      </c>
      <c r="BO29" s="73">
        <v>195049</v>
      </c>
      <c r="BP29" s="98"/>
      <c r="BQ29" s="98"/>
      <c r="BR29" s="73">
        <v>22940</v>
      </c>
      <c r="BS29" s="73">
        <v>142220</v>
      </c>
      <c r="BT29" s="73">
        <v>29889</v>
      </c>
      <c r="BU29" s="19">
        <v>187985</v>
      </c>
      <c r="BV29" s="14">
        <v>814</v>
      </c>
      <c r="BW29" s="14">
        <v>107075</v>
      </c>
      <c r="BX29" s="73">
        <v>214231</v>
      </c>
      <c r="BY29" s="73">
        <v>187985</v>
      </c>
      <c r="BZ29" s="98"/>
      <c r="CA29" s="98"/>
      <c r="CB29" s="73">
        <v>22142</v>
      </c>
      <c r="CC29" s="73">
        <v>131518</v>
      </c>
      <c r="CD29" s="73">
        <v>34325</v>
      </c>
    </row>
    <row r="30" spans="1:82" x14ac:dyDescent="0.35">
      <c r="A30" s="4">
        <v>29</v>
      </c>
      <c r="B30" s="9" t="s">
        <v>31</v>
      </c>
      <c r="C30" s="6">
        <v>168391</v>
      </c>
      <c r="D30" s="7">
        <v>854</v>
      </c>
      <c r="E30" s="8">
        <v>72037.370469377391</v>
      </c>
      <c r="F30" s="73">
        <v>143031</v>
      </c>
      <c r="G30" s="73">
        <v>168391</v>
      </c>
      <c r="H30" s="98"/>
      <c r="I30" s="98"/>
      <c r="J30" s="73">
        <v>26332</v>
      </c>
      <c r="K30" s="73">
        <v>84357</v>
      </c>
      <c r="L30" s="73">
        <v>57702</v>
      </c>
      <c r="M30" s="12">
        <v>149692</v>
      </c>
      <c r="N30" s="13">
        <v>813</v>
      </c>
      <c r="O30" s="14">
        <v>57141</v>
      </c>
      <c r="P30" s="73">
        <v>140401</v>
      </c>
      <c r="Q30" s="73">
        <v>149692</v>
      </c>
      <c r="R30" s="98"/>
      <c r="S30" s="98"/>
      <c r="T30" s="73">
        <v>17981</v>
      </c>
      <c r="U30" s="73">
        <v>70306</v>
      </c>
      <c r="V30" s="73">
        <v>61406</v>
      </c>
      <c r="W30" s="6">
        <v>148730</v>
      </c>
      <c r="X30" s="14">
        <v>810</v>
      </c>
      <c r="Y30" s="14">
        <v>61090</v>
      </c>
      <c r="Z30" s="73">
        <v>136453</v>
      </c>
      <c r="AA30" s="119">
        <v>148730</v>
      </c>
      <c r="AB30" s="98"/>
      <c r="AC30" s="98"/>
      <c r="AD30" s="73">
        <v>19466</v>
      </c>
      <c r="AE30" s="73">
        <v>75385</v>
      </c>
      <c r="AF30" s="73">
        <v>53878</v>
      </c>
      <c r="AG30" s="19">
        <v>145786.59</v>
      </c>
      <c r="AH30" s="20">
        <v>793.140642496125</v>
      </c>
      <c r="AI30" s="14">
        <v>54332.996663599159</v>
      </c>
      <c r="AJ30" s="73">
        <v>136253</v>
      </c>
      <c r="AK30" s="19">
        <v>145786.59</v>
      </c>
      <c r="AL30" s="98"/>
      <c r="AM30" s="98"/>
      <c r="AN30" s="73">
        <v>17978</v>
      </c>
      <c r="AO30" s="73">
        <v>68504</v>
      </c>
      <c r="AP30" s="73">
        <v>59305</v>
      </c>
      <c r="AQ30" s="19">
        <v>144970.58000000002</v>
      </c>
      <c r="AR30" s="14">
        <v>797.39233272822253</v>
      </c>
      <c r="AS30" s="14">
        <v>71787.31</v>
      </c>
      <c r="AT30" s="73">
        <v>135375</v>
      </c>
      <c r="AU30" s="111">
        <v>144971</v>
      </c>
      <c r="AV30" s="112"/>
      <c r="AW30" s="112"/>
      <c r="AX30" s="73">
        <v>19128</v>
      </c>
      <c r="AY30" s="73">
        <v>90028</v>
      </c>
      <c r="AZ30" s="73">
        <v>35815</v>
      </c>
      <c r="BA30" s="73">
        <v>144381</v>
      </c>
      <c r="BB30" s="14">
        <v>797</v>
      </c>
      <c r="BC30" s="14">
        <v>71543</v>
      </c>
      <c r="BD30" s="73">
        <v>134626</v>
      </c>
      <c r="BE30" s="73">
        <v>144381</v>
      </c>
      <c r="BF30" s="98"/>
      <c r="BG30" s="98"/>
      <c r="BH30" s="73">
        <v>17866</v>
      </c>
      <c r="BI30" s="73">
        <v>89863</v>
      </c>
      <c r="BJ30" s="73">
        <v>36652</v>
      </c>
      <c r="BK30" s="19">
        <v>144039</v>
      </c>
      <c r="BL30" s="14">
        <v>789</v>
      </c>
      <c r="BM30" s="14">
        <v>76276</v>
      </c>
      <c r="BN30" s="73">
        <v>133947</v>
      </c>
      <c r="BO30" s="73">
        <v>144039</v>
      </c>
      <c r="BP30" s="98"/>
      <c r="BQ30" s="98"/>
      <c r="BR30" s="73">
        <v>8742</v>
      </c>
      <c r="BS30" s="73">
        <v>96637</v>
      </c>
      <c r="BT30" s="73">
        <v>38660</v>
      </c>
      <c r="BU30" s="19">
        <v>143426</v>
      </c>
      <c r="BV30" s="14">
        <v>794</v>
      </c>
      <c r="BW30" s="14">
        <v>70946</v>
      </c>
      <c r="BX30" s="73">
        <v>133333</v>
      </c>
      <c r="BY30" s="73">
        <v>143426</v>
      </c>
      <c r="BZ30" s="98"/>
      <c r="CA30" s="98"/>
      <c r="CB30" s="73">
        <v>5807</v>
      </c>
      <c r="CC30" s="73">
        <v>89388</v>
      </c>
      <c r="CD30" s="73">
        <v>48231</v>
      </c>
    </row>
    <row r="31" spans="1:82" x14ac:dyDescent="0.35">
      <c r="A31" s="4">
        <v>30</v>
      </c>
      <c r="B31" s="9" t="s">
        <v>32</v>
      </c>
      <c r="C31" s="6">
        <v>254108.33</v>
      </c>
      <c r="D31" s="7">
        <v>852</v>
      </c>
      <c r="E31" s="8">
        <v>125078.549290018</v>
      </c>
      <c r="F31" s="73">
        <v>165195</v>
      </c>
      <c r="G31" s="73">
        <v>254108</v>
      </c>
      <c r="H31" s="98"/>
      <c r="I31" s="98"/>
      <c r="J31" s="73">
        <v>38447</v>
      </c>
      <c r="K31" s="73">
        <v>146874</v>
      </c>
      <c r="L31" s="73">
        <v>68787</v>
      </c>
      <c r="M31" s="12">
        <v>255779</v>
      </c>
      <c r="N31" s="13">
        <v>817</v>
      </c>
      <c r="O31" s="14">
        <v>91808</v>
      </c>
      <c r="P31" s="73">
        <v>165530</v>
      </c>
      <c r="Q31" s="73">
        <v>255779</v>
      </c>
      <c r="R31" s="98"/>
      <c r="S31" s="98"/>
      <c r="T31" s="73">
        <v>42231</v>
      </c>
      <c r="U31" s="73">
        <v>112372</v>
      </c>
      <c r="V31" s="73">
        <v>101176</v>
      </c>
      <c r="W31" s="6">
        <v>257582</v>
      </c>
      <c r="X31" s="14">
        <v>740</v>
      </c>
      <c r="Y31" s="14">
        <v>101030</v>
      </c>
      <c r="Z31" s="73">
        <v>165584</v>
      </c>
      <c r="AA31" s="119">
        <v>257582</v>
      </c>
      <c r="AB31" s="98"/>
      <c r="AC31" s="98"/>
      <c r="AD31" s="73">
        <v>36916</v>
      </c>
      <c r="AE31" s="73">
        <v>136613</v>
      </c>
      <c r="AF31" s="73">
        <v>84053</v>
      </c>
      <c r="AG31" s="19">
        <v>254957.25</v>
      </c>
      <c r="AH31" s="20">
        <v>664.58223329836494</v>
      </c>
      <c r="AI31" s="14">
        <v>92831</v>
      </c>
      <c r="AJ31" s="73">
        <v>165214</v>
      </c>
      <c r="AK31" s="19">
        <v>254957.25</v>
      </c>
      <c r="AL31" s="98"/>
      <c r="AM31" s="98"/>
      <c r="AN31" s="73">
        <v>36939</v>
      </c>
      <c r="AO31" s="73">
        <v>139683</v>
      </c>
      <c r="AP31" s="73">
        <v>78335</v>
      </c>
      <c r="AQ31" s="19">
        <v>254811.09</v>
      </c>
      <c r="AR31" s="14">
        <v>650.09830568594828</v>
      </c>
      <c r="AS31" s="14">
        <v>123088.29999999997</v>
      </c>
      <c r="AT31" s="73">
        <v>165007</v>
      </c>
      <c r="AU31" s="111">
        <v>254811</v>
      </c>
      <c r="AV31" s="112"/>
      <c r="AW31" s="112"/>
      <c r="AX31" s="73">
        <v>41957</v>
      </c>
      <c r="AY31" s="73">
        <v>189338</v>
      </c>
      <c r="AZ31" s="73">
        <v>23516</v>
      </c>
      <c r="BA31" s="73">
        <v>246296</v>
      </c>
      <c r="BB31" s="14">
        <v>725</v>
      </c>
      <c r="BC31" s="14">
        <v>137737</v>
      </c>
      <c r="BD31" s="73">
        <v>158513</v>
      </c>
      <c r="BE31" s="73">
        <v>246296</v>
      </c>
      <c r="BF31" s="98"/>
      <c r="BG31" s="98"/>
      <c r="BH31" s="73">
        <v>36887</v>
      </c>
      <c r="BI31" s="73">
        <v>177606</v>
      </c>
      <c r="BJ31" s="73">
        <v>31803</v>
      </c>
      <c r="BK31" s="19">
        <v>244655</v>
      </c>
      <c r="BL31" s="14">
        <v>660</v>
      </c>
      <c r="BM31" s="14">
        <v>114002</v>
      </c>
      <c r="BN31" s="73">
        <v>156296</v>
      </c>
      <c r="BO31" s="73">
        <v>244655</v>
      </c>
      <c r="BP31" s="98"/>
      <c r="BQ31" s="98"/>
      <c r="BR31" s="73">
        <v>34278</v>
      </c>
      <c r="BS31" s="73">
        <v>172860</v>
      </c>
      <c r="BT31" s="73">
        <v>37517</v>
      </c>
      <c r="BU31" s="19">
        <v>244652</v>
      </c>
      <c r="BV31" s="14">
        <v>663</v>
      </c>
      <c r="BW31" s="14">
        <v>144828</v>
      </c>
      <c r="BX31" s="73">
        <v>156296</v>
      </c>
      <c r="BY31" s="73">
        <v>244652</v>
      </c>
      <c r="BZ31" s="98"/>
      <c r="CA31" s="98"/>
      <c r="CB31" s="73">
        <v>35553</v>
      </c>
      <c r="CC31" s="73">
        <v>173250</v>
      </c>
      <c r="CD31" s="73">
        <v>35849</v>
      </c>
    </row>
    <row r="32" spans="1:82" x14ac:dyDescent="0.35">
      <c r="A32" s="4">
        <v>31</v>
      </c>
      <c r="B32" s="9" t="s">
        <v>33</v>
      </c>
      <c r="C32" s="6">
        <v>30134.47</v>
      </c>
      <c r="D32" s="7">
        <v>594</v>
      </c>
      <c r="E32" s="8">
        <v>9680.3267325189445</v>
      </c>
      <c r="F32" s="73">
        <v>34075</v>
      </c>
      <c r="G32" s="73">
        <v>26878</v>
      </c>
      <c r="H32" s="73">
        <v>2053</v>
      </c>
      <c r="I32" s="73">
        <v>1203</v>
      </c>
      <c r="J32" s="73">
        <v>6024</v>
      </c>
      <c r="K32" s="73">
        <v>16294</v>
      </c>
      <c r="L32" s="73">
        <v>7817</v>
      </c>
      <c r="M32" s="12">
        <v>28298</v>
      </c>
      <c r="N32" s="13">
        <v>649</v>
      </c>
      <c r="O32" s="14">
        <v>8646</v>
      </c>
      <c r="P32" s="73">
        <v>33430</v>
      </c>
      <c r="Q32" s="73">
        <v>25042</v>
      </c>
      <c r="R32" s="73">
        <v>2053</v>
      </c>
      <c r="S32" s="73">
        <v>1203</v>
      </c>
      <c r="T32" s="73">
        <v>6225</v>
      </c>
      <c r="U32" s="73">
        <v>13329</v>
      </c>
      <c r="V32" s="73">
        <v>8714</v>
      </c>
      <c r="W32" s="6">
        <v>28229</v>
      </c>
      <c r="X32" s="14">
        <v>622</v>
      </c>
      <c r="Y32" s="14">
        <v>8853</v>
      </c>
      <c r="Z32" s="73">
        <v>33340</v>
      </c>
      <c r="AA32" s="119">
        <v>24973</v>
      </c>
      <c r="AB32" s="73">
        <v>2053</v>
      </c>
      <c r="AC32" s="73">
        <v>1203</v>
      </c>
      <c r="AD32" s="73">
        <v>5828</v>
      </c>
      <c r="AE32" s="73">
        <v>14225</v>
      </c>
      <c r="AF32" s="73">
        <v>8176</v>
      </c>
      <c r="AG32" s="19">
        <v>28160.11</v>
      </c>
      <c r="AH32" s="20">
        <v>595.82507352851201</v>
      </c>
      <c r="AI32" s="14">
        <v>8404.6265367761225</v>
      </c>
      <c r="AJ32" s="73">
        <v>32896</v>
      </c>
      <c r="AK32" s="98"/>
      <c r="AL32" s="73">
        <v>2053</v>
      </c>
      <c r="AM32" s="73">
        <v>1203</v>
      </c>
      <c r="AN32" s="73">
        <v>6110</v>
      </c>
      <c r="AO32" s="73">
        <v>14106</v>
      </c>
      <c r="AP32" s="73">
        <v>7944</v>
      </c>
      <c r="AQ32" s="19">
        <v>26105.35</v>
      </c>
      <c r="AR32" s="14">
        <v>556.45915850530355</v>
      </c>
      <c r="AS32" s="14">
        <v>8236.9699999999993</v>
      </c>
      <c r="AT32" s="73">
        <v>32596</v>
      </c>
      <c r="AU32" s="111">
        <v>24046</v>
      </c>
      <c r="AV32" s="111">
        <v>2053</v>
      </c>
      <c r="AW32" s="112">
        <v>6</v>
      </c>
      <c r="AX32" s="73">
        <v>5951</v>
      </c>
      <c r="AY32" s="113">
        <v>14802</v>
      </c>
      <c r="AZ32" s="73">
        <v>5352</v>
      </c>
      <c r="BA32" s="19">
        <v>26033</v>
      </c>
      <c r="BB32" s="14">
        <v>556</v>
      </c>
      <c r="BC32" s="14">
        <v>8238</v>
      </c>
      <c r="BD32" s="73">
        <v>32596</v>
      </c>
      <c r="BE32" s="73">
        <v>24046</v>
      </c>
      <c r="BF32" s="73">
        <v>2053</v>
      </c>
      <c r="BG32" s="98">
        <v>6</v>
      </c>
      <c r="BH32" s="73">
        <v>5887</v>
      </c>
      <c r="BI32" s="73">
        <v>14878</v>
      </c>
      <c r="BJ32" s="73">
        <v>5340</v>
      </c>
      <c r="BK32" s="19">
        <v>24052</v>
      </c>
      <c r="BL32" s="14">
        <v>550</v>
      </c>
      <c r="BM32" s="14">
        <v>8203</v>
      </c>
      <c r="BN32" s="73">
        <v>32597</v>
      </c>
      <c r="BO32" s="73">
        <v>24047</v>
      </c>
      <c r="BP32" s="98"/>
      <c r="BQ32" s="98"/>
      <c r="BR32" s="73">
        <v>5810</v>
      </c>
      <c r="BS32" s="73">
        <v>14926</v>
      </c>
      <c r="BT32" s="73">
        <v>3316</v>
      </c>
      <c r="BU32" s="19">
        <v>24046</v>
      </c>
      <c r="BV32" s="14">
        <v>550</v>
      </c>
      <c r="BW32" s="14">
        <v>8243</v>
      </c>
      <c r="BX32" s="73">
        <v>32592</v>
      </c>
      <c r="BY32" s="73">
        <v>24040</v>
      </c>
      <c r="BZ32" s="98"/>
      <c r="CA32" s="98">
        <v>6</v>
      </c>
      <c r="CB32" s="73">
        <v>5746</v>
      </c>
      <c r="CC32" s="73">
        <v>14990</v>
      </c>
      <c r="CD32" s="73">
        <v>3310</v>
      </c>
    </row>
    <row r="33" spans="1:82" x14ac:dyDescent="0.35">
      <c r="A33" s="4">
        <v>32</v>
      </c>
      <c r="B33" s="9" t="s">
        <v>34</v>
      </c>
      <c r="C33" s="6">
        <v>33001.1</v>
      </c>
      <c r="D33" s="7">
        <v>683</v>
      </c>
      <c r="E33" s="8">
        <v>10378.50746962152</v>
      </c>
      <c r="F33" s="73">
        <v>25334</v>
      </c>
      <c r="G33" s="73">
        <v>33001</v>
      </c>
      <c r="H33" s="98"/>
      <c r="I33" s="98"/>
      <c r="J33" s="73">
        <v>9983</v>
      </c>
      <c r="K33" s="73">
        <v>15202</v>
      </c>
      <c r="L33" s="73">
        <v>7817</v>
      </c>
      <c r="M33" s="12">
        <v>32598</v>
      </c>
      <c r="N33" s="13">
        <v>683</v>
      </c>
      <c r="O33" s="14">
        <v>8737</v>
      </c>
      <c r="P33" s="73">
        <v>24031</v>
      </c>
      <c r="Q33" s="73">
        <v>32598</v>
      </c>
      <c r="R33" s="98"/>
      <c r="S33" s="98"/>
      <c r="T33" s="73">
        <v>10382</v>
      </c>
      <c r="U33" s="73">
        <v>12796</v>
      </c>
      <c r="V33" s="73">
        <v>9419</v>
      </c>
      <c r="W33" s="6">
        <v>32552</v>
      </c>
      <c r="X33" s="14">
        <v>652</v>
      </c>
      <c r="Y33" s="14">
        <v>8770</v>
      </c>
      <c r="Z33" s="73">
        <v>24031</v>
      </c>
      <c r="AA33" s="119">
        <v>32552</v>
      </c>
      <c r="AB33" s="98"/>
      <c r="AC33" s="98"/>
      <c r="AD33" s="73">
        <v>10384</v>
      </c>
      <c r="AE33" s="73">
        <v>13451</v>
      </c>
      <c r="AF33" s="73">
        <v>8717</v>
      </c>
      <c r="AG33" s="19">
        <v>32436.600000000002</v>
      </c>
      <c r="AH33" s="20">
        <v>645.44546566564543</v>
      </c>
      <c r="AI33" s="14">
        <v>8526.8770491544383</v>
      </c>
      <c r="AJ33" s="73">
        <v>24049</v>
      </c>
      <c r="AK33" s="19">
        <v>32436.600000000002</v>
      </c>
      <c r="AL33" s="98"/>
      <c r="AM33" s="98"/>
      <c r="AN33" s="73">
        <v>9690</v>
      </c>
      <c r="AO33" s="73">
        <v>13211</v>
      </c>
      <c r="AP33" s="73">
        <v>9536</v>
      </c>
      <c r="AQ33" s="19">
        <v>24932.5</v>
      </c>
      <c r="AR33" s="14">
        <v>727.58474093755933</v>
      </c>
      <c r="AS33" s="14">
        <v>9584.11</v>
      </c>
      <c r="AT33" s="73">
        <v>21423</v>
      </c>
      <c r="AU33" s="111">
        <v>24933</v>
      </c>
      <c r="AV33" s="112"/>
      <c r="AW33" s="112"/>
      <c r="AX33" s="73">
        <v>6721</v>
      </c>
      <c r="AY33" s="73">
        <v>13173</v>
      </c>
      <c r="AZ33" s="73">
        <v>5039</v>
      </c>
      <c r="BA33" s="73">
        <v>23531</v>
      </c>
      <c r="BB33" s="14">
        <v>728</v>
      </c>
      <c r="BC33" s="14">
        <v>9590</v>
      </c>
      <c r="BD33" s="73">
        <v>19073</v>
      </c>
      <c r="BE33" s="73">
        <v>23531</v>
      </c>
      <c r="BF33" s="98"/>
      <c r="BG33" s="98"/>
      <c r="BH33" s="73">
        <v>5588</v>
      </c>
      <c r="BI33" s="73">
        <v>13067</v>
      </c>
      <c r="BJ33" s="73">
        <v>4858</v>
      </c>
      <c r="BK33" s="19">
        <v>22650</v>
      </c>
      <c r="BL33" s="14">
        <v>659</v>
      </c>
      <c r="BM33" s="14">
        <v>8699</v>
      </c>
      <c r="BN33" s="73">
        <v>17837</v>
      </c>
      <c r="BO33" s="73">
        <v>22650</v>
      </c>
      <c r="BP33" s="98"/>
      <c r="BQ33" s="98"/>
      <c r="BR33" s="73">
        <v>5267</v>
      </c>
      <c r="BS33" s="73">
        <v>12520</v>
      </c>
      <c r="BT33" s="73">
        <v>4863</v>
      </c>
      <c r="BU33" s="19">
        <v>22582</v>
      </c>
      <c r="BV33" s="14">
        <v>694</v>
      </c>
      <c r="BW33" s="14">
        <v>8676</v>
      </c>
      <c r="BX33" s="73">
        <v>17801</v>
      </c>
      <c r="BY33" s="73">
        <v>22582</v>
      </c>
      <c r="BZ33" s="98"/>
      <c r="CA33" s="98"/>
      <c r="CB33" s="73">
        <v>5245</v>
      </c>
      <c r="CC33" s="73">
        <v>12493</v>
      </c>
      <c r="CD33" s="73">
        <v>4844</v>
      </c>
    </row>
    <row r="34" spans="1:82" x14ac:dyDescent="0.35">
      <c r="A34" s="4">
        <v>33</v>
      </c>
      <c r="B34" s="9" t="s">
        <v>35</v>
      </c>
      <c r="C34" s="6">
        <v>38590</v>
      </c>
      <c r="D34" s="7">
        <v>480</v>
      </c>
      <c r="E34" s="8">
        <v>8937.0364001814196</v>
      </c>
      <c r="F34" s="73">
        <v>30003</v>
      </c>
      <c r="G34" s="73">
        <v>33590</v>
      </c>
      <c r="H34" s="98"/>
      <c r="I34" s="73">
        <v>5000</v>
      </c>
      <c r="J34" s="73">
        <v>9718</v>
      </c>
      <c r="K34" s="73">
        <v>18618</v>
      </c>
      <c r="L34" s="73">
        <v>10254</v>
      </c>
      <c r="M34" s="12">
        <v>39922</v>
      </c>
      <c r="N34" s="13">
        <v>484</v>
      </c>
      <c r="O34" s="14">
        <v>8588</v>
      </c>
      <c r="P34" s="73">
        <v>30910</v>
      </c>
      <c r="Q34" s="73">
        <v>34992</v>
      </c>
      <c r="R34" s="98"/>
      <c r="S34" s="73">
        <v>5000</v>
      </c>
      <c r="T34" s="73">
        <v>10599</v>
      </c>
      <c r="U34" s="73">
        <v>17740</v>
      </c>
      <c r="V34" s="73">
        <v>11583</v>
      </c>
      <c r="W34" s="6">
        <v>40223</v>
      </c>
      <c r="X34" s="14">
        <v>491</v>
      </c>
      <c r="Y34" s="14">
        <v>9298</v>
      </c>
      <c r="Z34" s="73">
        <v>30939</v>
      </c>
      <c r="AA34" s="119">
        <v>35223</v>
      </c>
      <c r="AB34" s="98"/>
      <c r="AC34" s="73">
        <v>5000</v>
      </c>
      <c r="AD34" s="73">
        <v>10644</v>
      </c>
      <c r="AE34" s="73">
        <v>18933</v>
      </c>
      <c r="AF34" s="73">
        <v>10646</v>
      </c>
      <c r="AG34" s="19">
        <v>39130.252629036062</v>
      </c>
      <c r="AH34" s="20">
        <v>526.89084937458301</v>
      </c>
      <c r="AI34" s="14">
        <v>9630.3546458771998</v>
      </c>
      <c r="AJ34" s="73">
        <v>37168</v>
      </c>
      <c r="AK34" s="98"/>
      <c r="AL34" s="98"/>
      <c r="AM34" s="73">
        <v>5000</v>
      </c>
      <c r="AN34" s="73">
        <v>9938</v>
      </c>
      <c r="AO34" s="73">
        <v>18274</v>
      </c>
      <c r="AP34" s="73">
        <v>10915</v>
      </c>
      <c r="AQ34" s="19">
        <v>34500</v>
      </c>
      <c r="AR34" s="14">
        <v>600.04427962583713</v>
      </c>
      <c r="AS34" s="14">
        <v>10841</v>
      </c>
      <c r="AT34" s="73">
        <v>37655</v>
      </c>
      <c r="AU34" s="111">
        <v>34500</v>
      </c>
      <c r="AV34" s="112"/>
      <c r="AW34" s="112"/>
      <c r="AX34" s="73">
        <v>10201</v>
      </c>
      <c r="AY34" s="73">
        <v>18067</v>
      </c>
      <c r="AZ34" s="73">
        <v>6232</v>
      </c>
      <c r="BA34" s="73">
        <v>34004</v>
      </c>
      <c r="BB34" s="14">
        <v>600</v>
      </c>
      <c r="BC34" s="14">
        <v>10845</v>
      </c>
      <c r="BD34" s="73">
        <v>37655</v>
      </c>
      <c r="BE34" s="73">
        <v>34004</v>
      </c>
      <c r="BF34" s="98"/>
      <c r="BG34" s="98"/>
      <c r="BH34" s="73">
        <v>10579</v>
      </c>
      <c r="BI34" s="73">
        <v>17198</v>
      </c>
      <c r="BJ34" s="73">
        <v>6227</v>
      </c>
      <c r="BK34" s="19">
        <v>34136</v>
      </c>
      <c r="BL34" s="14">
        <v>605</v>
      </c>
      <c r="BM34" s="14">
        <v>10407</v>
      </c>
      <c r="BN34" s="73">
        <v>37810</v>
      </c>
      <c r="BO34" s="73">
        <v>34136</v>
      </c>
      <c r="BP34" s="98"/>
      <c r="BQ34" s="98"/>
      <c r="BR34" s="73">
        <v>10706</v>
      </c>
      <c r="BS34" s="73">
        <v>17198</v>
      </c>
      <c r="BT34" s="73">
        <v>6232</v>
      </c>
      <c r="BU34" s="19">
        <v>34136</v>
      </c>
      <c r="BV34" s="14">
        <v>609</v>
      </c>
      <c r="BW34" s="14">
        <v>10467</v>
      </c>
      <c r="BX34" s="73">
        <v>37801</v>
      </c>
      <c r="BY34" s="73">
        <v>34136</v>
      </c>
      <c r="BZ34" s="98"/>
      <c r="CA34" s="98"/>
      <c r="CB34" s="73">
        <v>10706</v>
      </c>
      <c r="CC34" s="73">
        <v>17198</v>
      </c>
      <c r="CD34" s="73">
        <v>6232</v>
      </c>
    </row>
    <row r="35" spans="1:82" x14ac:dyDescent="0.35">
      <c r="A35" s="4">
        <v>34</v>
      </c>
      <c r="B35" s="9" t="s">
        <v>36</v>
      </c>
      <c r="C35" s="6">
        <v>10661.50379434073</v>
      </c>
      <c r="D35" s="7">
        <v>555</v>
      </c>
      <c r="E35" s="8">
        <v>3661.387126913567</v>
      </c>
      <c r="F35" s="73">
        <v>9102</v>
      </c>
      <c r="G35" s="73">
        <v>10662</v>
      </c>
      <c r="H35" s="98"/>
      <c r="I35" s="98"/>
      <c r="J35" s="73">
        <v>1242</v>
      </c>
      <c r="K35" s="73">
        <v>6594</v>
      </c>
      <c r="L35" s="73">
        <v>6594</v>
      </c>
      <c r="M35" s="12">
        <v>10662</v>
      </c>
      <c r="N35" s="13">
        <v>658</v>
      </c>
      <c r="O35" s="14">
        <v>3338</v>
      </c>
      <c r="P35" s="73">
        <v>9102</v>
      </c>
      <c r="Q35" s="73">
        <v>10662</v>
      </c>
      <c r="R35" s="98"/>
      <c r="S35" s="98"/>
      <c r="T35" s="73">
        <v>1252</v>
      </c>
      <c r="U35" s="73">
        <v>5073</v>
      </c>
      <c r="V35" s="73">
        <v>4337</v>
      </c>
      <c r="W35" s="6">
        <v>10661</v>
      </c>
      <c r="X35" s="14">
        <v>658</v>
      </c>
      <c r="Y35" s="16">
        <v>3599</v>
      </c>
      <c r="Z35" s="73">
        <v>9102</v>
      </c>
      <c r="AA35" s="119">
        <v>10661</v>
      </c>
      <c r="AB35" s="98"/>
      <c r="AC35" s="98"/>
      <c r="AD35" s="73">
        <v>1252</v>
      </c>
      <c r="AE35" s="73">
        <v>5468</v>
      </c>
      <c r="AF35" s="73">
        <v>3941</v>
      </c>
      <c r="AG35" s="19">
        <v>13884.650000000001</v>
      </c>
      <c r="AH35" s="20">
        <v>675.20983213429258</v>
      </c>
      <c r="AI35" s="21">
        <v>3339.4402422360035</v>
      </c>
      <c r="AJ35" s="73">
        <v>9657</v>
      </c>
      <c r="AK35" s="19">
        <v>13884.650000000001</v>
      </c>
      <c r="AL35" s="98"/>
      <c r="AM35" s="98"/>
      <c r="AN35" s="73">
        <v>987</v>
      </c>
      <c r="AO35" s="73">
        <v>4946</v>
      </c>
      <c r="AP35" s="73">
        <v>7952</v>
      </c>
      <c r="AQ35" s="19">
        <v>14394</v>
      </c>
      <c r="AR35" s="14">
        <v>660.8224016145308</v>
      </c>
      <c r="AS35" s="16">
        <v>5239</v>
      </c>
      <c r="AT35" s="73">
        <v>9707</v>
      </c>
      <c r="AU35" s="111">
        <v>14394</v>
      </c>
      <c r="AV35" s="112"/>
      <c r="AW35" s="112"/>
      <c r="AX35" s="98">
        <v>125</v>
      </c>
      <c r="AY35" s="73">
        <v>7928</v>
      </c>
      <c r="AZ35" s="73">
        <v>6341</v>
      </c>
      <c r="BA35" s="73">
        <v>13242</v>
      </c>
      <c r="BB35" s="14">
        <v>664</v>
      </c>
      <c r="BC35" s="24">
        <v>5267</v>
      </c>
      <c r="BD35" s="73">
        <v>9245</v>
      </c>
      <c r="BE35" s="73">
        <v>13242</v>
      </c>
      <c r="BF35" s="98"/>
      <c r="BG35" s="98"/>
      <c r="BH35" s="73">
        <v>235</v>
      </c>
      <c r="BI35" s="73">
        <v>6750</v>
      </c>
      <c r="BJ35" s="73">
        <v>6257</v>
      </c>
      <c r="BK35" s="19">
        <v>13568</v>
      </c>
      <c r="BL35" s="14">
        <v>409</v>
      </c>
      <c r="BM35" s="16">
        <v>1325</v>
      </c>
      <c r="BN35" s="73">
        <v>9165</v>
      </c>
      <c r="BO35" s="73">
        <v>13568</v>
      </c>
      <c r="BP35" s="98"/>
      <c r="BQ35" s="98"/>
      <c r="BR35" s="98">
        <v>987</v>
      </c>
      <c r="BS35" s="73">
        <v>3240</v>
      </c>
      <c r="BT35" s="73">
        <v>9340</v>
      </c>
      <c r="BU35" s="19">
        <v>13441</v>
      </c>
      <c r="BV35" s="14">
        <v>325</v>
      </c>
      <c r="BW35" s="21">
        <v>1037</v>
      </c>
      <c r="BX35" s="73">
        <v>6277</v>
      </c>
      <c r="BY35" s="73">
        <v>13441</v>
      </c>
      <c r="BZ35" s="98"/>
      <c r="CA35" s="98"/>
      <c r="CB35" s="73">
        <v>1005</v>
      </c>
      <c r="CC35" s="73">
        <v>3194</v>
      </c>
      <c r="CD35" s="73">
        <v>9241</v>
      </c>
    </row>
    <row r="36" spans="1:82" x14ac:dyDescent="0.35">
      <c r="A36" s="123"/>
      <c r="B36" s="124" t="s">
        <v>105</v>
      </c>
      <c r="C36" s="125">
        <f>SUM(C2:C35)</f>
        <v>1727437.0745835761</v>
      </c>
      <c r="D36" s="125">
        <f t="shared" ref="D36:V36" si="0">SUM(D2:D35)</f>
        <v>21632</v>
      </c>
      <c r="E36" s="125">
        <f t="shared" si="0"/>
        <v>728413.67988073232</v>
      </c>
      <c r="F36" s="125">
        <f t="shared" si="0"/>
        <v>1732325</v>
      </c>
      <c r="G36" s="125">
        <f t="shared" si="0"/>
        <v>1686178</v>
      </c>
      <c r="H36" s="125">
        <f t="shared" si="0"/>
        <v>15171</v>
      </c>
      <c r="I36" s="125">
        <f t="shared" si="0"/>
        <v>26088</v>
      </c>
      <c r="J36" s="125">
        <f t="shared" si="0"/>
        <v>421385</v>
      </c>
      <c r="K36" s="125">
        <f t="shared" si="0"/>
        <v>907379</v>
      </c>
      <c r="L36" s="125">
        <f t="shared" si="0"/>
        <v>402440</v>
      </c>
      <c r="M36" s="125">
        <f t="shared" si="0"/>
        <v>1709286</v>
      </c>
      <c r="N36" s="125">
        <f t="shared" si="0"/>
        <v>21866</v>
      </c>
      <c r="O36" s="125">
        <f t="shared" si="0"/>
        <v>593327</v>
      </c>
      <c r="P36" s="125">
        <f t="shared" si="0"/>
        <v>1715218</v>
      </c>
      <c r="Q36" s="125">
        <f t="shared" si="0"/>
        <v>1667769</v>
      </c>
      <c r="R36" s="125">
        <f t="shared" si="0"/>
        <v>15171</v>
      </c>
      <c r="S36" s="125">
        <f t="shared" si="0"/>
        <v>26776</v>
      </c>
      <c r="T36" s="125">
        <f t="shared" si="0"/>
        <v>410434</v>
      </c>
      <c r="U36" s="125">
        <f t="shared" si="0"/>
        <v>765823</v>
      </c>
      <c r="V36" s="125">
        <f t="shared" si="0"/>
        <v>532957</v>
      </c>
      <c r="W36" s="40">
        <f>SUM(W2:W34)</f>
        <v>1710114</v>
      </c>
      <c r="X36" s="40">
        <f t="shared" ref="X36:AF36" si="1">SUM(X2:X34)</f>
        <v>21963</v>
      </c>
      <c r="Y36" s="40">
        <f t="shared" si="1"/>
        <v>654799</v>
      </c>
      <c r="Z36" s="40">
        <f t="shared" si="1"/>
        <v>1717257</v>
      </c>
      <c r="AA36" s="40">
        <f t="shared" si="1"/>
        <v>1595261</v>
      </c>
      <c r="AB36" s="40">
        <f t="shared" si="1"/>
        <v>14792</v>
      </c>
      <c r="AC36" s="40">
        <f t="shared" si="1"/>
        <v>27703</v>
      </c>
      <c r="AD36" s="40">
        <f t="shared" si="1"/>
        <v>368661</v>
      </c>
      <c r="AE36" s="40">
        <f t="shared" si="1"/>
        <v>819332</v>
      </c>
      <c r="AF36" s="40">
        <f t="shared" si="1"/>
        <v>522132</v>
      </c>
      <c r="AG36" s="127">
        <f>SUM(AG2:AG35)</f>
        <v>1658420.9578540551</v>
      </c>
      <c r="AH36" s="127">
        <f t="shared" ref="AH36:AP36" si="2">SUM(AH2:AH35)</f>
        <v>21716.192597210797</v>
      </c>
      <c r="AI36" s="127">
        <f t="shared" si="2"/>
        <v>590683.69294533948</v>
      </c>
      <c r="AJ36" s="127">
        <f t="shared" si="2"/>
        <v>1704404</v>
      </c>
      <c r="AK36" s="127">
        <f t="shared" si="2"/>
        <v>619734.55701612972</v>
      </c>
      <c r="AL36" s="127">
        <f t="shared" si="2"/>
        <v>14943</v>
      </c>
      <c r="AM36" s="127">
        <f t="shared" si="2"/>
        <v>27522</v>
      </c>
      <c r="AN36" s="127">
        <f t="shared" si="2"/>
        <v>339481</v>
      </c>
      <c r="AO36" s="127">
        <f t="shared" si="2"/>
        <v>801281</v>
      </c>
      <c r="AP36" s="127">
        <f t="shared" si="2"/>
        <v>517697</v>
      </c>
      <c r="AQ36" s="129">
        <f>SUM(AQ2:AQ35)</f>
        <v>1611013.9686038888</v>
      </c>
      <c r="AR36" s="129">
        <f t="shared" ref="AR36:AZ36" si="3">SUM(AR2:AR35)</f>
        <v>21618.94126158896</v>
      </c>
      <c r="AS36" s="129">
        <f t="shared" si="3"/>
        <v>767280.05041280133</v>
      </c>
      <c r="AT36" s="129">
        <f t="shared" si="3"/>
        <v>1712481</v>
      </c>
      <c r="AU36" s="129">
        <f t="shared" si="3"/>
        <v>1584152</v>
      </c>
      <c r="AV36" s="129">
        <f t="shared" si="3"/>
        <v>12384</v>
      </c>
      <c r="AW36" s="129">
        <f t="shared" si="3"/>
        <v>14498</v>
      </c>
      <c r="AX36" s="129">
        <f t="shared" si="3"/>
        <v>305266</v>
      </c>
      <c r="AY36" s="129">
        <f t="shared" si="3"/>
        <v>979000</v>
      </c>
      <c r="AZ36" s="129">
        <f t="shared" si="3"/>
        <v>253942</v>
      </c>
      <c r="BA36" s="130">
        <f>SUM(BA2:BA35)</f>
        <v>1560861</v>
      </c>
      <c r="BB36" s="130">
        <f t="shared" ref="BB36:BJ36" si="4">SUM(BB2:BB35)</f>
        <v>21330</v>
      </c>
      <c r="BC36" s="130">
        <f t="shared" si="4"/>
        <v>783979</v>
      </c>
      <c r="BD36" s="130">
        <f t="shared" si="4"/>
        <v>1669757</v>
      </c>
      <c r="BE36" s="130">
        <f t="shared" si="4"/>
        <v>1542738</v>
      </c>
      <c r="BF36" s="130">
        <f t="shared" si="4"/>
        <v>7499</v>
      </c>
      <c r="BG36" s="130">
        <f t="shared" si="4"/>
        <v>10742</v>
      </c>
      <c r="BH36" s="130">
        <f t="shared" si="4"/>
        <v>282926</v>
      </c>
      <c r="BI36" s="130">
        <f t="shared" si="4"/>
        <v>1019604</v>
      </c>
      <c r="BJ36" s="130">
        <f t="shared" si="4"/>
        <v>258416</v>
      </c>
      <c r="BK36" s="131">
        <f>SUM(BK2:BK35)</f>
        <v>1508992</v>
      </c>
      <c r="BL36" s="131">
        <f t="shared" ref="BL36:BT36" si="5">SUM(BL2:BL35)</f>
        <v>20984</v>
      </c>
      <c r="BM36" s="131">
        <f t="shared" si="5"/>
        <v>720658</v>
      </c>
      <c r="BN36" s="131">
        <f t="shared" si="5"/>
        <v>1634914</v>
      </c>
      <c r="BO36" s="131">
        <f t="shared" si="5"/>
        <v>1489339</v>
      </c>
      <c r="BP36" s="131">
        <f t="shared" si="5"/>
        <v>4810</v>
      </c>
      <c r="BQ36" s="131">
        <f t="shared" si="5"/>
        <v>9026</v>
      </c>
      <c r="BR36" s="131">
        <f t="shared" si="5"/>
        <v>254855</v>
      </c>
      <c r="BS36" s="131">
        <f t="shared" si="5"/>
        <v>996760</v>
      </c>
      <c r="BT36" s="131">
        <f t="shared" si="5"/>
        <v>257253</v>
      </c>
      <c r="BU36" s="127">
        <f>SUM(BU2:BU35)</f>
        <v>1478111</v>
      </c>
      <c r="BV36" s="127">
        <f t="shared" ref="BV36:CD36" si="6">SUM(BV2:BV35)</f>
        <v>21484</v>
      </c>
      <c r="BW36" s="127">
        <f t="shared" si="6"/>
        <v>736637</v>
      </c>
      <c r="BX36" s="127">
        <f t="shared" si="6"/>
        <v>1625226</v>
      </c>
      <c r="BY36" s="127">
        <f t="shared" si="6"/>
        <v>1465948</v>
      </c>
      <c r="BZ36" s="127">
        <f t="shared" si="6"/>
        <v>654</v>
      </c>
      <c r="CA36" s="127">
        <f t="shared" si="6"/>
        <v>11473</v>
      </c>
      <c r="CB36" s="127">
        <f t="shared" si="6"/>
        <v>245495</v>
      </c>
      <c r="CC36" s="127">
        <f t="shared" si="6"/>
        <v>963972</v>
      </c>
      <c r="CD36" s="127">
        <f t="shared" si="6"/>
        <v>268371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5663-2E14-4A6F-976D-1125CC2445F0}">
  <dimension ref="A1:O426"/>
  <sheetViews>
    <sheetView zoomScale="85" zoomScaleNormal="85" workbookViewId="0">
      <pane ySplit="1" topLeftCell="A371" activePane="bottomLeft" state="frozen"/>
      <selection pane="bottomLeft" activeCell="M2" sqref="M2:M426"/>
    </sheetView>
  </sheetViews>
  <sheetFormatPr defaultRowHeight="11.5" x14ac:dyDescent="0.25"/>
  <cols>
    <col min="1" max="1" width="8.7265625" style="352"/>
    <col min="2" max="2" width="24.7265625" style="590" customWidth="1"/>
    <col min="3" max="3" width="17.453125" style="352" customWidth="1"/>
    <col min="4" max="4" width="14.26953125" style="352" customWidth="1"/>
    <col min="5" max="5" width="13.453125" style="352" customWidth="1"/>
    <col min="6" max="6" width="15.54296875" style="352" customWidth="1"/>
    <col min="7" max="7" width="27.453125" style="352" customWidth="1"/>
    <col min="8" max="8" width="32.453125" style="352" customWidth="1"/>
    <col min="9" max="9" width="25.26953125" style="352" customWidth="1"/>
    <col min="10" max="10" width="11.453125" style="352" customWidth="1"/>
    <col min="11" max="11" width="14.36328125" style="352" customWidth="1"/>
    <col min="12" max="12" width="13.08984375" style="352" customWidth="1"/>
    <col min="13" max="13" width="22.54296875" style="352" customWidth="1"/>
    <col min="14" max="14" width="24.26953125" style="352" customWidth="1"/>
    <col min="15" max="15" width="28" style="352" customWidth="1"/>
    <col min="16" max="16384" width="8.7265625" style="352"/>
  </cols>
  <sheetData>
    <row r="1" spans="1:13" ht="19" customHeight="1" x14ac:dyDescent="0.25">
      <c r="A1" s="352" t="s">
        <v>0</v>
      </c>
      <c r="B1" s="590" t="s">
        <v>162</v>
      </c>
      <c r="C1" s="352" t="s">
        <v>37</v>
      </c>
      <c r="D1" s="352" t="s">
        <v>38</v>
      </c>
      <c r="E1" s="352" t="s">
        <v>39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s="352" t="s">
        <v>1</v>
      </c>
    </row>
    <row r="2" spans="1:13" x14ac:dyDescent="0.25">
      <c r="A2" s="352">
        <v>1</v>
      </c>
      <c r="B2" s="591" t="s">
        <v>178</v>
      </c>
      <c r="C2" s="810">
        <v>19994</v>
      </c>
      <c r="D2" s="810">
        <v>811</v>
      </c>
      <c r="E2" s="810">
        <v>8230</v>
      </c>
      <c r="F2" s="810">
        <v>21287</v>
      </c>
      <c r="G2" s="810"/>
      <c r="H2" s="810"/>
      <c r="I2" s="810"/>
      <c r="J2" s="810">
        <v>4544</v>
      </c>
      <c r="K2" s="810">
        <v>10145</v>
      </c>
      <c r="L2" s="810">
        <v>5305</v>
      </c>
      <c r="M2" s="352" t="s">
        <v>2</v>
      </c>
    </row>
    <row r="3" spans="1:13" x14ac:dyDescent="0.25">
      <c r="A3" s="352">
        <v>2</v>
      </c>
      <c r="B3" s="591" t="s">
        <v>170</v>
      </c>
      <c r="C3" s="810">
        <v>13504</v>
      </c>
      <c r="D3" s="810">
        <v>664</v>
      </c>
      <c r="E3" s="810">
        <v>2996</v>
      </c>
      <c r="F3" s="810">
        <v>15443</v>
      </c>
      <c r="G3" s="810"/>
      <c r="H3" s="810"/>
      <c r="I3" s="810"/>
      <c r="J3" s="810">
        <v>3639</v>
      </c>
      <c r="K3" s="811">
        <v>4512</v>
      </c>
      <c r="L3" s="810">
        <v>5353</v>
      </c>
      <c r="M3" s="352" t="s">
        <v>2</v>
      </c>
    </row>
    <row r="4" spans="1:13" x14ac:dyDescent="0.25">
      <c r="A4" s="352">
        <v>3</v>
      </c>
      <c r="B4" s="591" t="s">
        <v>175</v>
      </c>
      <c r="C4" s="810">
        <v>12513</v>
      </c>
      <c r="D4" s="810">
        <v>790</v>
      </c>
      <c r="E4" s="810">
        <v>2292</v>
      </c>
      <c r="F4" s="810">
        <v>11650</v>
      </c>
      <c r="G4" s="810"/>
      <c r="H4" s="810"/>
      <c r="I4" s="810"/>
      <c r="J4" s="810">
        <v>2719</v>
      </c>
      <c r="K4" s="810">
        <v>5433</v>
      </c>
      <c r="L4" s="810">
        <v>4361</v>
      </c>
      <c r="M4" s="352" t="s">
        <v>2</v>
      </c>
    </row>
    <row r="5" spans="1:13" x14ac:dyDescent="0.25">
      <c r="A5" s="352">
        <v>4</v>
      </c>
      <c r="B5" s="591" t="s">
        <v>169</v>
      </c>
      <c r="C5" s="810">
        <f>10150+74</f>
        <v>10224</v>
      </c>
      <c r="D5" s="810">
        <f>699+812</f>
        <v>1511</v>
      </c>
      <c r="E5" s="810">
        <f>2821+60</f>
        <v>2881</v>
      </c>
      <c r="F5" s="810">
        <f>12322+59</f>
        <v>12381</v>
      </c>
      <c r="G5" s="810"/>
      <c r="H5" s="810"/>
      <c r="I5" s="810"/>
      <c r="J5" s="810">
        <v>2397</v>
      </c>
      <c r="K5" s="810">
        <f>4036+74</f>
        <v>4110</v>
      </c>
      <c r="L5" s="810">
        <v>3717</v>
      </c>
      <c r="M5" s="352" t="s">
        <v>2</v>
      </c>
    </row>
    <row r="6" spans="1:13" x14ac:dyDescent="0.25">
      <c r="A6" s="352">
        <v>5</v>
      </c>
      <c r="B6" s="591" t="s">
        <v>173</v>
      </c>
      <c r="C6" s="810">
        <v>9143</v>
      </c>
      <c r="D6" s="810">
        <v>611</v>
      </c>
      <c r="E6" s="810">
        <v>2398</v>
      </c>
      <c r="F6" s="810">
        <v>18587</v>
      </c>
      <c r="G6" s="810"/>
      <c r="H6" s="810"/>
      <c r="I6" s="810"/>
      <c r="J6" s="810">
        <v>3175</v>
      </c>
      <c r="K6" s="810">
        <v>3926</v>
      </c>
      <c r="L6" s="810">
        <v>2402</v>
      </c>
      <c r="M6" s="352" t="s">
        <v>2</v>
      </c>
    </row>
    <row r="7" spans="1:13" x14ac:dyDescent="0.25">
      <c r="A7" s="352">
        <v>6</v>
      </c>
      <c r="B7" s="591" t="s">
        <v>171</v>
      </c>
      <c r="C7" s="810">
        <v>6868</v>
      </c>
      <c r="D7" s="810">
        <v>652</v>
      </c>
      <c r="E7" s="810">
        <v>1550</v>
      </c>
      <c r="F7" s="810">
        <v>10602</v>
      </c>
      <c r="G7" s="810"/>
      <c r="H7" s="810"/>
      <c r="I7" s="810"/>
      <c r="J7" s="810">
        <v>2683</v>
      </c>
      <c r="K7" s="810">
        <v>2378</v>
      </c>
      <c r="L7" s="810">
        <v>1870</v>
      </c>
      <c r="M7" s="352" t="s">
        <v>2</v>
      </c>
    </row>
    <row r="8" spans="1:13" x14ac:dyDescent="0.25">
      <c r="A8" s="352">
        <v>7</v>
      </c>
      <c r="B8" s="591" t="s">
        <v>182</v>
      </c>
      <c r="C8" s="810">
        <v>5405</v>
      </c>
      <c r="D8" s="810">
        <v>442</v>
      </c>
      <c r="E8" s="810">
        <v>909</v>
      </c>
      <c r="F8" s="810">
        <v>8737</v>
      </c>
      <c r="G8" s="810"/>
      <c r="H8" s="810"/>
      <c r="I8" s="810"/>
      <c r="J8" s="810">
        <v>2211</v>
      </c>
      <c r="K8" s="810">
        <v>2153</v>
      </c>
      <c r="L8" s="810">
        <v>1041</v>
      </c>
      <c r="M8" s="352" t="s">
        <v>2</v>
      </c>
    </row>
    <row r="9" spans="1:13" x14ac:dyDescent="0.25">
      <c r="A9" s="352">
        <v>8</v>
      </c>
      <c r="B9" s="591" t="s">
        <v>179</v>
      </c>
      <c r="C9" s="810">
        <v>4493</v>
      </c>
      <c r="D9" s="810">
        <v>749</v>
      </c>
      <c r="E9" s="810">
        <v>584</v>
      </c>
      <c r="F9" s="810">
        <v>4177</v>
      </c>
      <c r="G9" s="810"/>
      <c r="H9" s="810"/>
      <c r="I9" s="810"/>
      <c r="J9" s="810">
        <v>3330</v>
      </c>
      <c r="K9" s="810">
        <v>779</v>
      </c>
      <c r="L9" s="810">
        <v>384</v>
      </c>
      <c r="M9" s="352" t="s">
        <v>2</v>
      </c>
    </row>
    <row r="10" spans="1:13" x14ac:dyDescent="0.25">
      <c r="A10" s="352">
        <v>9</v>
      </c>
      <c r="B10" s="591" t="s">
        <v>188</v>
      </c>
      <c r="C10" s="810">
        <v>4300</v>
      </c>
      <c r="D10" s="810">
        <v>459</v>
      </c>
      <c r="E10" s="810">
        <v>1585</v>
      </c>
      <c r="F10" s="810">
        <v>5707</v>
      </c>
      <c r="G10" s="810"/>
      <c r="H10" s="810"/>
      <c r="I10" s="810"/>
      <c r="J10" s="810">
        <v>231</v>
      </c>
      <c r="K10" s="810">
        <v>3456</v>
      </c>
      <c r="L10" s="810">
        <v>613</v>
      </c>
      <c r="M10" s="352" t="s">
        <v>2</v>
      </c>
    </row>
    <row r="11" spans="1:13" x14ac:dyDescent="0.25">
      <c r="A11" s="352">
        <v>10</v>
      </c>
      <c r="B11" s="591" t="s">
        <v>214</v>
      </c>
      <c r="C11" s="810">
        <v>3395</v>
      </c>
      <c r="D11" s="810">
        <v>891</v>
      </c>
      <c r="E11" s="810">
        <v>292</v>
      </c>
      <c r="F11" s="810">
        <v>3637</v>
      </c>
      <c r="G11" s="810"/>
      <c r="H11" s="810"/>
      <c r="I11" s="810"/>
      <c r="J11" s="810">
        <v>2834</v>
      </c>
      <c r="K11" s="810">
        <v>328</v>
      </c>
      <c r="L11" s="810">
        <v>233</v>
      </c>
      <c r="M11" s="352" t="s">
        <v>2</v>
      </c>
    </row>
    <row r="12" spans="1:13" x14ac:dyDescent="0.25">
      <c r="A12" s="352">
        <v>11</v>
      </c>
      <c r="B12" s="591" t="s">
        <v>177</v>
      </c>
      <c r="C12" s="810">
        <v>2022</v>
      </c>
      <c r="D12" s="810">
        <v>700</v>
      </c>
      <c r="E12" s="810">
        <v>501</v>
      </c>
      <c r="F12" s="810">
        <v>3820</v>
      </c>
      <c r="G12" s="810"/>
      <c r="H12" s="810"/>
      <c r="I12" s="810"/>
      <c r="J12" s="810">
        <v>586</v>
      </c>
      <c r="K12" s="810">
        <v>716</v>
      </c>
      <c r="L12" s="810">
        <v>720</v>
      </c>
      <c r="M12" s="352" t="s">
        <v>2</v>
      </c>
    </row>
    <row r="13" spans="1:13" x14ac:dyDescent="0.25">
      <c r="A13" s="352">
        <v>12</v>
      </c>
      <c r="B13" s="591" t="s">
        <v>183</v>
      </c>
      <c r="C13" s="810">
        <v>1924</v>
      </c>
      <c r="D13" s="810">
        <v>500</v>
      </c>
      <c r="E13" s="810">
        <v>167</v>
      </c>
      <c r="F13" s="810">
        <v>1406</v>
      </c>
      <c r="G13" s="810"/>
      <c r="H13" s="810"/>
      <c r="I13" s="810"/>
      <c r="J13" s="810">
        <v>760</v>
      </c>
      <c r="K13" s="810">
        <v>335</v>
      </c>
      <c r="L13" s="810">
        <v>829</v>
      </c>
      <c r="M13" s="352" t="s">
        <v>2</v>
      </c>
    </row>
    <row r="14" spans="1:13" x14ac:dyDescent="0.25">
      <c r="A14" s="352">
        <v>13</v>
      </c>
      <c r="B14" s="591" t="s">
        <v>185</v>
      </c>
      <c r="C14" s="810">
        <v>1365</v>
      </c>
      <c r="D14" s="810">
        <v>346</v>
      </c>
      <c r="E14" s="810">
        <v>226</v>
      </c>
      <c r="F14" s="810">
        <v>2759</v>
      </c>
      <c r="G14" s="810"/>
      <c r="H14" s="810"/>
      <c r="I14" s="810"/>
      <c r="J14" s="810">
        <v>539</v>
      </c>
      <c r="K14" s="810">
        <v>651</v>
      </c>
      <c r="L14" s="810">
        <v>175</v>
      </c>
      <c r="M14" s="352" t="s">
        <v>2</v>
      </c>
    </row>
    <row r="15" spans="1:13" x14ac:dyDescent="0.25">
      <c r="A15" s="352">
        <v>14</v>
      </c>
      <c r="B15" s="591" t="s">
        <v>180</v>
      </c>
      <c r="C15" s="810">
        <v>1292</v>
      </c>
      <c r="D15" s="810">
        <v>723</v>
      </c>
      <c r="E15" s="810">
        <v>109</v>
      </c>
      <c r="F15" s="810">
        <v>749</v>
      </c>
      <c r="G15" s="810"/>
      <c r="H15" s="810"/>
      <c r="I15" s="810"/>
      <c r="J15" s="810">
        <v>528</v>
      </c>
      <c r="K15" s="810">
        <v>150</v>
      </c>
      <c r="L15" s="810">
        <v>614</v>
      </c>
      <c r="M15" s="352" t="s">
        <v>2</v>
      </c>
    </row>
    <row r="16" spans="1:13" x14ac:dyDescent="0.25">
      <c r="A16" s="352">
        <v>15</v>
      </c>
      <c r="B16" s="591" t="s">
        <v>187</v>
      </c>
      <c r="C16" s="810">
        <v>1053</v>
      </c>
      <c r="D16" s="810">
        <v>734</v>
      </c>
      <c r="E16" s="810">
        <v>270</v>
      </c>
      <c r="F16" s="810">
        <v>1486</v>
      </c>
      <c r="G16" s="810"/>
      <c r="H16" s="810"/>
      <c r="I16" s="810"/>
      <c r="J16" s="810">
        <v>555</v>
      </c>
      <c r="K16" s="810">
        <v>368</v>
      </c>
      <c r="L16" s="810">
        <v>130</v>
      </c>
      <c r="M16" s="352" t="s">
        <v>2</v>
      </c>
    </row>
    <row r="17" spans="1:15" x14ac:dyDescent="0.25">
      <c r="A17" s="352">
        <v>16</v>
      </c>
      <c r="B17" s="591" t="s">
        <v>186</v>
      </c>
      <c r="C17" s="810">
        <v>916</v>
      </c>
      <c r="D17" s="810">
        <v>445</v>
      </c>
      <c r="E17" s="810">
        <v>146</v>
      </c>
      <c r="F17" s="810">
        <v>1381</v>
      </c>
      <c r="G17" s="810"/>
      <c r="H17" s="810"/>
      <c r="I17" s="810"/>
      <c r="J17" s="810">
        <v>511</v>
      </c>
      <c r="K17" s="810">
        <v>328</v>
      </c>
      <c r="L17" s="810">
        <v>77</v>
      </c>
      <c r="M17" s="352" t="s">
        <v>2</v>
      </c>
    </row>
    <row r="18" spans="1:15" x14ac:dyDescent="0.25">
      <c r="A18" s="352">
        <v>17</v>
      </c>
      <c r="B18" s="591" t="s">
        <v>181</v>
      </c>
      <c r="C18" s="810">
        <v>858</v>
      </c>
      <c r="D18" s="810">
        <v>663</v>
      </c>
      <c r="E18" s="810">
        <v>208</v>
      </c>
      <c r="F18" s="810">
        <v>1335</v>
      </c>
      <c r="G18" s="810"/>
      <c r="H18" s="810"/>
      <c r="I18" s="810"/>
      <c r="J18" s="810">
        <v>242</v>
      </c>
      <c r="K18" s="810">
        <v>313</v>
      </c>
      <c r="L18" s="810">
        <v>303</v>
      </c>
      <c r="M18" s="352" t="s">
        <v>2</v>
      </c>
    </row>
    <row r="19" spans="1:15" x14ac:dyDescent="0.25">
      <c r="A19" s="352">
        <v>18</v>
      </c>
      <c r="B19" s="591" t="s">
        <v>215</v>
      </c>
      <c r="C19" s="810">
        <v>737</v>
      </c>
      <c r="D19" s="810">
        <v>881</v>
      </c>
      <c r="E19" s="810">
        <v>219</v>
      </c>
      <c r="F19" s="810">
        <v>1122</v>
      </c>
      <c r="G19" s="810"/>
      <c r="H19" s="810"/>
      <c r="I19" s="810"/>
      <c r="J19" s="810">
        <v>54</v>
      </c>
      <c r="K19" s="810">
        <v>248</v>
      </c>
      <c r="L19" s="810">
        <v>435</v>
      </c>
      <c r="M19" s="352" t="s">
        <v>2</v>
      </c>
    </row>
    <row r="20" spans="1:15" x14ac:dyDescent="0.25">
      <c r="A20" s="352">
        <v>19</v>
      </c>
      <c r="B20" s="591" t="s">
        <v>184</v>
      </c>
      <c r="C20" s="810">
        <v>700</v>
      </c>
      <c r="D20" s="810">
        <v>629</v>
      </c>
      <c r="E20" s="810">
        <v>209</v>
      </c>
      <c r="F20" s="810">
        <v>1310</v>
      </c>
      <c r="G20" s="810"/>
      <c r="H20" s="810"/>
      <c r="I20" s="810"/>
      <c r="J20" s="810">
        <v>324</v>
      </c>
      <c r="K20" s="810">
        <v>332</v>
      </c>
      <c r="L20" s="810">
        <v>43</v>
      </c>
      <c r="M20" s="352" t="s">
        <v>2</v>
      </c>
    </row>
    <row r="21" spans="1:15" x14ac:dyDescent="0.25">
      <c r="A21" s="352">
        <v>20</v>
      </c>
      <c r="B21" s="591" t="s">
        <v>172</v>
      </c>
      <c r="C21" s="810">
        <v>525</v>
      </c>
      <c r="D21" s="810">
        <v>608</v>
      </c>
      <c r="E21" s="810">
        <v>111</v>
      </c>
      <c r="F21" s="810">
        <v>838</v>
      </c>
      <c r="G21" s="810"/>
      <c r="H21" s="810"/>
      <c r="I21" s="810"/>
      <c r="J21" s="810">
        <v>232</v>
      </c>
      <c r="K21" s="810">
        <v>183</v>
      </c>
      <c r="L21" s="810">
        <v>110</v>
      </c>
      <c r="M21" s="352" t="s">
        <v>2</v>
      </c>
    </row>
    <row r="22" spans="1:15" x14ac:dyDescent="0.25">
      <c r="A22" s="352">
        <v>21</v>
      </c>
      <c r="B22" s="591" t="s">
        <v>176</v>
      </c>
      <c r="C22" s="810">
        <v>285</v>
      </c>
      <c r="D22" s="810">
        <v>609</v>
      </c>
      <c r="E22" s="810">
        <v>89</v>
      </c>
      <c r="F22" s="810">
        <v>476</v>
      </c>
      <c r="G22" s="810"/>
      <c r="H22" s="810"/>
      <c r="I22" s="810"/>
      <c r="J22" s="810">
        <v>50</v>
      </c>
      <c r="K22" s="810">
        <v>147</v>
      </c>
      <c r="L22" s="810">
        <v>88</v>
      </c>
      <c r="M22" s="352" t="s">
        <v>2</v>
      </c>
    </row>
    <row r="23" spans="1:15" x14ac:dyDescent="0.25">
      <c r="A23" s="352">
        <v>22</v>
      </c>
      <c r="B23" s="591" t="s">
        <v>174</v>
      </c>
      <c r="C23" s="810">
        <v>137</v>
      </c>
      <c r="D23" s="810">
        <v>870</v>
      </c>
      <c r="E23" s="810">
        <v>43</v>
      </c>
      <c r="F23" s="810">
        <v>158</v>
      </c>
      <c r="G23" s="810"/>
      <c r="H23" s="810"/>
      <c r="I23" s="810"/>
      <c r="J23" s="810">
        <v>57</v>
      </c>
      <c r="K23" s="810">
        <v>49</v>
      </c>
      <c r="L23" s="810">
        <v>31</v>
      </c>
      <c r="M23" s="352" t="s">
        <v>2</v>
      </c>
    </row>
    <row r="24" spans="1:15" x14ac:dyDescent="0.25">
      <c r="A24" s="352">
        <v>23</v>
      </c>
      <c r="B24" s="592" t="s">
        <v>189</v>
      </c>
      <c r="C24" s="812">
        <f>7602+120</f>
        <v>7722</v>
      </c>
      <c r="D24" s="812">
        <f>720+1282</f>
        <v>2002</v>
      </c>
      <c r="E24" s="812">
        <f>2249+154</f>
        <v>2403</v>
      </c>
      <c r="F24" s="812">
        <f>9301+96</f>
        <v>9397</v>
      </c>
      <c r="G24" s="812"/>
      <c r="H24" s="812"/>
      <c r="I24" s="812"/>
      <c r="J24" s="812">
        <v>3362</v>
      </c>
      <c r="K24" s="812">
        <f>3122+120</f>
        <v>3242</v>
      </c>
      <c r="L24" s="812">
        <v>578</v>
      </c>
      <c r="M24" s="352" t="s">
        <v>3</v>
      </c>
      <c r="O24" s="795"/>
    </row>
    <row r="25" spans="1:15" x14ac:dyDescent="0.25">
      <c r="A25" s="352">
        <v>24</v>
      </c>
      <c r="B25" s="592" t="s">
        <v>205</v>
      </c>
      <c r="C25" s="812">
        <v>7637</v>
      </c>
      <c r="D25" s="812">
        <v>538</v>
      </c>
      <c r="E25" s="812">
        <v>2102</v>
      </c>
      <c r="F25" s="812">
        <v>4892</v>
      </c>
      <c r="G25" s="812"/>
      <c r="H25" s="812"/>
      <c r="I25" s="812"/>
      <c r="J25" s="812">
        <v>3102</v>
      </c>
      <c r="K25" s="812">
        <v>3901</v>
      </c>
      <c r="L25" s="812">
        <v>634</v>
      </c>
      <c r="M25" s="352" t="s">
        <v>3</v>
      </c>
    </row>
    <row r="26" spans="1:15" x14ac:dyDescent="0.25">
      <c r="A26" s="352">
        <v>25</v>
      </c>
      <c r="B26" s="592" t="s">
        <v>197</v>
      </c>
      <c r="C26" s="812">
        <v>7362</v>
      </c>
      <c r="D26" s="812">
        <v>695</v>
      </c>
      <c r="E26" s="812">
        <v>655</v>
      </c>
      <c r="F26" s="812">
        <v>3310</v>
      </c>
      <c r="G26" s="812"/>
      <c r="H26" s="812"/>
      <c r="I26" s="812"/>
      <c r="J26" s="812">
        <v>6050</v>
      </c>
      <c r="K26" s="812">
        <v>943</v>
      </c>
      <c r="L26" s="812">
        <v>369</v>
      </c>
      <c r="M26" s="352" t="s">
        <v>3</v>
      </c>
    </row>
    <row r="27" spans="1:15" x14ac:dyDescent="0.25">
      <c r="A27" s="352">
        <v>26</v>
      </c>
      <c r="B27" s="592" t="s">
        <v>190</v>
      </c>
      <c r="C27" s="812">
        <f>2603+2066</f>
        <v>4669</v>
      </c>
      <c r="D27" s="812">
        <f>619+1501</f>
        <v>2120</v>
      </c>
      <c r="E27" s="812">
        <f>995+3101</f>
        <v>4096</v>
      </c>
      <c r="F27" s="812">
        <f>2181+1653</f>
        <v>3834</v>
      </c>
      <c r="G27" s="812"/>
      <c r="H27" s="812"/>
      <c r="I27" s="812"/>
      <c r="J27" s="812">
        <v>836</v>
      </c>
      <c r="K27" s="812">
        <f>1608+2066</f>
        <v>3674</v>
      </c>
      <c r="L27" s="812">
        <v>159</v>
      </c>
      <c r="M27" s="352" t="s">
        <v>3</v>
      </c>
    </row>
    <row r="28" spans="1:15" x14ac:dyDescent="0.25">
      <c r="A28" s="352">
        <v>27</v>
      </c>
      <c r="B28" s="592" t="s">
        <v>200</v>
      </c>
      <c r="C28" s="812">
        <v>4605</v>
      </c>
      <c r="D28" s="812">
        <v>717</v>
      </c>
      <c r="E28" s="812">
        <v>611</v>
      </c>
      <c r="F28" s="812">
        <v>3702</v>
      </c>
      <c r="G28" s="812"/>
      <c r="H28" s="812"/>
      <c r="I28" s="812"/>
      <c r="J28" s="812">
        <v>3530</v>
      </c>
      <c r="K28" s="812">
        <v>852</v>
      </c>
      <c r="L28" s="812">
        <v>223</v>
      </c>
      <c r="M28" s="352" t="s">
        <v>3</v>
      </c>
    </row>
    <row r="29" spans="1:15" x14ac:dyDescent="0.25">
      <c r="A29" s="352">
        <v>28</v>
      </c>
      <c r="B29" s="592" t="s">
        <v>192</v>
      </c>
      <c r="C29" s="812">
        <v>4461</v>
      </c>
      <c r="D29" s="812">
        <v>654</v>
      </c>
      <c r="E29" s="812">
        <v>1094</v>
      </c>
      <c r="F29" s="812">
        <v>2910</v>
      </c>
      <c r="G29" s="812"/>
      <c r="H29" s="812"/>
      <c r="I29" s="812"/>
      <c r="J29" s="812">
        <v>2556</v>
      </c>
      <c r="K29" s="812">
        <v>1673</v>
      </c>
      <c r="L29" s="812">
        <v>232</v>
      </c>
      <c r="M29" s="352" t="s">
        <v>3</v>
      </c>
    </row>
    <row r="30" spans="1:15" x14ac:dyDescent="0.25">
      <c r="A30" s="352">
        <v>29</v>
      </c>
      <c r="B30" s="592" t="s">
        <v>191</v>
      </c>
      <c r="C30" s="812">
        <f>4307+60</f>
        <v>4367</v>
      </c>
      <c r="D30" s="812">
        <f>551+1581</f>
        <v>2132</v>
      </c>
      <c r="E30" s="812">
        <f>1902+87</f>
        <v>1989</v>
      </c>
      <c r="F30" s="812">
        <f>6140+343</f>
        <v>6483</v>
      </c>
      <c r="G30" s="812"/>
      <c r="H30" s="812"/>
      <c r="I30" s="812"/>
      <c r="J30" s="812">
        <f>371+5</f>
        <v>376</v>
      </c>
      <c r="K30" s="812">
        <f>3454+55</f>
        <v>3509</v>
      </c>
      <c r="L30" s="812">
        <v>482</v>
      </c>
      <c r="M30" s="352" t="s">
        <v>3</v>
      </c>
    </row>
    <row r="31" spans="1:15" x14ac:dyDescent="0.25">
      <c r="A31" s="352">
        <v>30</v>
      </c>
      <c r="B31" s="592" t="s">
        <v>206</v>
      </c>
      <c r="C31" s="812">
        <v>4113</v>
      </c>
      <c r="D31" s="812">
        <v>795</v>
      </c>
      <c r="E31" s="812">
        <v>2171</v>
      </c>
      <c r="F31" s="812">
        <v>3702</v>
      </c>
      <c r="G31" s="812"/>
      <c r="H31" s="812"/>
      <c r="I31" s="812"/>
      <c r="J31" s="812">
        <v>1072</v>
      </c>
      <c r="K31" s="812">
        <v>2733</v>
      </c>
      <c r="L31" s="812">
        <v>328</v>
      </c>
      <c r="M31" s="352" t="s">
        <v>3</v>
      </c>
    </row>
    <row r="32" spans="1:15" x14ac:dyDescent="0.25">
      <c r="A32" s="352">
        <v>31</v>
      </c>
      <c r="B32" s="592" t="s">
        <v>201</v>
      </c>
      <c r="C32" s="812">
        <v>3693</v>
      </c>
      <c r="D32" s="812">
        <v>739</v>
      </c>
      <c r="E32" s="812">
        <v>622</v>
      </c>
      <c r="F32" s="812">
        <v>6135</v>
      </c>
      <c r="G32" s="812"/>
      <c r="H32" s="812"/>
      <c r="I32" s="812"/>
      <c r="J32" s="812">
        <v>2493</v>
      </c>
      <c r="K32" s="812">
        <v>841</v>
      </c>
      <c r="L32" s="812">
        <v>359</v>
      </c>
      <c r="M32" s="352" t="s">
        <v>3</v>
      </c>
    </row>
    <row r="33" spans="1:13" x14ac:dyDescent="0.25">
      <c r="A33" s="352">
        <v>32</v>
      </c>
      <c r="B33" s="592" t="s">
        <v>194</v>
      </c>
      <c r="C33" s="812">
        <v>3343</v>
      </c>
      <c r="D33" s="812">
        <v>695</v>
      </c>
      <c r="E33" s="812">
        <v>362</v>
      </c>
      <c r="F33" s="812">
        <v>3695</v>
      </c>
      <c r="G33" s="812"/>
      <c r="H33" s="812"/>
      <c r="I33" s="812"/>
      <c r="J33" s="812">
        <v>2563</v>
      </c>
      <c r="K33" s="812">
        <v>521</v>
      </c>
      <c r="L33" s="812">
        <v>259</v>
      </c>
      <c r="M33" s="352" t="s">
        <v>3</v>
      </c>
    </row>
    <row r="34" spans="1:13" x14ac:dyDescent="0.25">
      <c r="A34" s="352">
        <v>33</v>
      </c>
      <c r="B34" s="592" t="s">
        <v>195</v>
      </c>
      <c r="C34" s="812">
        <v>2999</v>
      </c>
      <c r="D34" s="812">
        <v>743</v>
      </c>
      <c r="E34" s="812">
        <v>527</v>
      </c>
      <c r="F34" s="812">
        <v>3899</v>
      </c>
      <c r="G34" s="812"/>
      <c r="H34" s="812"/>
      <c r="I34" s="812"/>
      <c r="J34" s="812">
        <v>2235</v>
      </c>
      <c r="K34" s="812">
        <v>710</v>
      </c>
      <c r="L34" s="812">
        <v>54</v>
      </c>
      <c r="M34" s="352" t="s">
        <v>3</v>
      </c>
    </row>
    <row r="35" spans="1:13" x14ac:dyDescent="0.25">
      <c r="A35" s="352">
        <v>34</v>
      </c>
      <c r="B35" s="592" t="s">
        <v>208</v>
      </c>
      <c r="C35" s="812">
        <v>2064</v>
      </c>
      <c r="D35" s="812">
        <v>750</v>
      </c>
      <c r="E35" s="812">
        <v>136</v>
      </c>
      <c r="F35" s="812">
        <v>2250</v>
      </c>
      <c r="G35" s="812"/>
      <c r="H35" s="812"/>
      <c r="I35" s="812"/>
      <c r="J35" s="812">
        <v>1785</v>
      </c>
      <c r="K35" s="812">
        <v>181</v>
      </c>
      <c r="L35" s="812">
        <v>98</v>
      </c>
      <c r="M35" s="352" t="s">
        <v>3</v>
      </c>
    </row>
    <row r="36" spans="1:13" x14ac:dyDescent="0.25">
      <c r="A36" s="352">
        <v>35</v>
      </c>
      <c r="B36" s="592" t="s">
        <v>213</v>
      </c>
      <c r="C36" s="812">
        <v>1310</v>
      </c>
      <c r="D36" s="812">
        <v>877</v>
      </c>
      <c r="E36" s="812">
        <v>803</v>
      </c>
      <c r="F36" s="812">
        <v>2572</v>
      </c>
      <c r="G36" s="812"/>
      <c r="H36" s="812"/>
      <c r="I36" s="812"/>
      <c r="J36" s="812">
        <v>252</v>
      </c>
      <c r="K36" s="812">
        <v>915</v>
      </c>
      <c r="L36" s="812">
        <v>143</v>
      </c>
      <c r="M36" s="352" t="s">
        <v>3</v>
      </c>
    </row>
    <row r="37" spans="1:13" x14ac:dyDescent="0.25">
      <c r="A37" s="352">
        <v>36</v>
      </c>
      <c r="B37" s="592" t="s">
        <v>198</v>
      </c>
      <c r="C37" s="812">
        <v>1305</v>
      </c>
      <c r="D37" s="812">
        <v>724</v>
      </c>
      <c r="E37" s="812">
        <v>193</v>
      </c>
      <c r="F37" s="812">
        <v>1190</v>
      </c>
      <c r="G37" s="812"/>
      <c r="H37" s="812"/>
      <c r="I37" s="812"/>
      <c r="J37" s="812">
        <v>918</v>
      </c>
      <c r="K37" s="812">
        <v>266</v>
      </c>
      <c r="L37" s="812">
        <v>121</v>
      </c>
      <c r="M37" s="352" t="s">
        <v>3</v>
      </c>
    </row>
    <row r="38" spans="1:13" x14ac:dyDescent="0.25">
      <c r="A38" s="352">
        <v>37</v>
      </c>
      <c r="B38" s="592" t="s">
        <v>196</v>
      </c>
      <c r="C38" s="812">
        <v>1268</v>
      </c>
      <c r="D38" s="812">
        <v>767</v>
      </c>
      <c r="E38" s="812">
        <v>228</v>
      </c>
      <c r="F38" s="812">
        <v>1392</v>
      </c>
      <c r="G38" s="812"/>
      <c r="H38" s="812"/>
      <c r="I38" s="812"/>
      <c r="J38" s="812">
        <v>845</v>
      </c>
      <c r="K38" s="812">
        <v>297</v>
      </c>
      <c r="L38" s="812">
        <v>126</v>
      </c>
      <c r="M38" s="352" t="s">
        <v>3</v>
      </c>
    </row>
    <row r="39" spans="1:13" x14ac:dyDescent="0.25">
      <c r="A39" s="352">
        <v>38</v>
      </c>
      <c r="B39" s="592" t="s">
        <v>211</v>
      </c>
      <c r="C39" s="812">
        <f>1027+150</f>
        <v>1177</v>
      </c>
      <c r="D39" s="812">
        <f>657+1282</f>
        <v>1939</v>
      </c>
      <c r="E39" s="812">
        <f>423+192</f>
        <v>615</v>
      </c>
      <c r="F39" s="812">
        <f>3281+ 120</f>
        <v>3401</v>
      </c>
      <c r="G39" s="812"/>
      <c r="H39" s="812"/>
      <c r="I39" s="812"/>
      <c r="J39" s="812">
        <v>358</v>
      </c>
      <c r="K39" s="812">
        <f>645+150</f>
        <v>795</v>
      </c>
      <c r="L39" s="812">
        <v>24</v>
      </c>
      <c r="M39" s="352" t="s">
        <v>3</v>
      </c>
    </row>
    <row r="40" spans="1:13" x14ac:dyDescent="0.25">
      <c r="A40" s="352">
        <v>39</v>
      </c>
      <c r="B40" s="592" t="s">
        <v>212</v>
      </c>
      <c r="C40" s="812">
        <v>964</v>
      </c>
      <c r="D40" s="812">
        <v>789</v>
      </c>
      <c r="E40" s="812">
        <v>187</v>
      </c>
      <c r="F40" s="812">
        <v>965</v>
      </c>
      <c r="G40" s="812"/>
      <c r="H40" s="812"/>
      <c r="I40" s="812"/>
      <c r="J40" s="812">
        <v>662</v>
      </c>
      <c r="K40" s="812">
        <v>237</v>
      </c>
      <c r="L40" s="812">
        <v>65</v>
      </c>
      <c r="M40" s="352" t="s">
        <v>3</v>
      </c>
    </row>
    <row r="41" spans="1:13" x14ac:dyDescent="0.25">
      <c r="A41" s="352">
        <v>40</v>
      </c>
      <c r="B41" s="592" t="s">
        <v>193</v>
      </c>
      <c r="C41" s="812">
        <v>687</v>
      </c>
      <c r="D41" s="812">
        <v>727</v>
      </c>
      <c r="E41" s="812">
        <v>112</v>
      </c>
      <c r="F41" s="812">
        <v>1090</v>
      </c>
      <c r="G41" s="812"/>
      <c r="H41" s="812"/>
      <c r="I41" s="812"/>
      <c r="J41" s="812">
        <v>521</v>
      </c>
      <c r="K41" s="812">
        <v>155</v>
      </c>
      <c r="L41" s="812">
        <v>2</v>
      </c>
      <c r="M41" s="352" t="s">
        <v>3</v>
      </c>
    </row>
    <row r="42" spans="1:13" x14ac:dyDescent="0.25">
      <c r="A42" s="352">
        <v>41</v>
      </c>
      <c r="B42" s="592" t="s">
        <v>202</v>
      </c>
      <c r="C42" s="812">
        <v>430</v>
      </c>
      <c r="D42" s="812">
        <v>571</v>
      </c>
      <c r="E42" s="812">
        <v>99</v>
      </c>
      <c r="F42" s="812">
        <v>416</v>
      </c>
      <c r="G42" s="812"/>
      <c r="H42" s="812"/>
      <c r="I42" s="812"/>
      <c r="J42" s="812">
        <v>231</v>
      </c>
      <c r="K42" s="812">
        <v>174</v>
      </c>
      <c r="L42" s="812">
        <v>25</v>
      </c>
      <c r="M42" s="352" t="s">
        <v>3</v>
      </c>
    </row>
    <row r="43" spans="1:13" x14ac:dyDescent="0.25">
      <c r="A43" s="352">
        <v>42</v>
      </c>
      <c r="B43" s="592" t="s">
        <v>203</v>
      </c>
      <c r="C43" s="812">
        <v>422</v>
      </c>
      <c r="D43" s="812">
        <v>683</v>
      </c>
      <c r="E43" s="812">
        <v>93</v>
      </c>
      <c r="F43" s="812">
        <v>270</v>
      </c>
      <c r="G43" s="812"/>
      <c r="H43" s="812"/>
      <c r="I43" s="812"/>
      <c r="J43" s="812">
        <v>272</v>
      </c>
      <c r="K43" s="812">
        <v>136</v>
      </c>
      <c r="L43" s="812">
        <v>14</v>
      </c>
      <c r="M43" s="352" t="s">
        <v>3</v>
      </c>
    </row>
    <row r="44" spans="1:13" x14ac:dyDescent="0.25">
      <c r="A44" s="352">
        <v>43</v>
      </c>
      <c r="B44" s="592" t="s">
        <v>204</v>
      </c>
      <c r="C44" s="812">
        <v>326</v>
      </c>
      <c r="D44" s="812">
        <v>660</v>
      </c>
      <c r="E44" s="812">
        <v>72</v>
      </c>
      <c r="F44" s="812">
        <v>186</v>
      </c>
      <c r="G44" s="812"/>
      <c r="H44" s="812"/>
      <c r="I44" s="812"/>
      <c r="J44" s="812">
        <v>203</v>
      </c>
      <c r="K44" s="812">
        <v>110</v>
      </c>
      <c r="L44" s="812">
        <v>13</v>
      </c>
      <c r="M44" s="352" t="s">
        <v>3</v>
      </c>
    </row>
    <row r="45" spans="1:13" x14ac:dyDescent="0.25">
      <c r="A45" s="352">
        <v>44</v>
      </c>
      <c r="B45" s="592" t="s">
        <v>199</v>
      </c>
      <c r="C45" s="812">
        <v>311</v>
      </c>
      <c r="D45" s="812">
        <v>718</v>
      </c>
      <c r="E45" s="812">
        <v>17</v>
      </c>
      <c r="F45" s="812">
        <v>521</v>
      </c>
      <c r="G45" s="812"/>
      <c r="H45" s="812"/>
      <c r="I45" s="812"/>
      <c r="J45" s="812">
        <v>260</v>
      </c>
      <c r="K45" s="812">
        <v>23</v>
      </c>
      <c r="L45" s="812">
        <v>28</v>
      </c>
      <c r="M45" s="352" t="s">
        <v>3</v>
      </c>
    </row>
    <row r="46" spans="1:13" x14ac:dyDescent="0.25">
      <c r="A46" s="352">
        <v>45</v>
      </c>
      <c r="B46" s="592" t="s">
        <v>210</v>
      </c>
      <c r="C46" s="812">
        <v>268</v>
      </c>
      <c r="D46" s="812">
        <v>728</v>
      </c>
      <c r="E46" s="812">
        <v>119</v>
      </c>
      <c r="F46" s="812">
        <v>821</v>
      </c>
      <c r="G46" s="812"/>
      <c r="H46" s="812"/>
      <c r="I46" s="812"/>
      <c r="J46" s="812">
        <v>28</v>
      </c>
      <c r="K46" s="812">
        <v>163</v>
      </c>
      <c r="L46" s="812">
        <v>77</v>
      </c>
      <c r="M46" s="352" t="s">
        <v>3</v>
      </c>
    </row>
    <row r="47" spans="1:13" x14ac:dyDescent="0.25">
      <c r="A47" s="352">
        <v>46</v>
      </c>
      <c r="B47" s="592" t="s">
        <v>622</v>
      </c>
      <c r="C47" s="812">
        <v>257</v>
      </c>
      <c r="D47" s="812">
        <v>473</v>
      </c>
      <c r="E47" s="812">
        <v>17</v>
      </c>
      <c r="F47" s="812">
        <v>212</v>
      </c>
      <c r="G47" s="812"/>
      <c r="H47" s="812"/>
      <c r="I47" s="812"/>
      <c r="J47" s="812">
        <v>162</v>
      </c>
      <c r="K47" s="812">
        <v>37</v>
      </c>
      <c r="L47" s="812">
        <v>57</v>
      </c>
      <c r="M47" s="352" t="s">
        <v>3</v>
      </c>
    </row>
    <row r="48" spans="1:13" x14ac:dyDescent="0.25">
      <c r="A48" s="352">
        <v>47</v>
      </c>
      <c r="B48" s="592" t="s">
        <v>209</v>
      </c>
      <c r="C48" s="812">
        <v>243</v>
      </c>
      <c r="D48" s="812">
        <v>548</v>
      </c>
      <c r="E48" s="812">
        <v>42</v>
      </c>
      <c r="F48" s="812">
        <v>274</v>
      </c>
      <c r="G48" s="812"/>
      <c r="H48" s="812"/>
      <c r="I48" s="812"/>
      <c r="J48" s="812">
        <v>123</v>
      </c>
      <c r="K48" s="812">
        <v>77</v>
      </c>
      <c r="L48" s="812">
        <v>43</v>
      </c>
      <c r="M48" s="352" t="s">
        <v>3</v>
      </c>
    </row>
    <row r="49" spans="1:13" x14ac:dyDescent="0.25">
      <c r="A49" s="352">
        <v>48</v>
      </c>
      <c r="B49" s="592" t="s">
        <v>207</v>
      </c>
      <c r="C49" s="812">
        <v>165</v>
      </c>
      <c r="D49" s="812">
        <v>514</v>
      </c>
      <c r="E49" s="812">
        <v>14</v>
      </c>
      <c r="F49" s="812">
        <v>116</v>
      </c>
      <c r="G49" s="812"/>
      <c r="H49" s="812"/>
      <c r="I49" s="812"/>
      <c r="J49" s="812">
        <v>102</v>
      </c>
      <c r="K49" s="812">
        <v>26</v>
      </c>
      <c r="L49" s="812">
        <v>37</v>
      </c>
      <c r="M49" s="352" t="s">
        <v>3</v>
      </c>
    </row>
    <row r="50" spans="1:13" x14ac:dyDescent="0.25">
      <c r="A50" s="352">
        <v>49</v>
      </c>
      <c r="B50" s="593" t="s">
        <v>216</v>
      </c>
      <c r="C50" s="813">
        <v>3672</v>
      </c>
      <c r="D50" s="813">
        <v>896</v>
      </c>
      <c r="E50" s="813">
        <v>1337</v>
      </c>
      <c r="F50" s="813">
        <v>2466</v>
      </c>
      <c r="G50" s="813"/>
      <c r="H50" s="813"/>
      <c r="I50" s="813"/>
      <c r="J50" s="813">
        <v>1763</v>
      </c>
      <c r="K50" s="813">
        <v>1492</v>
      </c>
      <c r="L50" s="813">
        <v>417</v>
      </c>
      <c r="M50" s="352" t="s">
        <v>4</v>
      </c>
    </row>
    <row r="51" spans="1:13" x14ac:dyDescent="0.25">
      <c r="A51" s="352">
        <v>50</v>
      </c>
      <c r="B51" s="593" t="s">
        <v>217</v>
      </c>
      <c r="C51" s="813">
        <v>32510</v>
      </c>
      <c r="D51" s="813">
        <v>725</v>
      </c>
      <c r="E51" s="813">
        <v>9526</v>
      </c>
      <c r="F51" s="813">
        <v>12641</v>
      </c>
      <c r="G51" s="813"/>
      <c r="H51" s="813"/>
      <c r="I51" s="813"/>
      <c r="J51" s="813">
        <v>12981</v>
      </c>
      <c r="K51" s="813">
        <v>13136</v>
      </c>
      <c r="L51" s="813">
        <v>6393</v>
      </c>
      <c r="M51" s="352" t="s">
        <v>4</v>
      </c>
    </row>
    <row r="52" spans="1:13" x14ac:dyDescent="0.25">
      <c r="A52" s="352">
        <v>51</v>
      </c>
      <c r="B52" s="593" t="s">
        <v>218</v>
      </c>
      <c r="C52" s="813">
        <v>27475</v>
      </c>
      <c r="D52" s="813">
        <v>722</v>
      </c>
      <c r="E52" s="813">
        <v>11169</v>
      </c>
      <c r="F52" s="813">
        <v>19498</v>
      </c>
      <c r="G52" s="813"/>
      <c r="H52" s="813"/>
      <c r="I52" s="813"/>
      <c r="J52" s="813">
        <v>8921</v>
      </c>
      <c r="K52" s="813">
        <v>15479</v>
      </c>
      <c r="L52" s="813">
        <v>3075</v>
      </c>
      <c r="M52" s="352" t="s">
        <v>4</v>
      </c>
    </row>
    <row r="53" spans="1:13" x14ac:dyDescent="0.25">
      <c r="A53" s="352">
        <v>52</v>
      </c>
      <c r="B53" s="593" t="s">
        <v>219</v>
      </c>
      <c r="C53" s="813">
        <v>20785</v>
      </c>
      <c r="D53" s="813">
        <v>811</v>
      </c>
      <c r="E53" s="813">
        <v>7104</v>
      </c>
      <c r="F53" s="813">
        <v>8082</v>
      </c>
      <c r="G53" s="813"/>
      <c r="H53" s="813"/>
      <c r="I53" s="813"/>
      <c r="J53" s="813">
        <v>9836</v>
      </c>
      <c r="K53" s="813">
        <v>8755</v>
      </c>
      <c r="L53" s="813">
        <v>2194</v>
      </c>
      <c r="M53" s="352" t="s">
        <v>4</v>
      </c>
    </row>
    <row r="54" spans="1:13" x14ac:dyDescent="0.25">
      <c r="A54" s="352">
        <v>53</v>
      </c>
      <c r="B54" s="593" t="s">
        <v>220</v>
      </c>
      <c r="C54" s="813">
        <v>10753</v>
      </c>
      <c r="D54" s="813">
        <v>854</v>
      </c>
      <c r="E54" s="813">
        <v>3503</v>
      </c>
      <c r="F54" s="813">
        <v>9349</v>
      </c>
      <c r="G54" s="813"/>
      <c r="H54" s="813"/>
      <c r="I54" s="813"/>
      <c r="J54" s="813">
        <v>5610</v>
      </c>
      <c r="K54" s="813">
        <v>4102</v>
      </c>
      <c r="L54" s="813">
        <v>1041</v>
      </c>
      <c r="M54" s="352" t="s">
        <v>4</v>
      </c>
    </row>
    <row r="55" spans="1:13" x14ac:dyDescent="0.25">
      <c r="A55" s="352">
        <v>54</v>
      </c>
      <c r="B55" s="593" t="s">
        <v>221</v>
      </c>
      <c r="C55" s="813">
        <f>10187+258</f>
        <v>10445</v>
      </c>
      <c r="D55" s="813">
        <f>886+1442</f>
        <v>2328</v>
      </c>
      <c r="E55" s="813">
        <f>3932+372</f>
        <v>4304</v>
      </c>
      <c r="F55" s="813">
        <f>10108+206</f>
        <v>10314</v>
      </c>
      <c r="G55" s="813"/>
      <c r="H55" s="813"/>
      <c r="I55" s="813"/>
      <c r="J55" s="813">
        <v>4858</v>
      </c>
      <c r="K55" s="813">
        <f>4440+258</f>
        <v>4698</v>
      </c>
      <c r="L55" s="813">
        <v>889</v>
      </c>
      <c r="M55" s="352" t="s">
        <v>4</v>
      </c>
    </row>
    <row r="56" spans="1:13" x14ac:dyDescent="0.25">
      <c r="A56" s="352">
        <v>55</v>
      </c>
      <c r="B56" s="593" t="s">
        <v>223</v>
      </c>
      <c r="C56" s="813">
        <v>8950</v>
      </c>
      <c r="D56" s="813">
        <v>838</v>
      </c>
      <c r="E56" s="813">
        <v>3345</v>
      </c>
      <c r="F56" s="813">
        <v>12052</v>
      </c>
      <c r="G56" s="813"/>
      <c r="H56" s="813"/>
      <c r="I56" s="813"/>
      <c r="J56" s="813">
        <v>4235</v>
      </c>
      <c r="K56" s="813">
        <v>3993</v>
      </c>
      <c r="L56" s="813">
        <v>722</v>
      </c>
      <c r="M56" s="352" t="s">
        <v>4</v>
      </c>
    </row>
    <row r="57" spans="1:13" x14ac:dyDescent="0.25">
      <c r="A57" s="352">
        <v>56</v>
      </c>
      <c r="B57" s="593" t="s">
        <v>224</v>
      </c>
      <c r="C57" s="813">
        <v>6361</v>
      </c>
      <c r="D57" s="813">
        <v>850</v>
      </c>
      <c r="E57" s="813">
        <v>2324</v>
      </c>
      <c r="F57" s="813">
        <v>6934</v>
      </c>
      <c r="G57" s="813"/>
      <c r="H57" s="813"/>
      <c r="I57" s="813"/>
      <c r="J57" s="813">
        <v>3231</v>
      </c>
      <c r="K57" s="813">
        <v>2733</v>
      </c>
      <c r="L57" s="813">
        <v>397</v>
      </c>
      <c r="M57" s="352" t="s">
        <v>4</v>
      </c>
    </row>
    <row r="58" spans="1:13" x14ac:dyDescent="0.25">
      <c r="A58" s="352">
        <v>57</v>
      </c>
      <c r="B58" s="593" t="s">
        <v>225</v>
      </c>
      <c r="C58" s="813">
        <v>6281</v>
      </c>
      <c r="D58" s="813">
        <v>896</v>
      </c>
      <c r="E58" s="813">
        <v>2244</v>
      </c>
      <c r="F58" s="813">
        <v>5242</v>
      </c>
      <c r="G58" s="813"/>
      <c r="H58" s="813"/>
      <c r="I58" s="813"/>
      <c r="J58" s="813">
        <v>3284</v>
      </c>
      <c r="K58" s="813">
        <v>2504</v>
      </c>
      <c r="L58" s="813">
        <v>493</v>
      </c>
      <c r="M58" s="352" t="s">
        <v>4</v>
      </c>
    </row>
    <row r="59" spans="1:13" x14ac:dyDescent="0.25">
      <c r="A59" s="352">
        <v>58</v>
      </c>
      <c r="B59" s="593" t="s">
        <v>226</v>
      </c>
      <c r="C59" s="813">
        <v>6277</v>
      </c>
      <c r="D59" s="813">
        <v>888</v>
      </c>
      <c r="E59" s="813">
        <v>1997</v>
      </c>
      <c r="F59" s="813">
        <v>4695</v>
      </c>
      <c r="G59" s="813"/>
      <c r="H59" s="813"/>
      <c r="I59" s="813"/>
      <c r="J59" s="813">
        <v>3548</v>
      </c>
      <c r="K59" s="813">
        <v>2249</v>
      </c>
      <c r="L59" s="813">
        <v>480</v>
      </c>
      <c r="M59" s="352" t="s">
        <v>4</v>
      </c>
    </row>
    <row r="60" spans="1:13" x14ac:dyDescent="0.25">
      <c r="A60" s="352">
        <v>59</v>
      </c>
      <c r="B60" s="593" t="s">
        <v>227</v>
      </c>
      <c r="C60" s="813">
        <v>5332</v>
      </c>
      <c r="D60" s="813">
        <v>874</v>
      </c>
      <c r="E60" s="813">
        <v>1832</v>
      </c>
      <c r="F60" s="813">
        <v>4389</v>
      </c>
      <c r="G60" s="813"/>
      <c r="H60" s="813"/>
      <c r="I60" s="813"/>
      <c r="J60" s="813">
        <v>2814</v>
      </c>
      <c r="K60" s="813">
        <v>2096</v>
      </c>
      <c r="L60" s="813">
        <v>421</v>
      </c>
      <c r="M60" s="352" t="s">
        <v>4</v>
      </c>
    </row>
    <row r="61" spans="1:13" x14ac:dyDescent="0.25">
      <c r="A61" s="352">
        <v>60</v>
      </c>
      <c r="B61" s="593" t="s">
        <v>228</v>
      </c>
      <c r="C61" s="813">
        <v>4374</v>
      </c>
      <c r="D61" s="813">
        <v>837</v>
      </c>
      <c r="E61" s="813">
        <v>1718</v>
      </c>
      <c r="F61" s="813">
        <v>7650</v>
      </c>
      <c r="G61" s="813"/>
      <c r="H61" s="813"/>
      <c r="I61" s="813"/>
      <c r="J61" s="813">
        <v>1982</v>
      </c>
      <c r="K61" s="813">
        <v>2052</v>
      </c>
      <c r="L61" s="813">
        <v>340</v>
      </c>
      <c r="M61" s="352" t="s">
        <v>4</v>
      </c>
    </row>
    <row r="62" spans="1:13" x14ac:dyDescent="0.25">
      <c r="A62" s="352">
        <v>61</v>
      </c>
      <c r="B62" s="593" t="s">
        <v>229</v>
      </c>
      <c r="C62" s="813">
        <v>3666</v>
      </c>
      <c r="D62" s="813">
        <v>888</v>
      </c>
      <c r="E62" s="813">
        <v>1328</v>
      </c>
      <c r="F62" s="813">
        <v>4937</v>
      </c>
      <c r="G62" s="813"/>
      <c r="H62" s="813"/>
      <c r="I62" s="813"/>
      <c r="J62" s="813">
        <v>2046</v>
      </c>
      <c r="K62" s="813">
        <v>1496</v>
      </c>
      <c r="L62" s="813">
        <v>124</v>
      </c>
      <c r="M62" s="352" t="s">
        <v>4</v>
      </c>
    </row>
    <row r="63" spans="1:13" x14ac:dyDescent="0.25">
      <c r="A63" s="352">
        <v>62</v>
      </c>
      <c r="B63" s="593" t="s">
        <v>230</v>
      </c>
      <c r="C63" s="813">
        <v>3336</v>
      </c>
      <c r="D63" s="813">
        <v>961</v>
      </c>
      <c r="E63" s="813">
        <v>1068</v>
      </c>
      <c r="F63" s="813">
        <v>7319</v>
      </c>
      <c r="G63" s="813"/>
      <c r="H63" s="813"/>
      <c r="I63" s="813"/>
      <c r="J63" s="813">
        <v>1860</v>
      </c>
      <c r="K63" s="813">
        <v>1112</v>
      </c>
      <c r="L63" s="813">
        <v>364</v>
      </c>
      <c r="M63" s="352" t="s">
        <v>4</v>
      </c>
    </row>
    <row r="64" spans="1:13" x14ac:dyDescent="0.25">
      <c r="A64" s="352">
        <v>63</v>
      </c>
      <c r="B64" s="593" t="s">
        <v>231</v>
      </c>
      <c r="C64" s="813">
        <f>883+ 1499</f>
        <v>2382</v>
      </c>
      <c r="D64" s="813">
        <f>869+ 1330</f>
        <v>2199</v>
      </c>
      <c r="E64" s="813">
        <f>330+ 1994</f>
        <v>2324</v>
      </c>
      <c r="F64" s="813">
        <f>517+ 1199</f>
        <v>1716</v>
      </c>
      <c r="G64" s="813"/>
      <c r="H64" s="813"/>
      <c r="I64" s="813"/>
      <c r="J64" s="813">
        <v>412</v>
      </c>
      <c r="K64" s="813">
        <f>380+ 1499</f>
        <v>1879</v>
      </c>
      <c r="L64" s="813">
        <v>91</v>
      </c>
      <c r="M64" s="352" t="s">
        <v>4</v>
      </c>
    </row>
    <row r="65" spans="1:13" x14ac:dyDescent="0.25">
      <c r="A65" s="352">
        <v>64</v>
      </c>
      <c r="B65" s="593" t="s">
        <v>232</v>
      </c>
      <c r="C65" s="813">
        <v>2158</v>
      </c>
      <c r="D65" s="813">
        <v>968</v>
      </c>
      <c r="E65" s="813">
        <v>802</v>
      </c>
      <c r="F65" s="813">
        <v>1141</v>
      </c>
      <c r="G65" s="813"/>
      <c r="H65" s="813"/>
      <c r="I65" s="813"/>
      <c r="J65" s="813">
        <v>1050</v>
      </c>
      <c r="K65" s="813">
        <v>829</v>
      </c>
      <c r="L65" s="813">
        <v>279</v>
      </c>
      <c r="M65" s="352" t="s">
        <v>4</v>
      </c>
    </row>
    <row r="66" spans="1:13" x14ac:dyDescent="0.25">
      <c r="A66" s="352">
        <v>65</v>
      </c>
      <c r="B66" s="593" t="s">
        <v>233</v>
      </c>
      <c r="C66" s="813">
        <v>2039</v>
      </c>
      <c r="D66" s="813">
        <v>874</v>
      </c>
      <c r="E66" s="813">
        <v>719</v>
      </c>
      <c r="F66" s="813">
        <v>1976</v>
      </c>
      <c r="G66" s="813"/>
      <c r="H66" s="813"/>
      <c r="I66" s="813"/>
      <c r="J66" s="813">
        <v>946</v>
      </c>
      <c r="K66" s="813">
        <v>823</v>
      </c>
      <c r="L66" s="813">
        <v>270</v>
      </c>
      <c r="M66" s="352" t="s">
        <v>4</v>
      </c>
    </row>
    <row r="67" spans="1:13" x14ac:dyDescent="0.25">
      <c r="A67" s="352">
        <v>66</v>
      </c>
      <c r="B67" s="593" t="s">
        <v>234</v>
      </c>
      <c r="C67" s="813">
        <v>117</v>
      </c>
      <c r="D67" s="813">
        <v>640</v>
      </c>
      <c r="E67" s="813">
        <v>14</v>
      </c>
      <c r="F67" s="813">
        <v>500</v>
      </c>
      <c r="G67" s="813"/>
      <c r="H67" s="813"/>
      <c r="I67" s="813"/>
      <c r="J67" s="813">
        <v>80</v>
      </c>
      <c r="K67" s="813">
        <v>22</v>
      </c>
      <c r="L67" s="813">
        <v>15</v>
      </c>
      <c r="M67" s="352" t="s">
        <v>4</v>
      </c>
    </row>
    <row r="68" spans="1:13" x14ac:dyDescent="0.25">
      <c r="A68" s="352">
        <v>67</v>
      </c>
      <c r="B68" s="594" t="s">
        <v>222</v>
      </c>
      <c r="C68" s="814">
        <v>86</v>
      </c>
      <c r="D68" s="814">
        <v>957</v>
      </c>
      <c r="E68" s="814">
        <v>17</v>
      </c>
      <c r="F68" s="814">
        <v>135</v>
      </c>
      <c r="G68" s="814"/>
      <c r="H68" s="814"/>
      <c r="I68" s="814"/>
      <c r="J68" s="814">
        <v>63</v>
      </c>
      <c r="K68" s="814">
        <v>17</v>
      </c>
      <c r="L68" s="814">
        <v>6</v>
      </c>
      <c r="M68" s="352" t="s">
        <v>4</v>
      </c>
    </row>
    <row r="69" spans="1:13" x14ac:dyDescent="0.25">
      <c r="A69" s="352">
        <v>68</v>
      </c>
      <c r="B69" s="595" t="s">
        <v>235</v>
      </c>
      <c r="C69" s="796">
        <v>303</v>
      </c>
      <c r="D69" s="796">
        <v>191</v>
      </c>
      <c r="E69" s="796">
        <v>26</v>
      </c>
      <c r="F69" s="796">
        <v>5290</v>
      </c>
      <c r="G69" s="797"/>
      <c r="H69" s="797"/>
      <c r="I69" s="797"/>
      <c r="J69" s="796">
        <v>115</v>
      </c>
      <c r="K69" s="796">
        <v>135</v>
      </c>
      <c r="L69" s="796">
        <v>53</v>
      </c>
      <c r="M69" s="352" t="s">
        <v>5</v>
      </c>
    </row>
    <row r="70" spans="1:13" x14ac:dyDescent="0.25">
      <c r="A70" s="352">
        <v>69</v>
      </c>
      <c r="B70" s="595" t="s">
        <v>236</v>
      </c>
      <c r="C70" s="796">
        <f>258+2749</f>
        <v>3007</v>
      </c>
      <c r="D70" s="796">
        <f>211+854</f>
        <v>1065</v>
      </c>
      <c r="E70" s="796">
        <f>19+2348</f>
        <v>2367</v>
      </c>
      <c r="F70" s="796">
        <f>3409+2199</f>
        <v>5608</v>
      </c>
      <c r="G70" s="797"/>
      <c r="H70" s="797"/>
      <c r="I70" s="797"/>
      <c r="J70" s="796">
        <v>124</v>
      </c>
      <c r="K70" s="796">
        <f>90+2749</f>
        <v>2839</v>
      </c>
      <c r="L70" s="796">
        <v>44</v>
      </c>
      <c r="M70" s="352" t="s">
        <v>5</v>
      </c>
    </row>
    <row r="71" spans="1:13" x14ac:dyDescent="0.25">
      <c r="A71" s="352">
        <v>70</v>
      </c>
      <c r="B71" s="595" t="s">
        <v>237</v>
      </c>
      <c r="C71" s="796">
        <v>1915</v>
      </c>
      <c r="D71" s="796">
        <v>388</v>
      </c>
      <c r="E71" s="796">
        <v>181</v>
      </c>
      <c r="F71" s="796">
        <v>1026</v>
      </c>
      <c r="G71" s="797"/>
      <c r="H71" s="797"/>
      <c r="I71" s="797"/>
      <c r="J71" s="796">
        <v>463</v>
      </c>
      <c r="K71" s="796">
        <v>467</v>
      </c>
      <c r="L71" s="796">
        <v>984</v>
      </c>
      <c r="M71" s="352" t="s">
        <v>5</v>
      </c>
    </row>
    <row r="72" spans="1:13" x14ac:dyDescent="0.25">
      <c r="A72" s="352">
        <v>71</v>
      </c>
      <c r="B72" s="595" t="s">
        <v>238</v>
      </c>
      <c r="C72" s="796">
        <v>706</v>
      </c>
      <c r="D72" s="796">
        <v>423</v>
      </c>
      <c r="E72" s="796">
        <v>63</v>
      </c>
      <c r="F72" s="796">
        <v>495</v>
      </c>
      <c r="G72" s="797"/>
      <c r="H72" s="797"/>
      <c r="I72" s="797"/>
      <c r="J72" s="796">
        <v>509</v>
      </c>
      <c r="K72" s="796">
        <v>148</v>
      </c>
      <c r="L72" s="796">
        <v>49</v>
      </c>
      <c r="M72" s="352" t="s">
        <v>5</v>
      </c>
    </row>
    <row r="73" spans="1:13" x14ac:dyDescent="0.25">
      <c r="A73" s="352">
        <v>72</v>
      </c>
      <c r="B73" s="595" t="s">
        <v>239</v>
      </c>
      <c r="C73" s="796">
        <v>648</v>
      </c>
      <c r="D73" s="796">
        <v>362</v>
      </c>
      <c r="E73" s="796">
        <v>124</v>
      </c>
      <c r="F73" s="796">
        <v>2664</v>
      </c>
      <c r="G73" s="797"/>
      <c r="H73" s="797"/>
      <c r="I73" s="797"/>
      <c r="J73" s="796">
        <v>171</v>
      </c>
      <c r="K73" s="796">
        <v>344</v>
      </c>
      <c r="L73" s="796">
        <v>133</v>
      </c>
      <c r="M73" s="352" t="s">
        <v>5</v>
      </c>
    </row>
    <row r="74" spans="1:13" x14ac:dyDescent="0.25">
      <c r="A74" s="352">
        <v>73</v>
      </c>
      <c r="B74" s="595" t="s">
        <v>240</v>
      </c>
      <c r="C74" s="796">
        <v>269</v>
      </c>
      <c r="D74" s="796">
        <v>603</v>
      </c>
      <c r="E74" s="796">
        <v>81</v>
      </c>
      <c r="F74" s="796">
        <v>487</v>
      </c>
      <c r="G74" s="797"/>
      <c r="H74" s="797"/>
      <c r="I74" s="797"/>
      <c r="J74" s="796">
        <v>64</v>
      </c>
      <c r="K74" s="796">
        <v>135</v>
      </c>
      <c r="L74" s="796">
        <v>70</v>
      </c>
      <c r="M74" s="352" t="s">
        <v>5</v>
      </c>
    </row>
    <row r="75" spans="1:13" x14ac:dyDescent="0.25">
      <c r="A75" s="352">
        <v>74</v>
      </c>
      <c r="B75" s="595" t="s">
        <v>241</v>
      </c>
      <c r="C75" s="796">
        <v>204</v>
      </c>
      <c r="D75" s="796">
        <v>608</v>
      </c>
      <c r="E75" s="796">
        <v>89</v>
      </c>
      <c r="F75" s="796">
        <v>498</v>
      </c>
      <c r="G75" s="797"/>
      <c r="H75" s="797"/>
      <c r="I75" s="797"/>
      <c r="J75" s="796">
        <v>7</v>
      </c>
      <c r="K75" s="796">
        <v>146</v>
      </c>
      <c r="L75" s="796">
        <v>51</v>
      </c>
      <c r="M75" s="352" t="s">
        <v>5</v>
      </c>
    </row>
    <row r="76" spans="1:13" x14ac:dyDescent="0.25">
      <c r="A76" s="352">
        <v>75</v>
      </c>
      <c r="B76" s="595" t="s">
        <v>242</v>
      </c>
      <c r="C76" s="796">
        <v>66</v>
      </c>
      <c r="D76" s="796">
        <v>590</v>
      </c>
      <c r="E76" s="796">
        <v>16</v>
      </c>
      <c r="F76" s="796">
        <v>125</v>
      </c>
      <c r="G76" s="797"/>
      <c r="H76" s="797"/>
      <c r="I76" s="797"/>
      <c r="J76" s="796">
        <v>18</v>
      </c>
      <c r="K76" s="796">
        <v>27</v>
      </c>
      <c r="L76" s="796">
        <v>21</v>
      </c>
      <c r="M76" s="352" t="s">
        <v>5</v>
      </c>
    </row>
    <row r="77" spans="1:13" x14ac:dyDescent="0.25">
      <c r="A77" s="352">
        <v>76</v>
      </c>
      <c r="B77" s="595" t="s">
        <v>243</v>
      </c>
      <c r="C77" s="796">
        <v>26</v>
      </c>
      <c r="D77" s="796">
        <v>583</v>
      </c>
      <c r="E77" s="796">
        <v>5</v>
      </c>
      <c r="F77" s="796">
        <v>45</v>
      </c>
      <c r="G77" s="797"/>
      <c r="H77" s="797"/>
      <c r="I77" s="797"/>
      <c r="J77" s="796">
        <v>13</v>
      </c>
      <c r="K77" s="796">
        <v>9</v>
      </c>
      <c r="L77" s="796">
        <v>4</v>
      </c>
      <c r="M77" s="352" t="s">
        <v>5</v>
      </c>
    </row>
    <row r="78" spans="1:13" x14ac:dyDescent="0.25">
      <c r="A78" s="352">
        <v>77</v>
      </c>
      <c r="B78" s="595" t="s">
        <v>244</v>
      </c>
      <c r="C78" s="796">
        <v>13</v>
      </c>
      <c r="D78" s="796"/>
      <c r="E78" s="796"/>
      <c r="F78" s="796">
        <v>36</v>
      </c>
      <c r="G78" s="797"/>
      <c r="H78" s="797"/>
      <c r="I78" s="797"/>
      <c r="J78" s="796">
        <v>13</v>
      </c>
      <c r="K78" s="796"/>
      <c r="L78" s="796"/>
      <c r="M78" s="352" t="s">
        <v>5</v>
      </c>
    </row>
    <row r="79" spans="1:13" x14ac:dyDescent="0.25">
      <c r="A79" s="352">
        <v>78</v>
      </c>
      <c r="B79" s="595" t="s">
        <v>245</v>
      </c>
      <c r="C79" s="796"/>
      <c r="D79" s="796"/>
      <c r="E79" s="796"/>
      <c r="F79" s="796"/>
      <c r="G79" s="797"/>
      <c r="H79" s="797"/>
      <c r="I79" s="797"/>
      <c r="J79" s="796"/>
      <c r="K79" s="796"/>
      <c r="L79" s="796"/>
      <c r="M79" s="352" t="s">
        <v>5</v>
      </c>
    </row>
    <row r="80" spans="1:13" x14ac:dyDescent="0.25">
      <c r="A80" s="352">
        <v>79</v>
      </c>
      <c r="B80" s="595" t="s">
        <v>246</v>
      </c>
      <c r="C80" s="796"/>
      <c r="D80" s="796"/>
      <c r="E80" s="796"/>
      <c r="F80" s="796"/>
      <c r="G80" s="797"/>
      <c r="H80" s="797"/>
      <c r="I80" s="797"/>
      <c r="J80" s="796"/>
      <c r="K80" s="796"/>
      <c r="L80" s="796"/>
      <c r="M80" s="352" t="s">
        <v>5</v>
      </c>
    </row>
    <row r="81" spans="1:13" x14ac:dyDescent="0.25">
      <c r="A81" s="352">
        <v>80</v>
      </c>
      <c r="B81" s="596" t="s">
        <v>247</v>
      </c>
      <c r="C81" s="798">
        <v>3</v>
      </c>
      <c r="D81" s="798">
        <v>333</v>
      </c>
      <c r="E81" s="798">
        <v>1</v>
      </c>
      <c r="F81" s="798">
        <v>95</v>
      </c>
      <c r="G81" s="799"/>
      <c r="H81" s="799"/>
      <c r="I81" s="799"/>
      <c r="J81" s="798"/>
      <c r="K81" s="798">
        <v>2</v>
      </c>
      <c r="L81" s="798">
        <v>1</v>
      </c>
      <c r="M81" s="352" t="s">
        <v>6</v>
      </c>
    </row>
    <row r="82" spans="1:13" x14ac:dyDescent="0.25">
      <c r="A82" s="352">
        <v>81</v>
      </c>
      <c r="B82" s="596" t="s">
        <v>248</v>
      </c>
      <c r="C82" s="798"/>
      <c r="D82" s="798"/>
      <c r="E82" s="798"/>
      <c r="F82" s="798"/>
      <c r="G82" s="799"/>
      <c r="H82" s="799"/>
      <c r="I82" s="799"/>
      <c r="J82" s="798"/>
      <c r="K82" s="798"/>
      <c r="L82" s="798"/>
      <c r="M82" s="352" t="s">
        <v>6</v>
      </c>
    </row>
    <row r="83" spans="1:13" x14ac:dyDescent="0.25">
      <c r="A83" s="352">
        <v>82</v>
      </c>
      <c r="B83" s="597" t="s">
        <v>249</v>
      </c>
      <c r="C83" s="800">
        <v>2</v>
      </c>
      <c r="D83" s="800"/>
      <c r="E83" s="800"/>
      <c r="F83" s="800">
        <v>2</v>
      </c>
      <c r="G83" s="815"/>
      <c r="H83" s="815"/>
      <c r="I83" s="815"/>
      <c r="J83" s="800">
        <v>2</v>
      </c>
      <c r="K83" s="800"/>
      <c r="L83" s="800"/>
      <c r="M83" s="352" t="s">
        <v>6</v>
      </c>
    </row>
    <row r="84" spans="1:13" x14ac:dyDescent="0.25">
      <c r="A84" s="352">
        <v>83</v>
      </c>
      <c r="B84" s="598" t="s">
        <v>250</v>
      </c>
      <c r="C84" s="801">
        <v>84</v>
      </c>
      <c r="D84" s="801">
        <v>962</v>
      </c>
      <c r="E84" s="801">
        <v>38</v>
      </c>
      <c r="F84" s="801">
        <v>572</v>
      </c>
      <c r="G84" s="813"/>
      <c r="H84" s="813"/>
      <c r="I84" s="813"/>
      <c r="J84" s="801">
        <v>11</v>
      </c>
      <c r="K84" s="801">
        <v>40</v>
      </c>
      <c r="L84" s="801">
        <v>33</v>
      </c>
      <c r="M84" s="352" t="s">
        <v>7</v>
      </c>
    </row>
    <row r="85" spans="1:13" x14ac:dyDescent="0.25">
      <c r="A85" s="352">
        <v>84</v>
      </c>
      <c r="B85" s="598" t="s">
        <v>251</v>
      </c>
      <c r="C85" s="801">
        <v>733</v>
      </c>
      <c r="D85" s="801">
        <v>739</v>
      </c>
      <c r="E85" s="801">
        <v>209</v>
      </c>
      <c r="F85" s="801">
        <v>948</v>
      </c>
      <c r="G85" s="813"/>
      <c r="H85" s="813"/>
      <c r="I85" s="813"/>
      <c r="J85" s="801">
        <v>241</v>
      </c>
      <c r="K85" s="801">
        <v>283</v>
      </c>
      <c r="L85" s="801">
        <v>209</v>
      </c>
      <c r="M85" s="352" t="s">
        <v>7</v>
      </c>
    </row>
    <row r="86" spans="1:13" x14ac:dyDescent="0.25">
      <c r="A86" s="352">
        <v>85</v>
      </c>
      <c r="B86" s="598" t="s">
        <v>252</v>
      </c>
      <c r="C86" s="801">
        <v>38</v>
      </c>
      <c r="D86" s="801">
        <v>941</v>
      </c>
      <c r="E86" s="801">
        <v>12</v>
      </c>
      <c r="F86" s="801">
        <v>45</v>
      </c>
      <c r="G86" s="813"/>
      <c r="H86" s="813"/>
      <c r="I86" s="813"/>
      <c r="J86" s="801">
        <v>18</v>
      </c>
      <c r="K86" s="801">
        <v>13</v>
      </c>
      <c r="L86" s="801">
        <v>7</v>
      </c>
      <c r="M86" s="352" t="s">
        <v>7</v>
      </c>
    </row>
    <row r="87" spans="1:13" x14ac:dyDescent="0.25">
      <c r="A87" s="352">
        <v>86</v>
      </c>
      <c r="B87" s="598" t="s">
        <v>253</v>
      </c>
      <c r="C87" s="801">
        <v>78</v>
      </c>
      <c r="D87" s="801">
        <v>567</v>
      </c>
      <c r="E87" s="801">
        <v>13</v>
      </c>
      <c r="F87" s="801">
        <v>385</v>
      </c>
      <c r="G87" s="813"/>
      <c r="H87" s="813"/>
      <c r="I87" s="813"/>
      <c r="J87" s="801">
        <v>45</v>
      </c>
      <c r="K87" s="801">
        <v>23</v>
      </c>
      <c r="L87" s="801">
        <v>10</v>
      </c>
      <c r="M87" s="352" t="s">
        <v>7</v>
      </c>
    </row>
    <row r="88" spans="1:13" x14ac:dyDescent="0.25">
      <c r="A88" s="352">
        <v>87</v>
      </c>
      <c r="B88" s="598" t="s">
        <v>254</v>
      </c>
      <c r="C88" s="801">
        <v>166</v>
      </c>
      <c r="D88" s="801">
        <v>639</v>
      </c>
      <c r="E88" s="801">
        <v>40</v>
      </c>
      <c r="F88" s="801">
        <v>2297</v>
      </c>
      <c r="G88" s="813"/>
      <c r="H88" s="813"/>
      <c r="I88" s="813"/>
      <c r="J88" s="801">
        <v>79</v>
      </c>
      <c r="K88" s="801">
        <v>63</v>
      </c>
      <c r="L88" s="801">
        <v>24</v>
      </c>
      <c r="M88" s="352" t="s">
        <v>7</v>
      </c>
    </row>
    <row r="89" spans="1:13" x14ac:dyDescent="0.25">
      <c r="A89" s="352">
        <v>88</v>
      </c>
      <c r="B89" s="598" t="s">
        <v>255</v>
      </c>
      <c r="C89" s="801"/>
      <c r="D89" s="801"/>
      <c r="E89" s="801"/>
      <c r="F89" s="801"/>
      <c r="G89" s="813"/>
      <c r="H89" s="813"/>
      <c r="I89" s="813"/>
      <c r="J89" s="801"/>
      <c r="K89" s="801"/>
      <c r="L89" s="801"/>
      <c r="M89" s="352" t="s">
        <v>7</v>
      </c>
    </row>
    <row r="90" spans="1:13" x14ac:dyDescent="0.25">
      <c r="A90" s="352">
        <v>89</v>
      </c>
      <c r="B90" s="598" t="s">
        <v>256</v>
      </c>
      <c r="C90" s="801">
        <v>476</v>
      </c>
      <c r="D90" s="801">
        <v>147</v>
      </c>
      <c r="E90" s="801">
        <v>31</v>
      </c>
      <c r="F90" s="801">
        <v>226</v>
      </c>
      <c r="G90" s="813"/>
      <c r="H90" s="813"/>
      <c r="I90" s="813"/>
      <c r="J90" s="801">
        <v>174</v>
      </c>
      <c r="K90" s="801">
        <v>210</v>
      </c>
      <c r="L90" s="801">
        <v>92</v>
      </c>
      <c r="M90" s="352" t="s">
        <v>7</v>
      </c>
    </row>
    <row r="91" spans="1:13" x14ac:dyDescent="0.25">
      <c r="A91" s="352">
        <v>90</v>
      </c>
      <c r="B91" s="598" t="s">
        <v>257</v>
      </c>
      <c r="C91" s="801">
        <v>357</v>
      </c>
      <c r="D91" s="801">
        <v>756</v>
      </c>
      <c r="E91" s="801">
        <v>126</v>
      </c>
      <c r="F91" s="801">
        <v>677</v>
      </c>
      <c r="G91" s="813"/>
      <c r="H91" s="813"/>
      <c r="I91" s="813"/>
      <c r="J91" s="801">
        <v>60</v>
      </c>
      <c r="K91" s="801">
        <v>167</v>
      </c>
      <c r="L91" s="801">
        <v>130</v>
      </c>
      <c r="M91" s="352" t="s">
        <v>7</v>
      </c>
    </row>
    <row r="92" spans="1:13" x14ac:dyDescent="0.25">
      <c r="A92" s="352">
        <v>91</v>
      </c>
      <c r="B92" s="598" t="s">
        <v>258</v>
      </c>
      <c r="C92" s="801">
        <v>220</v>
      </c>
      <c r="D92" s="801">
        <v>476</v>
      </c>
      <c r="E92" s="801">
        <v>15</v>
      </c>
      <c r="F92" s="801">
        <v>440</v>
      </c>
      <c r="G92" s="813"/>
      <c r="H92" s="813"/>
      <c r="I92" s="813"/>
      <c r="J92" s="801">
        <v>170</v>
      </c>
      <c r="K92" s="801">
        <v>32</v>
      </c>
      <c r="L92" s="801">
        <v>18</v>
      </c>
      <c r="M92" s="352" t="s">
        <v>7</v>
      </c>
    </row>
    <row r="93" spans="1:13" x14ac:dyDescent="0.25">
      <c r="A93" s="352">
        <v>92</v>
      </c>
      <c r="B93" s="599" t="s">
        <v>259</v>
      </c>
      <c r="C93" s="802">
        <v>68</v>
      </c>
      <c r="D93" s="802">
        <v>400</v>
      </c>
      <c r="E93" s="816">
        <v>2</v>
      </c>
      <c r="F93" s="802">
        <v>161</v>
      </c>
      <c r="G93" s="814"/>
      <c r="H93" s="814"/>
      <c r="I93" s="814"/>
      <c r="J93" s="802">
        <v>63</v>
      </c>
      <c r="K93" s="816">
        <v>4</v>
      </c>
      <c r="L93" s="816">
        <v>1</v>
      </c>
      <c r="M93" s="352" t="s">
        <v>7</v>
      </c>
    </row>
    <row r="94" spans="1:13" x14ac:dyDescent="0.25">
      <c r="A94" s="352">
        <v>93</v>
      </c>
      <c r="B94" s="600" t="s">
        <v>260</v>
      </c>
      <c r="C94" s="803">
        <v>4145</v>
      </c>
      <c r="D94" s="803">
        <v>923</v>
      </c>
      <c r="E94" s="803">
        <v>1531</v>
      </c>
      <c r="F94" s="803">
        <v>2802</v>
      </c>
      <c r="G94" s="817"/>
      <c r="H94" s="818"/>
      <c r="I94" s="818"/>
      <c r="J94" s="803">
        <v>2174</v>
      </c>
      <c r="K94" s="803">
        <v>1659</v>
      </c>
      <c r="L94" s="803">
        <v>312</v>
      </c>
      <c r="M94" s="352" t="s">
        <v>8</v>
      </c>
    </row>
    <row r="95" spans="1:13" x14ac:dyDescent="0.25">
      <c r="A95" s="352">
        <v>94</v>
      </c>
      <c r="B95" s="600" t="s">
        <v>261</v>
      </c>
      <c r="C95" s="803">
        <v>979</v>
      </c>
      <c r="D95" s="803">
        <v>616</v>
      </c>
      <c r="E95" s="803">
        <v>188</v>
      </c>
      <c r="F95" s="803">
        <v>636</v>
      </c>
      <c r="G95" s="817"/>
      <c r="H95" s="818"/>
      <c r="I95" s="818"/>
      <c r="J95" s="803">
        <v>348</v>
      </c>
      <c r="K95" s="803">
        <v>306</v>
      </c>
      <c r="L95" s="803">
        <v>325</v>
      </c>
      <c r="M95" s="352" t="s">
        <v>8</v>
      </c>
    </row>
    <row r="96" spans="1:13" x14ac:dyDescent="0.25">
      <c r="A96" s="352">
        <v>95</v>
      </c>
      <c r="B96" s="600" t="s">
        <v>262</v>
      </c>
      <c r="C96" s="803">
        <v>1209</v>
      </c>
      <c r="D96" s="803">
        <v>578</v>
      </c>
      <c r="E96" s="803">
        <v>222</v>
      </c>
      <c r="F96" s="803">
        <v>990</v>
      </c>
      <c r="G96" s="817"/>
      <c r="H96" s="818"/>
      <c r="I96" s="818"/>
      <c r="J96" s="803">
        <v>699</v>
      </c>
      <c r="K96" s="803">
        <v>384</v>
      </c>
      <c r="L96" s="803">
        <v>126</v>
      </c>
      <c r="M96" s="352" t="s">
        <v>8</v>
      </c>
    </row>
    <row r="97" spans="1:13" x14ac:dyDescent="0.25">
      <c r="A97" s="352">
        <v>96</v>
      </c>
      <c r="B97" s="600" t="s">
        <v>263</v>
      </c>
      <c r="C97" s="803">
        <v>77</v>
      </c>
      <c r="D97" s="803">
        <v>450</v>
      </c>
      <c r="E97" s="803">
        <v>23</v>
      </c>
      <c r="F97" s="803">
        <v>220</v>
      </c>
      <c r="G97" s="817"/>
      <c r="H97" s="818"/>
      <c r="I97" s="818"/>
      <c r="J97" s="803">
        <v>7</v>
      </c>
      <c r="K97" s="803">
        <v>51</v>
      </c>
      <c r="L97" s="803">
        <v>19</v>
      </c>
      <c r="M97" s="352" t="s">
        <v>8</v>
      </c>
    </row>
    <row r="98" spans="1:13" x14ac:dyDescent="0.25">
      <c r="A98" s="352">
        <v>97</v>
      </c>
      <c r="B98" s="600" t="s">
        <v>264</v>
      </c>
      <c r="C98" s="803">
        <v>434</v>
      </c>
      <c r="D98" s="803">
        <v>119</v>
      </c>
      <c r="E98" s="803">
        <v>27</v>
      </c>
      <c r="F98" s="803">
        <v>398</v>
      </c>
      <c r="G98" s="817"/>
      <c r="H98" s="818"/>
      <c r="I98" s="818"/>
      <c r="J98" s="803">
        <v>30</v>
      </c>
      <c r="K98" s="803">
        <v>231</v>
      </c>
      <c r="L98" s="803">
        <v>173</v>
      </c>
      <c r="M98" s="352" t="s">
        <v>8</v>
      </c>
    </row>
    <row r="99" spans="1:13" x14ac:dyDescent="0.25">
      <c r="A99" s="352">
        <v>98</v>
      </c>
      <c r="B99" s="600" t="s">
        <v>265</v>
      </c>
      <c r="C99" s="803">
        <v>128</v>
      </c>
      <c r="D99" s="803">
        <v>906</v>
      </c>
      <c r="E99" s="803">
        <v>62</v>
      </c>
      <c r="F99" s="803">
        <v>128</v>
      </c>
      <c r="G99" s="817"/>
      <c r="H99" s="818"/>
      <c r="I99" s="818"/>
      <c r="J99" s="803">
        <v>56</v>
      </c>
      <c r="K99" s="803">
        <v>68</v>
      </c>
      <c r="L99" s="803">
        <v>4</v>
      </c>
      <c r="M99" s="352" t="s">
        <v>8</v>
      </c>
    </row>
    <row r="100" spans="1:13" x14ac:dyDescent="0.25">
      <c r="A100" s="352">
        <v>99</v>
      </c>
      <c r="B100" s="600" t="s">
        <v>266</v>
      </c>
      <c r="C100" s="803">
        <v>68</v>
      </c>
      <c r="D100" s="803"/>
      <c r="E100" s="803"/>
      <c r="F100" s="803">
        <v>140</v>
      </c>
      <c r="G100" s="817"/>
      <c r="H100" s="818"/>
      <c r="I100" s="818"/>
      <c r="J100" s="803">
        <v>68</v>
      </c>
      <c r="K100" s="803"/>
      <c r="L100" s="803"/>
      <c r="M100" s="352" t="s">
        <v>8</v>
      </c>
    </row>
    <row r="101" spans="1:13" x14ac:dyDescent="0.25">
      <c r="A101" s="352">
        <v>100</v>
      </c>
      <c r="B101" s="601" t="s">
        <v>267</v>
      </c>
      <c r="C101" s="803">
        <v>103</v>
      </c>
      <c r="D101" s="803">
        <v>962</v>
      </c>
      <c r="E101" s="803">
        <v>39</v>
      </c>
      <c r="F101" s="803">
        <v>96</v>
      </c>
      <c r="G101" s="817"/>
      <c r="H101" s="818"/>
      <c r="I101" s="818"/>
      <c r="J101" s="803">
        <v>51</v>
      </c>
      <c r="K101" s="803">
        <v>40</v>
      </c>
      <c r="L101" s="803">
        <v>11</v>
      </c>
      <c r="M101" s="352" t="s">
        <v>8</v>
      </c>
    </row>
    <row r="102" spans="1:13" x14ac:dyDescent="0.25">
      <c r="A102" s="352">
        <v>101</v>
      </c>
      <c r="B102" s="600" t="s">
        <v>268</v>
      </c>
      <c r="C102" s="803">
        <v>158</v>
      </c>
      <c r="D102" s="803">
        <v>620</v>
      </c>
      <c r="E102" s="803">
        <v>57</v>
      </c>
      <c r="F102" s="803">
        <v>384</v>
      </c>
      <c r="G102" s="817"/>
      <c r="H102" s="818"/>
      <c r="I102" s="818"/>
      <c r="J102" s="803">
        <v>33</v>
      </c>
      <c r="K102" s="803">
        <v>91</v>
      </c>
      <c r="L102" s="803">
        <v>34</v>
      </c>
      <c r="M102" s="352" t="s">
        <v>8</v>
      </c>
    </row>
    <row r="103" spans="1:13" x14ac:dyDescent="0.25">
      <c r="A103" s="352">
        <v>102</v>
      </c>
      <c r="B103" s="600" t="s">
        <v>269</v>
      </c>
      <c r="C103" s="803"/>
      <c r="D103" s="803"/>
      <c r="E103" s="803"/>
      <c r="F103" s="803"/>
      <c r="G103" s="817"/>
      <c r="H103" s="818"/>
      <c r="I103" s="818"/>
      <c r="J103" s="803"/>
      <c r="K103" s="803"/>
      <c r="L103" s="803"/>
      <c r="M103" s="352" t="s">
        <v>8</v>
      </c>
    </row>
    <row r="104" spans="1:13" x14ac:dyDescent="0.25">
      <c r="A104" s="352">
        <v>103</v>
      </c>
      <c r="B104" s="600" t="s">
        <v>270</v>
      </c>
      <c r="C104" s="803">
        <v>1688</v>
      </c>
      <c r="D104" s="803">
        <v>870</v>
      </c>
      <c r="E104" s="803">
        <v>563</v>
      </c>
      <c r="F104" s="803">
        <v>3820</v>
      </c>
      <c r="G104" s="817"/>
      <c r="H104" s="818"/>
      <c r="I104" s="818"/>
      <c r="J104" s="803">
        <v>781</v>
      </c>
      <c r="K104" s="803">
        <v>647</v>
      </c>
      <c r="L104" s="803">
        <v>260</v>
      </c>
      <c r="M104" s="352" t="s">
        <v>8</v>
      </c>
    </row>
    <row r="105" spans="1:13" x14ac:dyDescent="0.25">
      <c r="A105" s="352">
        <v>104</v>
      </c>
      <c r="B105" s="600" t="s">
        <v>271</v>
      </c>
      <c r="C105" s="803">
        <v>836</v>
      </c>
      <c r="D105" s="803">
        <v>897</v>
      </c>
      <c r="E105" s="803">
        <v>317</v>
      </c>
      <c r="F105" s="803">
        <v>2021</v>
      </c>
      <c r="G105" s="817"/>
      <c r="H105" s="818"/>
      <c r="I105" s="818"/>
      <c r="J105" s="803">
        <v>367</v>
      </c>
      <c r="K105" s="803">
        <v>353</v>
      </c>
      <c r="L105" s="803">
        <v>116</v>
      </c>
      <c r="M105" s="352" t="s">
        <v>8</v>
      </c>
    </row>
    <row r="106" spans="1:13" x14ac:dyDescent="0.25">
      <c r="A106" s="352">
        <v>105</v>
      </c>
      <c r="B106" s="600" t="s">
        <v>272</v>
      </c>
      <c r="C106" s="803">
        <v>571</v>
      </c>
      <c r="D106" s="803">
        <v>876</v>
      </c>
      <c r="E106" s="803">
        <v>71</v>
      </c>
      <c r="F106" s="803">
        <v>842</v>
      </c>
      <c r="G106" s="817"/>
      <c r="H106" s="818"/>
      <c r="I106" s="818"/>
      <c r="J106" s="803">
        <v>477</v>
      </c>
      <c r="K106" s="803">
        <v>81</v>
      </c>
      <c r="L106" s="803">
        <v>13</v>
      </c>
      <c r="M106" s="352" t="s">
        <v>8</v>
      </c>
    </row>
    <row r="107" spans="1:13" x14ac:dyDescent="0.25">
      <c r="A107" s="352">
        <v>106</v>
      </c>
      <c r="B107" s="600" t="s">
        <v>273</v>
      </c>
      <c r="C107" s="803">
        <v>59</v>
      </c>
      <c r="D107" s="803">
        <v>618</v>
      </c>
      <c r="E107" s="803">
        <v>19</v>
      </c>
      <c r="F107" s="803">
        <v>51</v>
      </c>
      <c r="G107" s="817"/>
      <c r="H107" s="818"/>
      <c r="I107" s="818"/>
      <c r="J107" s="803">
        <v>15</v>
      </c>
      <c r="K107" s="803">
        <v>30</v>
      </c>
      <c r="L107" s="803">
        <v>14</v>
      </c>
      <c r="M107" s="352" t="s">
        <v>8</v>
      </c>
    </row>
    <row r="108" spans="1:13" x14ac:dyDescent="0.25">
      <c r="A108" s="352">
        <v>107</v>
      </c>
      <c r="B108" s="602" t="s">
        <v>274</v>
      </c>
      <c r="C108" s="804">
        <v>411</v>
      </c>
      <c r="D108" s="804">
        <v>660</v>
      </c>
      <c r="E108" s="804">
        <v>93</v>
      </c>
      <c r="F108" s="804">
        <v>253</v>
      </c>
      <c r="G108" s="819"/>
      <c r="H108" s="819"/>
      <c r="I108" s="819"/>
      <c r="J108" s="804">
        <v>204</v>
      </c>
      <c r="K108" s="804">
        <v>141</v>
      </c>
      <c r="L108" s="804">
        <v>66</v>
      </c>
      <c r="M108" s="352" t="s">
        <v>9</v>
      </c>
    </row>
    <row r="109" spans="1:13" x14ac:dyDescent="0.25">
      <c r="A109" s="352">
        <v>108</v>
      </c>
      <c r="B109" s="602" t="s">
        <v>275</v>
      </c>
      <c r="C109" s="804">
        <v>111</v>
      </c>
      <c r="D109" s="804">
        <v>59</v>
      </c>
      <c r="E109" s="804">
        <v>3</v>
      </c>
      <c r="F109" s="804">
        <v>241</v>
      </c>
      <c r="G109" s="819"/>
      <c r="H109" s="819"/>
      <c r="I109" s="819"/>
      <c r="J109" s="804">
        <v>34</v>
      </c>
      <c r="K109" s="804">
        <v>45</v>
      </c>
      <c r="L109" s="804">
        <v>31</v>
      </c>
      <c r="M109" s="352" t="s">
        <v>9</v>
      </c>
    </row>
    <row r="110" spans="1:13" x14ac:dyDescent="0.25">
      <c r="A110" s="352">
        <v>109</v>
      </c>
      <c r="B110" s="602" t="s">
        <v>276</v>
      </c>
      <c r="C110" s="804">
        <v>139</v>
      </c>
      <c r="D110" s="804">
        <v>273</v>
      </c>
      <c r="E110" s="804">
        <v>10</v>
      </c>
      <c r="F110" s="804">
        <v>90</v>
      </c>
      <c r="G110" s="819"/>
      <c r="H110" s="819"/>
      <c r="I110" s="819"/>
      <c r="J110" s="804">
        <v>80</v>
      </c>
      <c r="K110" s="804">
        <v>36</v>
      </c>
      <c r="L110" s="804">
        <v>23</v>
      </c>
      <c r="M110" s="352" t="s">
        <v>9</v>
      </c>
    </row>
    <row r="111" spans="1:13" x14ac:dyDescent="0.25">
      <c r="A111" s="352">
        <v>110</v>
      </c>
      <c r="B111" s="602" t="s">
        <v>277</v>
      </c>
      <c r="C111" s="804">
        <v>25</v>
      </c>
      <c r="D111" s="804">
        <v>44</v>
      </c>
      <c r="E111" s="804">
        <v>0</v>
      </c>
      <c r="F111" s="804">
        <v>49</v>
      </c>
      <c r="G111" s="819"/>
      <c r="H111" s="819"/>
      <c r="I111" s="819"/>
      <c r="J111" s="804">
        <v>13</v>
      </c>
      <c r="K111" s="804">
        <v>7</v>
      </c>
      <c r="L111" s="804">
        <v>5</v>
      </c>
      <c r="M111" s="352" t="s">
        <v>9</v>
      </c>
    </row>
    <row r="112" spans="1:13" x14ac:dyDescent="0.25">
      <c r="A112" s="352">
        <v>111</v>
      </c>
      <c r="B112" s="602" t="s">
        <v>278</v>
      </c>
      <c r="C112" s="804">
        <v>25</v>
      </c>
      <c r="D112" s="804">
        <v>700</v>
      </c>
      <c r="E112" s="804">
        <v>11</v>
      </c>
      <c r="F112" s="804">
        <v>15</v>
      </c>
      <c r="G112" s="819"/>
      <c r="H112" s="819"/>
      <c r="I112" s="819"/>
      <c r="J112" s="804"/>
      <c r="K112" s="804">
        <v>15</v>
      </c>
      <c r="L112" s="804">
        <v>10</v>
      </c>
      <c r="M112" s="352" t="s">
        <v>9</v>
      </c>
    </row>
    <row r="113" spans="1:13" x14ac:dyDescent="0.25">
      <c r="A113" s="352">
        <v>112</v>
      </c>
      <c r="B113" s="602" t="s">
        <v>279</v>
      </c>
      <c r="C113" s="804"/>
      <c r="D113" s="804"/>
      <c r="E113" s="804"/>
      <c r="F113" s="804"/>
      <c r="G113" s="819"/>
      <c r="H113" s="819"/>
      <c r="I113" s="819"/>
      <c r="J113" s="804"/>
      <c r="K113" s="804"/>
      <c r="L113" s="804"/>
      <c r="M113" s="352" t="s">
        <v>9</v>
      </c>
    </row>
    <row r="114" spans="1:13" x14ac:dyDescent="0.25">
      <c r="A114" s="352">
        <v>113</v>
      </c>
      <c r="B114" s="603" t="s">
        <v>280</v>
      </c>
      <c r="C114" s="805"/>
      <c r="D114" s="805"/>
      <c r="E114" s="805"/>
      <c r="F114" s="805"/>
      <c r="G114" s="820"/>
      <c r="H114" s="820"/>
      <c r="I114" s="820"/>
      <c r="J114" s="805"/>
      <c r="K114" s="805"/>
      <c r="L114" s="805"/>
      <c r="M114" s="352" t="s">
        <v>9</v>
      </c>
    </row>
    <row r="115" spans="1:13" x14ac:dyDescent="0.25">
      <c r="A115" s="352">
        <v>114</v>
      </c>
      <c r="B115" s="604" t="s">
        <v>281</v>
      </c>
      <c r="C115" s="821">
        <v>2471</v>
      </c>
      <c r="D115" s="821">
        <v>857</v>
      </c>
      <c r="E115" s="821">
        <v>1026</v>
      </c>
      <c r="F115" s="821">
        <v>2607</v>
      </c>
      <c r="G115" s="822"/>
      <c r="H115" s="822"/>
      <c r="I115" s="822"/>
      <c r="J115" s="821">
        <v>831</v>
      </c>
      <c r="K115" s="821">
        <v>1198</v>
      </c>
      <c r="L115" s="821">
        <v>442</v>
      </c>
      <c r="M115" s="352" t="s">
        <v>1341</v>
      </c>
    </row>
    <row r="116" spans="1:13" x14ac:dyDescent="0.25">
      <c r="A116" s="352">
        <v>115</v>
      </c>
      <c r="B116" s="604" t="s">
        <v>284</v>
      </c>
      <c r="C116" s="821">
        <v>4595</v>
      </c>
      <c r="D116" s="821">
        <v>455</v>
      </c>
      <c r="E116" s="821">
        <v>829</v>
      </c>
      <c r="F116" s="821">
        <v>9009</v>
      </c>
      <c r="G116" s="822"/>
      <c r="H116" s="822"/>
      <c r="I116" s="822"/>
      <c r="J116" s="821">
        <v>1409</v>
      </c>
      <c r="K116" s="821">
        <v>1823</v>
      </c>
      <c r="L116" s="821">
        <v>1363</v>
      </c>
      <c r="M116" s="352" t="s">
        <v>1341</v>
      </c>
    </row>
    <row r="117" spans="1:13" x14ac:dyDescent="0.25">
      <c r="A117" s="352">
        <v>116</v>
      </c>
      <c r="B117" s="604" t="s">
        <v>288</v>
      </c>
      <c r="C117" s="821">
        <v>2574</v>
      </c>
      <c r="D117" s="821">
        <v>933</v>
      </c>
      <c r="E117" s="821">
        <v>1161</v>
      </c>
      <c r="F117" s="821">
        <v>3228</v>
      </c>
      <c r="G117" s="822"/>
      <c r="H117" s="822"/>
      <c r="I117" s="822"/>
      <c r="J117" s="821">
        <v>781</v>
      </c>
      <c r="K117" s="821">
        <v>1245</v>
      </c>
      <c r="L117" s="821">
        <v>548</v>
      </c>
      <c r="M117" s="352" t="s">
        <v>1341</v>
      </c>
    </row>
    <row r="118" spans="1:13" x14ac:dyDescent="0.25">
      <c r="A118" s="352">
        <v>117</v>
      </c>
      <c r="B118" s="604" t="s">
        <v>286</v>
      </c>
      <c r="C118" s="821">
        <v>1422</v>
      </c>
      <c r="D118" s="821">
        <v>690</v>
      </c>
      <c r="E118" s="821">
        <v>555</v>
      </c>
      <c r="F118" s="821">
        <v>2061</v>
      </c>
      <c r="G118" s="822"/>
      <c r="H118" s="822"/>
      <c r="I118" s="822"/>
      <c r="J118" s="821">
        <v>338</v>
      </c>
      <c r="K118" s="821">
        <v>804</v>
      </c>
      <c r="L118" s="821">
        <v>280</v>
      </c>
      <c r="M118" s="352" t="s">
        <v>1341</v>
      </c>
    </row>
    <row r="119" spans="1:13" x14ac:dyDescent="0.25">
      <c r="A119" s="352">
        <v>118</v>
      </c>
      <c r="B119" s="604" t="s">
        <v>287</v>
      </c>
      <c r="C119" s="821">
        <v>870</v>
      </c>
      <c r="D119" s="821">
        <v>825</v>
      </c>
      <c r="E119" s="821">
        <v>394</v>
      </c>
      <c r="F119" s="821">
        <v>1389</v>
      </c>
      <c r="G119" s="822"/>
      <c r="H119" s="822"/>
      <c r="I119" s="822"/>
      <c r="J119" s="821">
        <v>218</v>
      </c>
      <c r="K119" s="821">
        <v>478</v>
      </c>
      <c r="L119" s="821">
        <v>174</v>
      </c>
      <c r="M119" s="352" t="s">
        <v>1341</v>
      </c>
    </row>
    <row r="120" spans="1:13" x14ac:dyDescent="0.25">
      <c r="A120" s="352">
        <v>119</v>
      </c>
      <c r="B120" s="604" t="s">
        <v>283</v>
      </c>
      <c r="C120" s="821">
        <v>541</v>
      </c>
      <c r="D120" s="821">
        <v>742</v>
      </c>
      <c r="E120" s="821">
        <v>228</v>
      </c>
      <c r="F120" s="821">
        <v>703</v>
      </c>
      <c r="G120" s="822"/>
      <c r="H120" s="822"/>
      <c r="I120" s="822"/>
      <c r="J120" s="821">
        <v>98</v>
      </c>
      <c r="K120" s="821">
        <v>307</v>
      </c>
      <c r="L120" s="821">
        <v>136</v>
      </c>
      <c r="M120" s="352" t="s">
        <v>1341</v>
      </c>
    </row>
    <row r="121" spans="1:13" x14ac:dyDescent="0.25">
      <c r="A121" s="352">
        <v>120</v>
      </c>
      <c r="B121" s="604" t="s">
        <v>290</v>
      </c>
      <c r="C121" s="821">
        <v>441</v>
      </c>
      <c r="D121" s="821">
        <v>855</v>
      </c>
      <c r="E121" s="841"/>
      <c r="F121" s="821">
        <v>700</v>
      </c>
      <c r="G121" s="822"/>
      <c r="H121" s="822"/>
      <c r="I121" s="822"/>
      <c r="J121" s="821">
        <v>55</v>
      </c>
      <c r="K121" s="821">
        <v>291</v>
      </c>
      <c r="L121" s="821">
        <v>95</v>
      </c>
      <c r="M121" s="352" t="s">
        <v>1341</v>
      </c>
    </row>
    <row r="122" spans="1:13" x14ac:dyDescent="0.25">
      <c r="A122" s="352">
        <v>121</v>
      </c>
      <c r="B122" s="604" t="s">
        <v>285</v>
      </c>
      <c r="C122" s="821">
        <v>392</v>
      </c>
      <c r="D122" s="821">
        <v>903</v>
      </c>
      <c r="E122" s="821">
        <v>119</v>
      </c>
      <c r="F122" s="821">
        <v>745</v>
      </c>
      <c r="G122" s="822"/>
      <c r="H122" s="822"/>
      <c r="I122" s="822"/>
      <c r="J122" s="821">
        <v>205</v>
      </c>
      <c r="K122" s="821">
        <v>132</v>
      </c>
      <c r="L122" s="821">
        <v>55</v>
      </c>
      <c r="M122" s="352" t="s">
        <v>1341</v>
      </c>
    </row>
    <row r="123" spans="1:13" x14ac:dyDescent="0.25">
      <c r="A123" s="352">
        <v>122</v>
      </c>
      <c r="B123" s="604" t="s">
        <v>282</v>
      </c>
      <c r="C123" s="821">
        <v>91</v>
      </c>
      <c r="D123" s="821">
        <v>865</v>
      </c>
      <c r="E123" s="821">
        <v>48</v>
      </c>
      <c r="F123" s="821">
        <v>151</v>
      </c>
      <c r="G123" s="822"/>
      <c r="H123" s="822"/>
      <c r="I123" s="822"/>
      <c r="J123" s="821">
        <v>13</v>
      </c>
      <c r="K123" s="821">
        <v>56</v>
      </c>
      <c r="L123" s="821">
        <v>22</v>
      </c>
      <c r="M123" s="352" t="s">
        <v>1341</v>
      </c>
    </row>
    <row r="124" spans="1:13" x14ac:dyDescent="0.25">
      <c r="A124" s="352">
        <v>123</v>
      </c>
      <c r="B124" s="605" t="s">
        <v>289</v>
      </c>
      <c r="C124" s="823">
        <v>24</v>
      </c>
      <c r="D124" s="823">
        <v>714</v>
      </c>
      <c r="E124" s="823" t="s">
        <v>291</v>
      </c>
      <c r="F124" s="823">
        <v>40</v>
      </c>
      <c r="G124" s="824"/>
      <c r="H124" s="824"/>
      <c r="I124" s="824"/>
      <c r="J124" s="823">
        <v>6</v>
      </c>
      <c r="K124" s="823">
        <v>11</v>
      </c>
      <c r="L124" s="823">
        <v>7</v>
      </c>
      <c r="M124" s="352" t="s">
        <v>1341</v>
      </c>
    </row>
    <row r="125" spans="1:13" x14ac:dyDescent="0.25">
      <c r="A125" s="352">
        <v>124</v>
      </c>
      <c r="B125" s="606" t="s">
        <v>292</v>
      </c>
      <c r="C125" s="806">
        <v>16085</v>
      </c>
      <c r="D125" s="806">
        <v>778</v>
      </c>
      <c r="E125" s="807">
        <v>9464</v>
      </c>
      <c r="F125" s="806">
        <v>19483</v>
      </c>
      <c r="G125" s="825"/>
      <c r="H125" s="825"/>
      <c r="I125" s="825"/>
      <c r="J125" s="806">
        <v>2558</v>
      </c>
      <c r="K125" s="806">
        <v>12168</v>
      </c>
      <c r="L125" s="806">
        <v>1359</v>
      </c>
      <c r="M125" s="352" t="s">
        <v>1342</v>
      </c>
    </row>
    <row r="126" spans="1:13" x14ac:dyDescent="0.25">
      <c r="A126" s="352">
        <v>125</v>
      </c>
      <c r="B126" s="606" t="s">
        <v>293</v>
      </c>
      <c r="C126" s="806">
        <f>14848+20</f>
        <v>14868</v>
      </c>
      <c r="D126" s="806">
        <f>746+1148</f>
        <v>1894</v>
      </c>
      <c r="E126" s="807">
        <f>5555+23</f>
        <v>5578</v>
      </c>
      <c r="F126" s="806">
        <f>13111+38</f>
        <v>13149</v>
      </c>
      <c r="G126" s="825"/>
      <c r="H126" s="825"/>
      <c r="I126" s="825"/>
      <c r="J126" s="806">
        <v>4031</v>
      </c>
      <c r="K126" s="806">
        <f>7449+20</f>
        <v>7469</v>
      </c>
      <c r="L126" s="806">
        <v>3368</v>
      </c>
      <c r="M126" s="352" t="s">
        <v>1342</v>
      </c>
    </row>
    <row r="127" spans="1:13" x14ac:dyDescent="0.25">
      <c r="A127" s="352">
        <v>126</v>
      </c>
      <c r="B127" s="606" t="s">
        <v>295</v>
      </c>
      <c r="C127" s="806">
        <v>12860</v>
      </c>
      <c r="D127" s="806">
        <v>851</v>
      </c>
      <c r="E127" s="807">
        <v>5587</v>
      </c>
      <c r="F127" s="806">
        <v>28145</v>
      </c>
      <c r="G127" s="825"/>
      <c r="H127" s="825"/>
      <c r="I127" s="825"/>
      <c r="J127" s="806">
        <v>2594</v>
      </c>
      <c r="K127" s="806">
        <v>6565</v>
      </c>
      <c r="L127" s="806">
        <v>3701</v>
      </c>
      <c r="M127" s="352" t="s">
        <v>1342</v>
      </c>
    </row>
    <row r="128" spans="1:13" x14ac:dyDescent="0.25">
      <c r="A128" s="352">
        <v>127</v>
      </c>
      <c r="B128" s="606" t="s">
        <v>300</v>
      </c>
      <c r="C128" s="806">
        <f>11131+358</f>
        <v>11489</v>
      </c>
      <c r="D128" s="806">
        <f>765+ 1113</f>
        <v>1878</v>
      </c>
      <c r="E128" s="807">
        <f>5105+376</f>
        <v>5481</v>
      </c>
      <c r="F128" s="806">
        <f>14490+286</f>
        <v>14776</v>
      </c>
      <c r="G128" s="825"/>
      <c r="H128" s="825"/>
      <c r="I128" s="825"/>
      <c r="J128" s="806">
        <f>1734+ 14</f>
        <v>1748</v>
      </c>
      <c r="K128" s="806">
        <f>6677+ 338</f>
        <v>7015</v>
      </c>
      <c r="L128" s="806">
        <f>2720+ 6</f>
        <v>2726</v>
      </c>
      <c r="M128" s="352" t="s">
        <v>1342</v>
      </c>
    </row>
    <row r="129" spans="1:13" x14ac:dyDescent="0.25">
      <c r="A129" s="352">
        <v>128</v>
      </c>
      <c r="B129" s="606" t="s">
        <v>302</v>
      </c>
      <c r="C129" s="806">
        <v>5322</v>
      </c>
      <c r="D129" s="806">
        <v>944</v>
      </c>
      <c r="E129" s="807">
        <v>3326</v>
      </c>
      <c r="F129" s="806">
        <v>4789</v>
      </c>
      <c r="G129" s="825"/>
      <c r="H129" s="825"/>
      <c r="I129" s="825"/>
      <c r="J129" s="806">
        <v>785</v>
      </c>
      <c r="K129" s="806">
        <v>3524</v>
      </c>
      <c r="L129" s="806">
        <v>1013</v>
      </c>
      <c r="M129" s="352" t="s">
        <v>1342</v>
      </c>
    </row>
    <row r="130" spans="1:13" x14ac:dyDescent="0.25">
      <c r="A130" s="352">
        <v>129</v>
      </c>
      <c r="B130" s="606" t="s">
        <v>294</v>
      </c>
      <c r="C130" s="806">
        <v>5210</v>
      </c>
      <c r="D130" s="806">
        <v>764</v>
      </c>
      <c r="E130" s="807">
        <v>2301</v>
      </c>
      <c r="F130" s="806">
        <v>22009</v>
      </c>
      <c r="G130" s="825"/>
      <c r="H130" s="825"/>
      <c r="I130" s="825"/>
      <c r="J130" s="806">
        <v>1099</v>
      </c>
      <c r="K130" s="806">
        <v>3012</v>
      </c>
      <c r="L130" s="806">
        <v>1099</v>
      </c>
      <c r="M130" s="352" t="s">
        <v>1342</v>
      </c>
    </row>
    <row r="131" spans="1:13" x14ac:dyDescent="0.25">
      <c r="A131" s="352">
        <v>130</v>
      </c>
      <c r="B131" s="606" t="s">
        <v>297</v>
      </c>
      <c r="C131" s="806">
        <f>1554+ 250</f>
        <v>1804</v>
      </c>
      <c r="D131" s="806">
        <f>772+ 1112</f>
        <v>1884</v>
      </c>
      <c r="E131" s="807">
        <f>634+278</f>
        <v>912</v>
      </c>
      <c r="F131" s="806">
        <f>2220+200</f>
        <v>2420</v>
      </c>
      <c r="G131" s="825"/>
      <c r="H131" s="825"/>
      <c r="I131" s="825"/>
      <c r="J131" s="806">
        <v>314</v>
      </c>
      <c r="K131" s="806">
        <f>821+ 250</f>
        <v>1071</v>
      </c>
      <c r="L131" s="806">
        <v>419</v>
      </c>
      <c r="M131" s="352" t="s">
        <v>1342</v>
      </c>
    </row>
    <row r="132" spans="1:13" x14ac:dyDescent="0.25">
      <c r="A132" s="352">
        <v>131</v>
      </c>
      <c r="B132" s="606" t="s">
        <v>306</v>
      </c>
      <c r="C132" s="806">
        <v>1330</v>
      </c>
      <c r="D132" s="806">
        <v>919</v>
      </c>
      <c r="E132" s="807">
        <v>692</v>
      </c>
      <c r="F132" s="806">
        <v>1900</v>
      </c>
      <c r="G132" s="825"/>
      <c r="H132" s="825"/>
      <c r="I132" s="825"/>
      <c r="J132" s="806">
        <v>236</v>
      </c>
      <c r="K132" s="806">
        <v>753</v>
      </c>
      <c r="L132" s="806">
        <v>341</v>
      </c>
      <c r="M132" s="352" t="s">
        <v>1342</v>
      </c>
    </row>
    <row r="133" spans="1:13" x14ac:dyDescent="0.25">
      <c r="A133" s="352">
        <v>132</v>
      </c>
      <c r="B133" s="606" t="s">
        <v>298</v>
      </c>
      <c r="C133" s="806">
        <v>1232</v>
      </c>
      <c r="D133" s="806">
        <v>905</v>
      </c>
      <c r="E133" s="807">
        <v>531</v>
      </c>
      <c r="F133" s="806">
        <v>1760</v>
      </c>
      <c r="G133" s="825"/>
      <c r="H133" s="825"/>
      <c r="I133" s="825"/>
      <c r="J133" s="806">
        <v>296</v>
      </c>
      <c r="K133" s="806">
        <v>587</v>
      </c>
      <c r="L133" s="806">
        <v>349</v>
      </c>
      <c r="M133" s="352" t="s">
        <v>1342</v>
      </c>
    </row>
    <row r="134" spans="1:13" x14ac:dyDescent="0.25">
      <c r="A134" s="352">
        <v>133</v>
      </c>
      <c r="B134" s="606" t="s">
        <v>296</v>
      </c>
      <c r="C134" s="806">
        <v>762</v>
      </c>
      <c r="D134" s="806">
        <v>413</v>
      </c>
      <c r="E134" s="807">
        <v>176</v>
      </c>
      <c r="F134" s="806">
        <v>1439</v>
      </c>
      <c r="G134" s="825"/>
      <c r="H134" s="825"/>
      <c r="I134" s="825"/>
      <c r="J134" s="806">
        <v>156</v>
      </c>
      <c r="K134" s="806">
        <v>427</v>
      </c>
      <c r="L134" s="806">
        <v>179</v>
      </c>
      <c r="M134" s="352" t="s">
        <v>1342</v>
      </c>
    </row>
    <row r="135" spans="1:13" x14ac:dyDescent="0.25">
      <c r="A135" s="352">
        <v>134</v>
      </c>
      <c r="B135" s="606" t="s">
        <v>301</v>
      </c>
      <c r="C135" s="806">
        <v>560</v>
      </c>
      <c r="D135" s="806">
        <v>940</v>
      </c>
      <c r="E135" s="807">
        <v>392</v>
      </c>
      <c r="F135" s="806">
        <v>711</v>
      </c>
      <c r="G135" s="825"/>
      <c r="H135" s="825"/>
      <c r="I135" s="825"/>
      <c r="J135" s="806">
        <v>30</v>
      </c>
      <c r="K135" s="806">
        <v>417</v>
      </c>
      <c r="L135" s="806">
        <v>113</v>
      </c>
      <c r="M135" s="352" t="s">
        <v>1342</v>
      </c>
    </row>
    <row r="136" spans="1:13" x14ac:dyDescent="0.25">
      <c r="A136" s="352">
        <v>135</v>
      </c>
      <c r="B136" s="606" t="s">
        <v>299</v>
      </c>
      <c r="C136" s="806">
        <v>210</v>
      </c>
      <c r="D136" s="806">
        <v>965</v>
      </c>
      <c r="E136" s="807">
        <v>88</v>
      </c>
      <c r="F136" s="806">
        <v>2100</v>
      </c>
      <c r="G136" s="825"/>
      <c r="H136" s="825"/>
      <c r="I136" s="825"/>
      <c r="J136" s="806">
        <v>100</v>
      </c>
      <c r="K136" s="806">
        <v>91</v>
      </c>
      <c r="L136" s="806">
        <v>19</v>
      </c>
      <c r="M136" s="352" t="s">
        <v>1342</v>
      </c>
    </row>
    <row r="137" spans="1:13" x14ac:dyDescent="0.25">
      <c r="A137" s="352">
        <v>136</v>
      </c>
      <c r="B137" s="606" t="s">
        <v>304</v>
      </c>
      <c r="C137" s="806">
        <v>167</v>
      </c>
      <c r="D137" s="806">
        <v>851</v>
      </c>
      <c r="E137" s="807">
        <v>95</v>
      </c>
      <c r="F137" s="806">
        <v>1670</v>
      </c>
      <c r="G137" s="825"/>
      <c r="H137" s="825"/>
      <c r="I137" s="825"/>
      <c r="J137" s="806">
        <v>19</v>
      </c>
      <c r="K137" s="806">
        <v>112</v>
      </c>
      <c r="L137" s="806">
        <v>36</v>
      </c>
      <c r="M137" s="352" t="s">
        <v>1342</v>
      </c>
    </row>
    <row r="138" spans="1:13" x14ac:dyDescent="0.25">
      <c r="A138" s="352">
        <v>137</v>
      </c>
      <c r="B138" s="606" t="s">
        <v>305</v>
      </c>
      <c r="C138" s="806">
        <v>98</v>
      </c>
      <c r="D138" s="806">
        <v>893</v>
      </c>
      <c r="E138" s="807">
        <v>50</v>
      </c>
      <c r="F138" s="806">
        <v>4130</v>
      </c>
      <c r="G138" s="825"/>
      <c r="H138" s="825"/>
      <c r="I138" s="825"/>
      <c r="J138" s="806">
        <v>10</v>
      </c>
      <c r="K138" s="806">
        <v>57</v>
      </c>
      <c r="L138" s="806">
        <v>31</v>
      </c>
      <c r="M138" s="352" t="s">
        <v>1342</v>
      </c>
    </row>
    <row r="139" spans="1:13" x14ac:dyDescent="0.25">
      <c r="A139" s="352">
        <v>138</v>
      </c>
      <c r="B139" s="606" t="s">
        <v>303</v>
      </c>
      <c r="C139" s="806">
        <v>35</v>
      </c>
      <c r="D139" s="806">
        <v>778</v>
      </c>
      <c r="E139" s="807">
        <v>16</v>
      </c>
      <c r="F139" s="806">
        <v>374</v>
      </c>
      <c r="G139" s="825"/>
      <c r="H139" s="825"/>
      <c r="I139" s="825"/>
      <c r="J139" s="806">
        <v>8</v>
      </c>
      <c r="K139" s="806">
        <v>20</v>
      </c>
      <c r="L139" s="806">
        <v>7</v>
      </c>
      <c r="M139" s="352" t="s">
        <v>1342</v>
      </c>
    </row>
    <row r="140" spans="1:13" x14ac:dyDescent="0.25">
      <c r="A140" s="352">
        <v>139</v>
      </c>
      <c r="B140" s="607" t="s">
        <v>307</v>
      </c>
      <c r="C140" s="808">
        <f>50+ 301</f>
        <v>351</v>
      </c>
      <c r="D140" s="808">
        <f>630+ 484</f>
        <v>1114</v>
      </c>
      <c r="E140" s="808">
        <f>15+ 137</f>
        <v>152</v>
      </c>
      <c r="F140" s="826">
        <f>23+ 241</f>
        <v>264</v>
      </c>
      <c r="G140" s="826"/>
      <c r="H140" s="826"/>
      <c r="I140" s="826"/>
      <c r="J140" s="808">
        <f>23+18</f>
        <v>41</v>
      </c>
      <c r="K140" s="808">
        <f>24+283</f>
        <v>307</v>
      </c>
      <c r="L140" s="808">
        <v>3</v>
      </c>
      <c r="M140" s="352" t="s">
        <v>14</v>
      </c>
    </row>
    <row r="141" spans="1:13" x14ac:dyDescent="0.25">
      <c r="A141" s="352">
        <v>140</v>
      </c>
      <c r="B141" s="607" t="s">
        <v>327</v>
      </c>
      <c r="C141" s="827">
        <v>2572</v>
      </c>
      <c r="D141" s="827">
        <v>224</v>
      </c>
      <c r="E141" s="827">
        <v>225</v>
      </c>
      <c r="F141" s="826">
        <v>8574</v>
      </c>
      <c r="G141" s="826"/>
      <c r="H141" s="826"/>
      <c r="I141" s="826"/>
      <c r="J141" s="827">
        <v>342</v>
      </c>
      <c r="K141" s="827">
        <v>1002</v>
      </c>
      <c r="L141" s="827">
        <v>1228</v>
      </c>
      <c r="M141" s="352" t="s">
        <v>14</v>
      </c>
    </row>
    <row r="142" spans="1:13" x14ac:dyDescent="0.25">
      <c r="A142" s="352">
        <v>141</v>
      </c>
      <c r="B142" s="607" t="s">
        <v>309</v>
      </c>
      <c r="C142" s="808">
        <f>405+ 1595</f>
        <v>2000</v>
      </c>
      <c r="D142" s="808">
        <f>484+ 179</f>
        <v>663</v>
      </c>
      <c r="E142" s="808">
        <f>30+ 231</f>
        <v>261</v>
      </c>
      <c r="F142" s="826">
        <f>1475+ 1276</f>
        <v>2751</v>
      </c>
      <c r="G142" s="826"/>
      <c r="H142" s="826"/>
      <c r="I142" s="826"/>
      <c r="J142" s="808">
        <f>247+296</f>
        <v>543</v>
      </c>
      <c r="K142" s="808">
        <f>62+ 1287</f>
        <v>1349</v>
      </c>
      <c r="L142" s="808">
        <f>97+12</f>
        <v>109</v>
      </c>
      <c r="M142" s="352" t="s">
        <v>14</v>
      </c>
    </row>
    <row r="143" spans="1:13" x14ac:dyDescent="0.25">
      <c r="A143" s="352">
        <v>142</v>
      </c>
      <c r="B143" s="607" t="s">
        <v>330</v>
      </c>
      <c r="C143" s="827">
        <v>1218</v>
      </c>
      <c r="D143" s="827">
        <v>705</v>
      </c>
      <c r="E143" s="827">
        <v>413</v>
      </c>
      <c r="F143" s="826">
        <v>3169</v>
      </c>
      <c r="G143" s="826"/>
      <c r="H143" s="826"/>
      <c r="I143" s="826"/>
      <c r="J143" s="827">
        <v>233</v>
      </c>
      <c r="K143" s="827">
        <v>612</v>
      </c>
      <c r="L143" s="827">
        <v>374</v>
      </c>
      <c r="M143" s="352" t="s">
        <v>14</v>
      </c>
    </row>
    <row r="144" spans="1:13" x14ac:dyDescent="0.25">
      <c r="A144" s="352">
        <v>143</v>
      </c>
      <c r="B144" s="607" t="s">
        <v>311</v>
      </c>
      <c r="C144" s="808">
        <f>130+615</f>
        <v>745</v>
      </c>
      <c r="D144" s="808">
        <f>656+ 1323</f>
        <v>1979</v>
      </c>
      <c r="E144" s="808">
        <f>30+763</f>
        <v>793</v>
      </c>
      <c r="F144" s="826">
        <f>952+ 492</f>
        <v>1444</v>
      </c>
      <c r="G144" s="826"/>
      <c r="H144" s="826"/>
      <c r="I144" s="826"/>
      <c r="J144" s="808">
        <f>5+ 38</f>
        <v>43</v>
      </c>
      <c r="K144" s="808">
        <f>46+577</f>
        <v>623</v>
      </c>
      <c r="L144" s="808">
        <v>79</v>
      </c>
      <c r="M144" s="352" t="s">
        <v>14</v>
      </c>
    </row>
    <row r="145" spans="1:13" x14ac:dyDescent="0.25">
      <c r="A145" s="352">
        <v>144</v>
      </c>
      <c r="B145" s="607" t="s">
        <v>325</v>
      </c>
      <c r="C145" s="826">
        <v>706</v>
      </c>
      <c r="D145" s="826">
        <v>661</v>
      </c>
      <c r="E145" s="826">
        <v>128</v>
      </c>
      <c r="F145" s="826">
        <v>2320</v>
      </c>
      <c r="G145" s="826"/>
      <c r="H145" s="826"/>
      <c r="I145" s="826"/>
      <c r="J145" s="826">
        <v>454</v>
      </c>
      <c r="K145" s="826">
        <v>194</v>
      </c>
      <c r="L145" s="826">
        <v>58</v>
      </c>
      <c r="M145" s="352" t="s">
        <v>14</v>
      </c>
    </row>
    <row r="146" spans="1:13" x14ac:dyDescent="0.25">
      <c r="A146" s="352">
        <v>145</v>
      </c>
      <c r="B146" s="607" t="s">
        <v>329</v>
      </c>
      <c r="C146" s="827">
        <f>15+203+ 441</f>
        <v>659</v>
      </c>
      <c r="D146" s="827">
        <f>70+430+860</f>
        <v>1360</v>
      </c>
      <c r="E146" s="827">
        <f>0+87+376</f>
        <v>463</v>
      </c>
      <c r="F146" s="826">
        <f>19+162+353</f>
        <v>534</v>
      </c>
      <c r="G146" s="826"/>
      <c r="H146" s="826"/>
      <c r="I146" s="826"/>
      <c r="J146" s="827">
        <f>14+5</f>
        <v>19</v>
      </c>
      <c r="K146" s="827">
        <f>1+203+437</f>
        <v>641</v>
      </c>
      <c r="L146" s="827">
        <v>0</v>
      </c>
      <c r="M146" s="352" t="s">
        <v>14</v>
      </c>
    </row>
    <row r="147" spans="1:13" x14ac:dyDescent="0.25">
      <c r="A147" s="352">
        <v>146</v>
      </c>
      <c r="B147" s="607" t="s">
        <v>319</v>
      </c>
      <c r="C147" s="808">
        <v>482</v>
      </c>
      <c r="D147" s="808">
        <v>392</v>
      </c>
      <c r="E147" s="808">
        <v>30</v>
      </c>
      <c r="F147" s="826">
        <v>721</v>
      </c>
      <c r="G147" s="826"/>
      <c r="H147" s="826"/>
      <c r="I147" s="826"/>
      <c r="J147" s="808">
        <v>381</v>
      </c>
      <c r="K147" s="808">
        <v>76</v>
      </c>
      <c r="L147" s="808">
        <v>25</v>
      </c>
      <c r="M147" s="352" t="s">
        <v>14</v>
      </c>
    </row>
    <row r="148" spans="1:13" x14ac:dyDescent="0.25">
      <c r="A148" s="352">
        <v>147</v>
      </c>
      <c r="B148" s="607" t="s">
        <v>328</v>
      </c>
      <c r="C148" s="827">
        <v>380</v>
      </c>
      <c r="D148" s="827">
        <v>348</v>
      </c>
      <c r="E148" s="827">
        <v>5</v>
      </c>
      <c r="F148" s="826">
        <v>1055</v>
      </c>
      <c r="G148" s="826"/>
      <c r="H148" s="826"/>
      <c r="I148" s="826"/>
      <c r="J148" s="827">
        <v>314</v>
      </c>
      <c r="K148" s="827">
        <v>14</v>
      </c>
      <c r="L148" s="827">
        <v>53</v>
      </c>
      <c r="M148" s="352" t="s">
        <v>14</v>
      </c>
    </row>
    <row r="149" spans="1:13" x14ac:dyDescent="0.25">
      <c r="A149" s="352">
        <v>148</v>
      </c>
      <c r="B149" s="607" t="s">
        <v>326</v>
      </c>
      <c r="C149" s="826">
        <v>284</v>
      </c>
      <c r="D149" s="826">
        <v>325</v>
      </c>
      <c r="E149" s="826">
        <v>13</v>
      </c>
      <c r="F149" s="826">
        <v>335</v>
      </c>
      <c r="G149" s="826"/>
      <c r="H149" s="826"/>
      <c r="I149" s="826"/>
      <c r="J149" s="826">
        <v>220</v>
      </c>
      <c r="K149" s="826">
        <v>40</v>
      </c>
      <c r="L149" s="826">
        <v>23</v>
      </c>
      <c r="M149" s="352" t="s">
        <v>14</v>
      </c>
    </row>
    <row r="150" spans="1:13" x14ac:dyDescent="0.25">
      <c r="A150" s="352">
        <v>149</v>
      </c>
      <c r="B150" s="607" t="s">
        <v>323</v>
      </c>
      <c r="C150" s="808">
        <v>64</v>
      </c>
      <c r="D150" s="826">
        <v>309</v>
      </c>
      <c r="E150" s="808">
        <v>6</v>
      </c>
      <c r="F150" s="826">
        <v>331</v>
      </c>
      <c r="G150" s="826"/>
      <c r="H150" s="826"/>
      <c r="I150" s="826"/>
      <c r="J150" s="808">
        <v>27</v>
      </c>
      <c r="K150" s="808">
        <v>19</v>
      </c>
      <c r="L150" s="808">
        <v>18</v>
      </c>
      <c r="M150" s="352" t="s">
        <v>14</v>
      </c>
    </row>
    <row r="151" spans="1:13" x14ac:dyDescent="0.25">
      <c r="A151" s="352">
        <v>150</v>
      </c>
      <c r="B151" s="607" t="s">
        <v>313</v>
      </c>
      <c r="C151" s="808">
        <v>40</v>
      </c>
      <c r="D151" s="808">
        <v>622</v>
      </c>
      <c r="E151" s="808">
        <v>3</v>
      </c>
      <c r="F151" s="826">
        <v>285</v>
      </c>
      <c r="G151" s="826"/>
      <c r="H151" s="826"/>
      <c r="I151" s="826"/>
      <c r="J151" s="808">
        <v>30</v>
      </c>
      <c r="K151" s="808">
        <v>4</v>
      </c>
      <c r="L151" s="808">
        <v>6</v>
      </c>
      <c r="M151" s="352" t="s">
        <v>14</v>
      </c>
    </row>
    <row r="152" spans="1:13" x14ac:dyDescent="0.25">
      <c r="A152" s="352">
        <v>151</v>
      </c>
      <c r="B152" s="607" t="s">
        <v>321</v>
      </c>
      <c r="C152" s="808">
        <v>40</v>
      </c>
      <c r="D152" s="826"/>
      <c r="E152" s="808"/>
      <c r="F152" s="826">
        <v>80</v>
      </c>
      <c r="G152" s="826"/>
      <c r="H152" s="826"/>
      <c r="I152" s="826"/>
      <c r="J152" s="808">
        <v>13</v>
      </c>
      <c r="K152" s="808"/>
      <c r="L152" s="808">
        <v>27</v>
      </c>
      <c r="M152" s="352" t="s">
        <v>14</v>
      </c>
    </row>
    <row r="153" spans="1:13" x14ac:dyDescent="0.25">
      <c r="A153" s="352">
        <v>152</v>
      </c>
      <c r="B153" s="607" t="s">
        <v>324</v>
      </c>
      <c r="C153" s="808">
        <v>5</v>
      </c>
      <c r="D153" s="808">
        <v>220</v>
      </c>
      <c r="E153" s="808">
        <v>1</v>
      </c>
      <c r="F153" s="826">
        <v>12</v>
      </c>
      <c r="G153" s="826"/>
      <c r="H153" s="826"/>
      <c r="I153" s="826"/>
      <c r="J153" s="808"/>
      <c r="K153" s="808">
        <v>4</v>
      </c>
      <c r="L153" s="808">
        <v>1</v>
      </c>
      <c r="M153" s="352" t="s">
        <v>14</v>
      </c>
    </row>
    <row r="154" spans="1:13" x14ac:dyDescent="0.25">
      <c r="A154" s="352">
        <v>153</v>
      </c>
      <c r="B154" s="607" t="s">
        <v>308</v>
      </c>
      <c r="C154" s="826"/>
      <c r="D154" s="826"/>
      <c r="E154" s="826"/>
      <c r="F154" s="826"/>
      <c r="G154" s="826"/>
      <c r="H154" s="826"/>
      <c r="I154" s="826"/>
      <c r="J154" s="826"/>
      <c r="K154" s="826"/>
      <c r="L154" s="826"/>
      <c r="M154" s="352" t="s">
        <v>14</v>
      </c>
    </row>
    <row r="155" spans="1:13" x14ac:dyDescent="0.25">
      <c r="A155" s="352">
        <v>154</v>
      </c>
      <c r="B155" s="607" t="s">
        <v>310</v>
      </c>
      <c r="C155" s="826"/>
      <c r="D155" s="826"/>
      <c r="E155" s="826"/>
      <c r="F155" s="826"/>
      <c r="G155" s="826"/>
      <c r="H155" s="826"/>
      <c r="I155" s="826"/>
      <c r="J155" s="826"/>
      <c r="K155" s="826"/>
      <c r="L155" s="826"/>
      <c r="M155" s="352" t="s">
        <v>14</v>
      </c>
    </row>
    <row r="156" spans="1:13" x14ac:dyDescent="0.25">
      <c r="A156" s="352">
        <v>155</v>
      </c>
      <c r="B156" s="607" t="s">
        <v>312</v>
      </c>
      <c r="C156" s="826"/>
      <c r="D156" s="826"/>
      <c r="E156" s="826"/>
      <c r="F156" s="826"/>
      <c r="G156" s="826"/>
      <c r="H156" s="826"/>
      <c r="I156" s="826"/>
      <c r="J156" s="826"/>
      <c r="K156" s="826"/>
      <c r="L156" s="826"/>
      <c r="M156" s="352" t="s">
        <v>14</v>
      </c>
    </row>
    <row r="157" spans="1:13" x14ac:dyDescent="0.25">
      <c r="A157" s="352">
        <v>156</v>
      </c>
      <c r="B157" s="607" t="s">
        <v>314</v>
      </c>
      <c r="C157" s="826"/>
      <c r="D157" s="826"/>
      <c r="E157" s="826"/>
      <c r="F157" s="826"/>
      <c r="G157" s="826"/>
      <c r="H157" s="826"/>
      <c r="I157" s="826"/>
      <c r="J157" s="826"/>
      <c r="K157" s="826"/>
      <c r="L157" s="826"/>
      <c r="M157" s="352" t="s">
        <v>14</v>
      </c>
    </row>
    <row r="158" spans="1:13" x14ac:dyDescent="0.25">
      <c r="A158" s="352">
        <v>157</v>
      </c>
      <c r="B158" s="607" t="s">
        <v>315</v>
      </c>
      <c r="C158" s="826"/>
      <c r="D158" s="826"/>
      <c r="E158" s="826"/>
      <c r="F158" s="826"/>
      <c r="G158" s="826"/>
      <c r="H158" s="826"/>
      <c r="I158" s="826"/>
      <c r="J158" s="826"/>
      <c r="K158" s="826"/>
      <c r="L158" s="826"/>
      <c r="M158" s="352" t="s">
        <v>14</v>
      </c>
    </row>
    <row r="159" spans="1:13" x14ac:dyDescent="0.25">
      <c r="A159" s="352">
        <v>158</v>
      </c>
      <c r="B159" s="607" t="s">
        <v>316</v>
      </c>
      <c r="C159" s="826"/>
      <c r="D159" s="826"/>
      <c r="E159" s="826"/>
      <c r="F159" s="826"/>
      <c r="G159" s="826"/>
      <c r="H159" s="826"/>
      <c r="I159" s="826"/>
      <c r="J159" s="826"/>
      <c r="K159" s="826"/>
      <c r="L159" s="826"/>
      <c r="M159" s="352" t="s">
        <v>14</v>
      </c>
    </row>
    <row r="160" spans="1:13" x14ac:dyDescent="0.25">
      <c r="A160" s="352">
        <v>159</v>
      </c>
      <c r="B160" s="607" t="s">
        <v>317</v>
      </c>
      <c r="C160" s="826"/>
      <c r="D160" s="826"/>
      <c r="E160" s="826"/>
      <c r="F160" s="826"/>
      <c r="G160" s="826"/>
      <c r="H160" s="826"/>
      <c r="I160" s="826"/>
      <c r="J160" s="826"/>
      <c r="K160" s="826"/>
      <c r="L160" s="826"/>
      <c r="M160" s="352" t="s">
        <v>14</v>
      </c>
    </row>
    <row r="161" spans="1:13" x14ac:dyDescent="0.25">
      <c r="A161" s="352">
        <v>160</v>
      </c>
      <c r="B161" s="607" t="s">
        <v>318</v>
      </c>
      <c r="C161" s="826"/>
      <c r="D161" s="826"/>
      <c r="E161" s="826"/>
      <c r="F161" s="826"/>
      <c r="G161" s="826"/>
      <c r="H161" s="826"/>
      <c r="I161" s="826"/>
      <c r="J161" s="826"/>
      <c r="K161" s="826"/>
      <c r="L161" s="826"/>
      <c r="M161" s="352" t="s">
        <v>14</v>
      </c>
    </row>
    <row r="162" spans="1:13" x14ac:dyDescent="0.25">
      <c r="A162" s="352">
        <v>161</v>
      </c>
      <c r="B162" s="607" t="s">
        <v>320</v>
      </c>
      <c r="C162" s="826"/>
      <c r="D162" s="826"/>
      <c r="E162" s="826"/>
      <c r="F162" s="826"/>
      <c r="G162" s="826"/>
      <c r="H162" s="826"/>
      <c r="I162" s="826"/>
      <c r="J162" s="826"/>
      <c r="K162" s="826"/>
      <c r="L162" s="826"/>
      <c r="M162" s="352" t="s">
        <v>14</v>
      </c>
    </row>
    <row r="163" spans="1:13" x14ac:dyDescent="0.25">
      <c r="A163" s="352">
        <v>162</v>
      </c>
      <c r="B163" s="608" t="s">
        <v>322</v>
      </c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352" t="s">
        <v>14</v>
      </c>
    </row>
    <row r="164" spans="1:13" x14ac:dyDescent="0.25">
      <c r="A164" s="352">
        <v>163</v>
      </c>
      <c r="B164" s="609" t="s">
        <v>331</v>
      </c>
      <c r="C164" s="809">
        <v>2390</v>
      </c>
      <c r="D164" s="809">
        <v>686</v>
      </c>
      <c r="E164" s="809">
        <v>602</v>
      </c>
      <c r="F164" s="829">
        <v>1940</v>
      </c>
      <c r="G164" s="829"/>
      <c r="H164" s="829"/>
      <c r="I164" s="829"/>
      <c r="J164" s="809">
        <v>836</v>
      </c>
      <c r="K164" s="809">
        <v>877</v>
      </c>
      <c r="L164" s="809">
        <v>677</v>
      </c>
      <c r="M164" s="352" t="s">
        <v>15</v>
      </c>
    </row>
    <row r="165" spans="1:13" x14ac:dyDescent="0.25">
      <c r="A165" s="352">
        <v>164</v>
      </c>
      <c r="B165" s="609" t="s">
        <v>332</v>
      </c>
      <c r="C165" s="809">
        <f>3126+443</f>
        <v>3569</v>
      </c>
      <c r="D165" s="809">
        <f>843+1043</f>
        <v>1886</v>
      </c>
      <c r="E165" s="809">
        <f>1103+462</f>
        <v>1565</v>
      </c>
      <c r="F165" s="829">
        <f>3907+265</f>
        <v>4172</v>
      </c>
      <c r="G165" s="829"/>
      <c r="H165" s="829"/>
      <c r="I165" s="829"/>
      <c r="J165" s="809">
        <v>1174</v>
      </c>
      <c r="K165" s="809">
        <f>1322+443</f>
        <v>1765</v>
      </c>
      <c r="L165" s="809">
        <v>630</v>
      </c>
      <c r="M165" s="352" t="s">
        <v>15</v>
      </c>
    </row>
    <row r="166" spans="1:13" x14ac:dyDescent="0.25">
      <c r="A166" s="352">
        <v>165</v>
      </c>
      <c r="B166" s="609" t="s">
        <v>333</v>
      </c>
      <c r="C166" s="809">
        <v>1518</v>
      </c>
      <c r="D166" s="809">
        <v>280</v>
      </c>
      <c r="E166" s="809">
        <v>203</v>
      </c>
      <c r="F166" s="829">
        <v>1230</v>
      </c>
      <c r="G166" s="829"/>
      <c r="H166" s="829"/>
      <c r="I166" s="829"/>
      <c r="J166" s="809">
        <v>465</v>
      </c>
      <c r="K166" s="809">
        <v>726</v>
      </c>
      <c r="L166" s="809">
        <v>328</v>
      </c>
      <c r="M166" s="352" t="s">
        <v>15</v>
      </c>
    </row>
    <row r="167" spans="1:13" x14ac:dyDescent="0.25">
      <c r="A167" s="352">
        <v>166</v>
      </c>
      <c r="B167" s="609" t="s">
        <v>335</v>
      </c>
      <c r="C167" s="809">
        <v>105</v>
      </c>
      <c r="D167" s="809">
        <v>1023</v>
      </c>
      <c r="E167" s="809">
        <v>45</v>
      </c>
      <c r="F167" s="829">
        <v>316</v>
      </c>
      <c r="G167" s="829"/>
      <c r="H167" s="829"/>
      <c r="I167" s="829"/>
      <c r="J167" s="809">
        <v>47</v>
      </c>
      <c r="K167" s="809">
        <v>44</v>
      </c>
      <c r="L167" s="830">
        <v>14</v>
      </c>
      <c r="M167" s="352" t="s">
        <v>15</v>
      </c>
    </row>
    <row r="168" spans="1:13" x14ac:dyDescent="0.25">
      <c r="A168" s="352">
        <v>167</v>
      </c>
      <c r="B168" s="609" t="s">
        <v>334</v>
      </c>
      <c r="C168" s="809"/>
      <c r="D168" s="829"/>
      <c r="E168" s="809"/>
      <c r="F168" s="829"/>
      <c r="G168" s="829"/>
      <c r="H168" s="829"/>
      <c r="I168" s="829"/>
      <c r="J168" s="809"/>
      <c r="K168" s="809"/>
      <c r="L168" s="809"/>
      <c r="M168" s="352" t="s">
        <v>15</v>
      </c>
    </row>
    <row r="169" spans="1:13" x14ac:dyDescent="0.25">
      <c r="A169" s="352">
        <v>168</v>
      </c>
      <c r="B169" s="609" t="s">
        <v>336</v>
      </c>
      <c r="C169" s="809"/>
      <c r="D169" s="830"/>
      <c r="E169" s="809"/>
      <c r="F169" s="829"/>
      <c r="G169" s="829"/>
      <c r="H169" s="829"/>
      <c r="I169" s="829"/>
      <c r="J169" s="809"/>
      <c r="K169" s="809"/>
      <c r="L169" s="830"/>
      <c r="M169" s="352" t="s">
        <v>15</v>
      </c>
    </row>
    <row r="170" spans="1:13" x14ac:dyDescent="0.25">
      <c r="A170" s="352">
        <v>169</v>
      </c>
      <c r="B170" s="598" t="s">
        <v>337</v>
      </c>
      <c r="C170" s="801">
        <v>202</v>
      </c>
      <c r="D170" s="801">
        <v>160</v>
      </c>
      <c r="E170" s="801">
        <v>8</v>
      </c>
      <c r="F170" s="813">
        <v>3525</v>
      </c>
      <c r="G170" s="813"/>
      <c r="H170" s="813"/>
      <c r="I170" s="813"/>
      <c r="J170" s="801">
        <v>94</v>
      </c>
      <c r="K170" s="801">
        <v>49</v>
      </c>
      <c r="L170" s="801">
        <v>58</v>
      </c>
      <c r="M170" s="352" t="s">
        <v>16</v>
      </c>
    </row>
    <row r="171" spans="1:13" x14ac:dyDescent="0.25">
      <c r="A171" s="352">
        <v>170</v>
      </c>
      <c r="B171" s="598" t="s">
        <v>341</v>
      </c>
      <c r="C171" s="801">
        <f>1055+190</f>
        <v>1245</v>
      </c>
      <c r="D171" s="801">
        <f>607+840</f>
        <v>1447</v>
      </c>
      <c r="E171" s="801">
        <f>306+110</f>
        <v>416</v>
      </c>
      <c r="F171" s="813">
        <f>2925+152</f>
        <v>3077</v>
      </c>
      <c r="G171" s="813"/>
      <c r="H171" s="813"/>
      <c r="I171" s="813"/>
      <c r="J171" s="801">
        <v>376</v>
      </c>
      <c r="K171" s="801">
        <f>504+131</f>
        <v>635</v>
      </c>
      <c r="L171" s="801">
        <f>175+59</f>
        <v>234</v>
      </c>
      <c r="M171" s="352" t="s">
        <v>16</v>
      </c>
    </row>
    <row r="172" spans="1:13" x14ac:dyDescent="0.25">
      <c r="A172" s="352">
        <v>171</v>
      </c>
      <c r="B172" s="598" t="s">
        <v>354</v>
      </c>
      <c r="C172" s="801">
        <v>1196</v>
      </c>
      <c r="D172" s="801">
        <v>485</v>
      </c>
      <c r="E172" s="801">
        <v>297</v>
      </c>
      <c r="F172" s="813">
        <v>2606</v>
      </c>
      <c r="G172" s="813"/>
      <c r="H172" s="813"/>
      <c r="I172" s="813"/>
      <c r="J172" s="801">
        <v>292</v>
      </c>
      <c r="K172" s="801">
        <v>612</v>
      </c>
      <c r="L172" s="801">
        <v>292</v>
      </c>
      <c r="M172" s="352" t="s">
        <v>16</v>
      </c>
    </row>
    <row r="173" spans="1:13" x14ac:dyDescent="0.25">
      <c r="A173" s="352">
        <v>172</v>
      </c>
      <c r="B173" s="598" t="s">
        <v>353</v>
      </c>
      <c r="C173" s="801">
        <v>611</v>
      </c>
      <c r="D173" s="801">
        <v>855</v>
      </c>
      <c r="E173" s="801">
        <v>106</v>
      </c>
      <c r="F173" s="813">
        <v>3530</v>
      </c>
      <c r="G173" s="813"/>
      <c r="H173" s="813"/>
      <c r="I173" s="813"/>
      <c r="J173" s="801">
        <v>446</v>
      </c>
      <c r="K173" s="801">
        <v>124</v>
      </c>
      <c r="L173" s="801">
        <v>41</v>
      </c>
      <c r="M173" s="352" t="s">
        <v>16</v>
      </c>
    </row>
    <row r="174" spans="1:13" x14ac:dyDescent="0.25">
      <c r="A174" s="352">
        <v>173</v>
      </c>
      <c r="B174" s="598" t="s">
        <v>345</v>
      </c>
      <c r="C174" s="801">
        <f>149+401</f>
        <v>550</v>
      </c>
      <c r="D174" s="801">
        <f>504+522</f>
        <v>1026</v>
      </c>
      <c r="E174" s="801">
        <f>23+209</f>
        <v>232</v>
      </c>
      <c r="F174" s="813">
        <f>284+321</f>
        <v>605</v>
      </c>
      <c r="G174" s="813"/>
      <c r="H174" s="813"/>
      <c r="I174" s="813"/>
      <c r="J174" s="801">
        <v>79</v>
      </c>
      <c r="K174" s="801">
        <f>45+401</f>
        <v>446</v>
      </c>
      <c r="L174" s="801">
        <v>25</v>
      </c>
      <c r="M174" s="352" t="s">
        <v>16</v>
      </c>
    </row>
    <row r="175" spans="1:13" x14ac:dyDescent="0.25">
      <c r="A175" s="352">
        <v>174</v>
      </c>
      <c r="B175" s="598" t="s">
        <v>357</v>
      </c>
      <c r="C175" s="801">
        <f>515+  6</f>
        <v>521</v>
      </c>
      <c r="D175" s="801">
        <f>141+ 200</f>
        <v>341</v>
      </c>
      <c r="E175" s="801">
        <f>13+61</f>
        <v>74</v>
      </c>
      <c r="F175" s="813">
        <v>221</v>
      </c>
      <c r="G175" s="813"/>
      <c r="H175" s="813"/>
      <c r="I175" s="813"/>
      <c r="J175" s="801">
        <v>384</v>
      </c>
      <c r="K175" s="801">
        <f>93+3</f>
        <v>96</v>
      </c>
      <c r="L175" s="801">
        <f>37+3</f>
        <v>40</v>
      </c>
      <c r="M175" s="352" t="s">
        <v>16</v>
      </c>
    </row>
    <row r="176" spans="1:13" x14ac:dyDescent="0.25">
      <c r="A176" s="352">
        <v>175</v>
      </c>
      <c r="B176" s="598" t="s">
        <v>348</v>
      </c>
      <c r="C176" s="801">
        <v>497</v>
      </c>
      <c r="D176" s="801">
        <v>840</v>
      </c>
      <c r="E176" s="801">
        <v>189</v>
      </c>
      <c r="F176" s="813">
        <v>2012</v>
      </c>
      <c r="G176" s="813"/>
      <c r="H176" s="813"/>
      <c r="I176" s="813"/>
      <c r="J176" s="801">
        <v>195</v>
      </c>
      <c r="K176" s="801">
        <v>225</v>
      </c>
      <c r="L176" s="801">
        <v>77</v>
      </c>
      <c r="M176" s="352" t="s">
        <v>16</v>
      </c>
    </row>
    <row r="177" spans="1:13" x14ac:dyDescent="0.25">
      <c r="A177" s="352">
        <v>176</v>
      </c>
      <c r="B177" s="598" t="s">
        <v>338</v>
      </c>
      <c r="C177" s="801">
        <f>284+192</f>
        <v>476</v>
      </c>
      <c r="D177" s="801">
        <f>1207+597</f>
        <v>1804</v>
      </c>
      <c r="E177" s="801">
        <f>70+192</f>
        <v>262</v>
      </c>
      <c r="F177" s="813">
        <f>452+153</f>
        <v>605</v>
      </c>
      <c r="G177" s="813"/>
      <c r="H177" s="813"/>
      <c r="I177" s="813"/>
      <c r="J177" s="801">
        <v>204</v>
      </c>
      <c r="K177" s="801">
        <f>58+192</f>
        <v>250</v>
      </c>
      <c r="L177" s="801">
        <v>23</v>
      </c>
      <c r="M177" s="352" t="s">
        <v>16</v>
      </c>
    </row>
    <row r="178" spans="1:13" x14ac:dyDescent="0.25">
      <c r="A178" s="352">
        <v>177</v>
      </c>
      <c r="B178" s="598" t="s">
        <v>346</v>
      </c>
      <c r="C178" s="801">
        <f>200+203</f>
        <v>403</v>
      </c>
      <c r="D178" s="801">
        <f>1623+601</f>
        <v>2224</v>
      </c>
      <c r="E178" s="801">
        <f>54+88</f>
        <v>142</v>
      </c>
      <c r="F178" s="813">
        <f>1114+162</f>
        <v>1276</v>
      </c>
      <c r="G178" s="813"/>
      <c r="H178" s="813"/>
      <c r="I178" s="813"/>
      <c r="J178" s="801">
        <f>153+56</f>
        <v>209</v>
      </c>
      <c r="K178" s="801">
        <f>34+147</f>
        <v>181</v>
      </c>
      <c r="L178" s="801">
        <v>13</v>
      </c>
      <c r="M178" s="352" t="s">
        <v>16</v>
      </c>
    </row>
    <row r="179" spans="1:13" x14ac:dyDescent="0.25">
      <c r="A179" s="352">
        <v>178</v>
      </c>
      <c r="B179" s="598" t="s">
        <v>350</v>
      </c>
      <c r="C179" s="801">
        <v>325</v>
      </c>
      <c r="D179" s="801">
        <v>1396</v>
      </c>
      <c r="E179" s="801">
        <v>56</v>
      </c>
      <c r="F179" s="813">
        <v>759</v>
      </c>
      <c r="G179" s="813"/>
      <c r="H179" s="813"/>
      <c r="I179" s="813"/>
      <c r="J179" s="801">
        <v>269</v>
      </c>
      <c r="K179" s="801">
        <v>40</v>
      </c>
      <c r="L179" s="801">
        <v>16</v>
      </c>
      <c r="M179" s="352" t="s">
        <v>16</v>
      </c>
    </row>
    <row r="180" spans="1:13" x14ac:dyDescent="0.25">
      <c r="A180" s="352">
        <v>179</v>
      </c>
      <c r="B180" s="598" t="s">
        <v>342</v>
      </c>
      <c r="C180" s="801">
        <v>279</v>
      </c>
      <c r="D180" s="801">
        <v>150</v>
      </c>
      <c r="E180" s="801">
        <v>8</v>
      </c>
      <c r="F180" s="813">
        <v>725</v>
      </c>
      <c r="G180" s="813"/>
      <c r="H180" s="813"/>
      <c r="I180" s="813"/>
      <c r="J180" s="801">
        <v>204</v>
      </c>
      <c r="K180" s="801">
        <v>57</v>
      </c>
      <c r="L180" s="801">
        <v>19</v>
      </c>
      <c r="M180" s="352" t="s">
        <v>16</v>
      </c>
    </row>
    <row r="181" spans="1:13" x14ac:dyDescent="0.25">
      <c r="A181" s="352">
        <v>180</v>
      </c>
      <c r="B181" s="598" t="s">
        <v>352</v>
      </c>
      <c r="C181" s="801">
        <v>258</v>
      </c>
      <c r="D181" s="801">
        <v>225</v>
      </c>
      <c r="E181" s="801">
        <v>31</v>
      </c>
      <c r="F181" s="813">
        <v>3956</v>
      </c>
      <c r="G181" s="813"/>
      <c r="H181" s="813"/>
      <c r="I181" s="813"/>
      <c r="J181" s="801">
        <v>37</v>
      </c>
      <c r="K181" s="801">
        <v>135</v>
      </c>
      <c r="L181" s="801">
        <v>86</v>
      </c>
      <c r="M181" s="352" t="s">
        <v>16</v>
      </c>
    </row>
    <row r="182" spans="1:13" x14ac:dyDescent="0.25">
      <c r="A182" s="352">
        <v>181</v>
      </c>
      <c r="B182" s="598" t="s">
        <v>347</v>
      </c>
      <c r="C182" s="801">
        <v>220</v>
      </c>
      <c r="D182" s="801">
        <v>545</v>
      </c>
      <c r="E182" s="801">
        <v>64</v>
      </c>
      <c r="F182" s="813">
        <v>467</v>
      </c>
      <c r="G182" s="813"/>
      <c r="H182" s="813"/>
      <c r="I182" s="813"/>
      <c r="J182" s="801">
        <v>54</v>
      </c>
      <c r="K182" s="801">
        <v>117</v>
      </c>
      <c r="L182" s="801">
        <v>49</v>
      </c>
      <c r="M182" s="352" t="s">
        <v>16</v>
      </c>
    </row>
    <row r="183" spans="1:13" x14ac:dyDescent="0.25">
      <c r="A183" s="352">
        <v>182</v>
      </c>
      <c r="B183" s="598" t="s">
        <v>349</v>
      </c>
      <c r="C183" s="801">
        <v>214</v>
      </c>
      <c r="D183" s="801">
        <v>1143</v>
      </c>
      <c r="E183" s="801">
        <v>109</v>
      </c>
      <c r="F183" s="813">
        <v>2215</v>
      </c>
      <c r="G183" s="813"/>
      <c r="H183" s="813"/>
      <c r="I183" s="813"/>
      <c r="J183" s="801">
        <v>83</v>
      </c>
      <c r="K183" s="801">
        <v>96</v>
      </c>
      <c r="L183" s="801">
        <v>36</v>
      </c>
      <c r="M183" s="352" t="s">
        <v>16</v>
      </c>
    </row>
    <row r="184" spans="1:13" x14ac:dyDescent="0.25">
      <c r="A184" s="352">
        <v>183</v>
      </c>
      <c r="B184" s="598" t="s">
        <v>356</v>
      </c>
      <c r="C184" s="801">
        <v>143</v>
      </c>
      <c r="D184" s="801">
        <v>775</v>
      </c>
      <c r="E184" s="801">
        <v>9</v>
      </c>
      <c r="F184" s="813">
        <v>196</v>
      </c>
      <c r="G184" s="813"/>
      <c r="H184" s="813"/>
      <c r="I184" s="813"/>
      <c r="J184" s="801">
        <v>127</v>
      </c>
      <c r="K184" s="801">
        <v>12</v>
      </c>
      <c r="L184" s="801">
        <v>4</v>
      </c>
      <c r="M184" s="352" t="s">
        <v>16</v>
      </c>
    </row>
    <row r="185" spans="1:13" x14ac:dyDescent="0.25">
      <c r="A185" s="352">
        <v>184</v>
      </c>
      <c r="B185" s="598" t="s">
        <v>344</v>
      </c>
      <c r="C185" s="801">
        <v>121</v>
      </c>
      <c r="D185" s="801">
        <v>456</v>
      </c>
      <c r="E185" s="801">
        <v>20</v>
      </c>
      <c r="F185" s="813">
        <v>492</v>
      </c>
      <c r="G185" s="813"/>
      <c r="H185" s="813"/>
      <c r="I185" s="813"/>
      <c r="J185" s="801">
        <v>64</v>
      </c>
      <c r="K185" s="801">
        <v>43</v>
      </c>
      <c r="L185" s="801">
        <v>15</v>
      </c>
      <c r="M185" s="352" t="s">
        <v>16</v>
      </c>
    </row>
    <row r="186" spans="1:13" x14ac:dyDescent="0.25">
      <c r="A186" s="352">
        <v>185</v>
      </c>
      <c r="B186" s="598" t="s">
        <v>358</v>
      </c>
      <c r="C186" s="801">
        <v>96</v>
      </c>
      <c r="D186" s="801">
        <v>1234</v>
      </c>
      <c r="E186" s="801">
        <v>16</v>
      </c>
      <c r="F186" s="813">
        <v>438</v>
      </c>
      <c r="G186" s="813"/>
      <c r="H186" s="813"/>
      <c r="I186" s="813"/>
      <c r="J186" s="801">
        <v>79</v>
      </c>
      <c r="K186" s="801">
        <v>13</v>
      </c>
      <c r="L186" s="842">
        <v>4</v>
      </c>
      <c r="M186" s="352" t="s">
        <v>16</v>
      </c>
    </row>
    <row r="187" spans="1:13" x14ac:dyDescent="0.25">
      <c r="A187" s="352">
        <v>186</v>
      </c>
      <c r="B187" s="598" t="s">
        <v>340</v>
      </c>
      <c r="C187" s="801">
        <v>63</v>
      </c>
      <c r="D187" s="801">
        <v>553</v>
      </c>
      <c r="E187" s="801">
        <v>10</v>
      </c>
      <c r="F187" s="813">
        <v>99</v>
      </c>
      <c r="G187" s="813"/>
      <c r="H187" s="813"/>
      <c r="I187" s="813"/>
      <c r="J187" s="801">
        <v>37</v>
      </c>
      <c r="K187" s="801">
        <v>18</v>
      </c>
      <c r="L187" s="801">
        <v>8</v>
      </c>
      <c r="M187" s="352" t="s">
        <v>16</v>
      </c>
    </row>
    <row r="188" spans="1:13" x14ac:dyDescent="0.25">
      <c r="A188" s="352">
        <v>187</v>
      </c>
      <c r="B188" s="598" t="s">
        <v>351</v>
      </c>
      <c r="C188" s="801">
        <v>56</v>
      </c>
      <c r="D188" s="801">
        <v>11</v>
      </c>
      <c r="E188" s="801">
        <v>0</v>
      </c>
      <c r="F188" s="813">
        <v>85</v>
      </c>
      <c r="G188" s="813"/>
      <c r="H188" s="813"/>
      <c r="I188" s="813"/>
      <c r="J188" s="801">
        <v>35</v>
      </c>
      <c r="K188" s="801">
        <v>15</v>
      </c>
      <c r="L188" s="801">
        <v>6</v>
      </c>
      <c r="M188" s="352" t="s">
        <v>16</v>
      </c>
    </row>
    <row r="189" spans="1:13" x14ac:dyDescent="0.25">
      <c r="A189" s="352">
        <v>188</v>
      </c>
      <c r="B189" s="598" t="s">
        <v>339</v>
      </c>
      <c r="C189" s="801">
        <v>52</v>
      </c>
      <c r="D189" s="801">
        <v>409</v>
      </c>
      <c r="E189" s="801">
        <v>6</v>
      </c>
      <c r="F189" s="813">
        <v>70</v>
      </c>
      <c r="G189" s="813"/>
      <c r="H189" s="813"/>
      <c r="I189" s="813"/>
      <c r="J189" s="801">
        <v>19</v>
      </c>
      <c r="K189" s="801">
        <v>14</v>
      </c>
      <c r="L189" s="801">
        <v>19</v>
      </c>
      <c r="M189" s="352" t="s">
        <v>16</v>
      </c>
    </row>
    <row r="190" spans="1:13" x14ac:dyDescent="0.25">
      <c r="A190" s="352">
        <v>189</v>
      </c>
      <c r="B190" s="598" t="s">
        <v>343</v>
      </c>
      <c r="C190" s="801">
        <v>34</v>
      </c>
      <c r="D190" s="801">
        <v>1325</v>
      </c>
      <c r="E190" s="801">
        <v>8</v>
      </c>
      <c r="F190" s="813"/>
      <c r="G190" s="813"/>
      <c r="H190" s="813"/>
      <c r="I190" s="813"/>
      <c r="J190" s="801">
        <v>27</v>
      </c>
      <c r="K190" s="801">
        <v>6</v>
      </c>
      <c r="L190" s="801">
        <v>1</v>
      </c>
      <c r="M190" s="352" t="s">
        <v>16</v>
      </c>
    </row>
    <row r="191" spans="1:13" x14ac:dyDescent="0.25">
      <c r="A191" s="352">
        <v>190</v>
      </c>
      <c r="B191" s="599" t="s">
        <v>355</v>
      </c>
      <c r="C191" s="802">
        <v>13</v>
      </c>
      <c r="D191" s="802">
        <v>148</v>
      </c>
      <c r="E191" s="802">
        <v>1</v>
      </c>
      <c r="F191" s="814">
        <v>210</v>
      </c>
      <c r="G191" s="814"/>
      <c r="H191" s="814"/>
      <c r="I191" s="814"/>
      <c r="J191" s="802">
        <v>3</v>
      </c>
      <c r="K191" s="802">
        <v>8</v>
      </c>
      <c r="L191" s="802">
        <v>3</v>
      </c>
      <c r="M191" s="352" t="s">
        <v>16</v>
      </c>
    </row>
    <row r="192" spans="1:13" x14ac:dyDescent="0.25">
      <c r="A192" s="352">
        <v>191</v>
      </c>
      <c r="B192" s="600" t="s">
        <v>359</v>
      </c>
      <c r="C192" s="803">
        <v>1371</v>
      </c>
      <c r="D192" s="803">
        <v>481</v>
      </c>
      <c r="E192" s="803">
        <v>172</v>
      </c>
      <c r="F192" s="818">
        <v>9003</v>
      </c>
      <c r="G192" s="818"/>
      <c r="H192" s="818"/>
      <c r="I192" s="818"/>
      <c r="J192" s="803">
        <v>720</v>
      </c>
      <c r="K192" s="803">
        <v>358</v>
      </c>
      <c r="L192" s="803">
        <v>293</v>
      </c>
      <c r="M192" s="352" t="s">
        <v>364</v>
      </c>
    </row>
    <row r="193" spans="1:13" x14ac:dyDescent="0.25">
      <c r="A193" s="352">
        <v>192</v>
      </c>
      <c r="B193" s="600" t="s">
        <v>362</v>
      </c>
      <c r="C193" s="803">
        <v>3590</v>
      </c>
      <c r="D193" s="803">
        <v>400</v>
      </c>
      <c r="E193" s="803">
        <v>859</v>
      </c>
      <c r="F193" s="818">
        <v>17951</v>
      </c>
      <c r="G193" s="818"/>
      <c r="H193" s="818"/>
      <c r="I193" s="818"/>
      <c r="J193" s="803">
        <v>1400</v>
      </c>
      <c r="K193" s="803">
        <v>2150</v>
      </c>
      <c r="L193" s="803">
        <v>40</v>
      </c>
      <c r="M193" s="352" t="s">
        <v>364</v>
      </c>
    </row>
    <row r="194" spans="1:13" x14ac:dyDescent="0.25">
      <c r="A194" s="352">
        <v>193</v>
      </c>
      <c r="B194" s="600" t="s">
        <v>361</v>
      </c>
      <c r="C194" s="803">
        <v>101</v>
      </c>
      <c r="D194" s="803">
        <v>156</v>
      </c>
      <c r="E194" s="803">
        <v>6</v>
      </c>
      <c r="F194" s="818">
        <v>449</v>
      </c>
      <c r="G194" s="818"/>
      <c r="H194" s="818"/>
      <c r="I194" s="818"/>
      <c r="J194" s="803">
        <v>48</v>
      </c>
      <c r="K194" s="803">
        <v>40</v>
      </c>
      <c r="L194" s="803">
        <v>13</v>
      </c>
      <c r="M194" s="352" t="s">
        <v>364</v>
      </c>
    </row>
    <row r="195" spans="1:13" x14ac:dyDescent="0.25">
      <c r="A195" s="352">
        <v>194</v>
      </c>
      <c r="B195" s="600" t="s">
        <v>360</v>
      </c>
      <c r="C195" s="803">
        <v>25</v>
      </c>
      <c r="D195" s="803">
        <v>87</v>
      </c>
      <c r="E195" s="803">
        <v>1</v>
      </c>
      <c r="F195" s="818">
        <v>461</v>
      </c>
      <c r="G195" s="818"/>
      <c r="H195" s="818"/>
      <c r="I195" s="818"/>
      <c r="J195" s="803">
        <v>11</v>
      </c>
      <c r="K195" s="803">
        <v>11</v>
      </c>
      <c r="L195" s="803">
        <v>4</v>
      </c>
      <c r="M195" s="352" t="s">
        <v>364</v>
      </c>
    </row>
    <row r="196" spans="1:13" x14ac:dyDescent="0.25">
      <c r="A196" s="352">
        <v>195</v>
      </c>
      <c r="B196" s="600" t="s">
        <v>363</v>
      </c>
      <c r="C196" s="803"/>
      <c r="D196" s="803"/>
      <c r="E196" s="803"/>
      <c r="F196" s="818"/>
      <c r="G196" s="818"/>
      <c r="H196" s="818"/>
      <c r="I196" s="818"/>
      <c r="J196" s="803"/>
      <c r="K196" s="803"/>
      <c r="L196" s="803"/>
      <c r="M196" s="352" t="s">
        <v>364</v>
      </c>
    </row>
    <row r="197" spans="1:13" x14ac:dyDescent="0.25">
      <c r="A197" s="352">
        <v>196</v>
      </c>
      <c r="B197" s="595" t="s">
        <v>365</v>
      </c>
      <c r="C197" s="796">
        <v>14</v>
      </c>
      <c r="D197" s="796">
        <v>786</v>
      </c>
      <c r="E197" s="796">
        <v>8</v>
      </c>
      <c r="F197" s="796">
        <v>181</v>
      </c>
      <c r="G197" s="797"/>
      <c r="H197" s="797"/>
      <c r="I197" s="797"/>
      <c r="J197" s="796"/>
      <c r="K197" s="796">
        <v>11</v>
      </c>
      <c r="L197" s="796">
        <v>3</v>
      </c>
      <c r="M197" s="352" t="s">
        <v>18</v>
      </c>
    </row>
    <row r="198" spans="1:13" x14ac:dyDescent="0.25">
      <c r="A198" s="352">
        <v>197</v>
      </c>
      <c r="B198" s="595" t="s">
        <v>383</v>
      </c>
      <c r="C198" s="796">
        <f>662+6954+ 2425</f>
        <v>10041</v>
      </c>
      <c r="D198" s="796">
        <f>781+823+ 1373</f>
        <v>2977</v>
      </c>
      <c r="E198" s="796">
        <f>261+4908+ 2747</f>
        <v>7916</v>
      </c>
      <c r="F198" s="796">
        <f>653+5563+ 1940</f>
        <v>8156</v>
      </c>
      <c r="G198" s="797"/>
      <c r="H198" s="797"/>
      <c r="I198" s="797"/>
      <c r="J198" s="796">
        <f>235+268+418</f>
        <v>921</v>
      </c>
      <c r="K198" s="796">
        <f>334+5962+ 2001</f>
        <v>8297</v>
      </c>
      <c r="L198" s="796">
        <f>93+724+ 6</f>
        <v>823</v>
      </c>
      <c r="M198" s="352" t="s">
        <v>18</v>
      </c>
    </row>
    <row r="199" spans="1:13" x14ac:dyDescent="0.25">
      <c r="A199" s="352">
        <v>198</v>
      </c>
      <c r="B199" s="595" t="s">
        <v>368</v>
      </c>
      <c r="C199" s="796">
        <v>5481</v>
      </c>
      <c r="D199" s="796">
        <v>759</v>
      </c>
      <c r="E199" s="796">
        <v>1847</v>
      </c>
      <c r="F199" s="796">
        <v>15532</v>
      </c>
      <c r="G199" s="797"/>
      <c r="H199" s="797"/>
      <c r="I199" s="797"/>
      <c r="J199" s="796">
        <v>2265</v>
      </c>
      <c r="K199" s="796">
        <v>2435</v>
      </c>
      <c r="L199" s="796">
        <v>781</v>
      </c>
      <c r="M199" s="352" t="s">
        <v>18</v>
      </c>
    </row>
    <row r="200" spans="1:13" x14ac:dyDescent="0.25">
      <c r="A200" s="352">
        <v>199</v>
      </c>
      <c r="B200" s="595" t="s">
        <v>375</v>
      </c>
      <c r="C200" s="796">
        <f>4324+457</f>
        <v>4781</v>
      </c>
      <c r="D200" s="796">
        <f>895+865</f>
        <v>1760</v>
      </c>
      <c r="E200" s="796">
        <f>1471+ 254</f>
        <v>1725</v>
      </c>
      <c r="F200" s="796">
        <f>8917+ 365</f>
        <v>9282</v>
      </c>
      <c r="G200" s="797"/>
      <c r="H200" s="797"/>
      <c r="I200" s="797"/>
      <c r="J200" s="796">
        <f>2091+2</f>
        <v>2093</v>
      </c>
      <c r="K200" s="796">
        <f>1644+294</f>
        <v>1938</v>
      </c>
      <c r="L200" s="797">
        <f>589+ 161</f>
        <v>750</v>
      </c>
      <c r="M200" s="352" t="s">
        <v>18</v>
      </c>
    </row>
    <row r="201" spans="1:13" x14ac:dyDescent="0.25">
      <c r="A201" s="352">
        <v>200</v>
      </c>
      <c r="B201" s="595" t="s">
        <v>373</v>
      </c>
      <c r="C201" s="796">
        <v>4728</v>
      </c>
      <c r="D201" s="796">
        <v>737</v>
      </c>
      <c r="E201" s="796">
        <v>1224</v>
      </c>
      <c r="F201" s="796">
        <v>15954</v>
      </c>
      <c r="G201" s="797"/>
      <c r="H201" s="797"/>
      <c r="I201" s="797"/>
      <c r="J201" s="796">
        <v>2185</v>
      </c>
      <c r="K201" s="796">
        <v>1661</v>
      </c>
      <c r="L201" s="796">
        <v>882</v>
      </c>
      <c r="M201" s="352" t="s">
        <v>18</v>
      </c>
    </row>
    <row r="202" spans="1:13" x14ac:dyDescent="0.25">
      <c r="A202" s="352">
        <v>201</v>
      </c>
      <c r="B202" s="595" t="s">
        <v>371</v>
      </c>
      <c r="C202" s="796">
        <f>2091+ 2488</f>
        <v>4579</v>
      </c>
      <c r="D202" s="796">
        <f>629+972</f>
        <v>1601</v>
      </c>
      <c r="E202" s="796">
        <f>310+2418</f>
        <v>2728</v>
      </c>
      <c r="F202" s="796">
        <f>2346+ 2003</f>
        <v>4349</v>
      </c>
      <c r="G202" s="797"/>
      <c r="H202" s="797"/>
      <c r="I202" s="797"/>
      <c r="J202" s="796">
        <f>710+16</f>
        <v>726</v>
      </c>
      <c r="K202" s="796">
        <f>494+ 2488</f>
        <v>2982</v>
      </c>
      <c r="L202" s="796">
        <v>887</v>
      </c>
      <c r="M202" s="352" t="s">
        <v>18</v>
      </c>
    </row>
    <row r="203" spans="1:13" x14ac:dyDescent="0.25">
      <c r="A203" s="352">
        <v>202</v>
      </c>
      <c r="B203" s="595" t="s">
        <v>377</v>
      </c>
      <c r="C203" s="796">
        <v>4028</v>
      </c>
      <c r="D203" s="796">
        <v>749</v>
      </c>
      <c r="E203" s="796">
        <v>1774</v>
      </c>
      <c r="F203" s="796">
        <v>10819</v>
      </c>
      <c r="G203" s="797"/>
      <c r="H203" s="797"/>
      <c r="I203" s="797"/>
      <c r="J203" s="796">
        <v>677</v>
      </c>
      <c r="K203" s="796">
        <v>2369</v>
      </c>
      <c r="L203" s="796">
        <v>982</v>
      </c>
      <c r="M203" s="352" t="s">
        <v>18</v>
      </c>
    </row>
    <row r="204" spans="1:13" x14ac:dyDescent="0.25">
      <c r="A204" s="352">
        <v>203</v>
      </c>
      <c r="B204" s="595" t="s">
        <v>374</v>
      </c>
      <c r="C204" s="796">
        <v>2619</v>
      </c>
      <c r="D204" s="796">
        <v>780</v>
      </c>
      <c r="E204" s="796">
        <v>787</v>
      </c>
      <c r="F204" s="796">
        <v>2671</v>
      </c>
      <c r="G204" s="797"/>
      <c r="H204" s="797"/>
      <c r="I204" s="797"/>
      <c r="J204" s="796">
        <v>807</v>
      </c>
      <c r="K204" s="796">
        <v>1009</v>
      </c>
      <c r="L204" s="796">
        <v>803</v>
      </c>
      <c r="M204" s="352" t="s">
        <v>18</v>
      </c>
    </row>
    <row r="205" spans="1:13" x14ac:dyDescent="0.25">
      <c r="A205" s="352">
        <v>204</v>
      </c>
      <c r="B205" s="595" t="s">
        <v>378</v>
      </c>
      <c r="C205" s="796">
        <f>2468+128</f>
        <v>2596</v>
      </c>
      <c r="D205" s="796">
        <f>869+993</f>
        <v>1862</v>
      </c>
      <c r="E205" s="796">
        <f>1193+ 127</f>
        <v>1320</v>
      </c>
      <c r="F205" s="796">
        <f>2317+102</f>
        <v>2419</v>
      </c>
      <c r="G205" s="797"/>
      <c r="H205" s="797"/>
      <c r="I205" s="797"/>
      <c r="J205" s="796">
        <v>645</v>
      </c>
      <c r="K205" s="796">
        <f>1373+128</f>
        <v>1501</v>
      </c>
      <c r="L205" s="796">
        <v>450</v>
      </c>
      <c r="M205" s="352" t="s">
        <v>18</v>
      </c>
    </row>
    <row r="206" spans="1:13" x14ac:dyDescent="0.25">
      <c r="A206" s="352">
        <v>205</v>
      </c>
      <c r="B206" s="595" t="s">
        <v>381</v>
      </c>
      <c r="C206" s="796">
        <f>527+1556+271</f>
        <v>2354</v>
      </c>
      <c r="D206" s="796">
        <f>765+ 938+306</f>
        <v>2009</v>
      </c>
      <c r="E206" s="796">
        <f>154+ 1460+83</f>
        <v>1697</v>
      </c>
      <c r="F206" s="796">
        <f>1581+1245+217</f>
        <v>3043</v>
      </c>
      <c r="G206" s="797"/>
      <c r="H206" s="797"/>
      <c r="I206" s="797"/>
      <c r="J206" s="796">
        <v>173</v>
      </c>
      <c r="K206" s="796">
        <f>202+ 1556+271</f>
        <v>2029</v>
      </c>
      <c r="L206" s="796">
        <v>152</v>
      </c>
      <c r="M206" s="352" t="s">
        <v>18</v>
      </c>
    </row>
    <row r="207" spans="1:13" x14ac:dyDescent="0.25">
      <c r="A207" s="352">
        <v>206</v>
      </c>
      <c r="B207" s="595" t="s">
        <v>370</v>
      </c>
      <c r="C207" s="796">
        <f>1957+200</f>
        <v>2157</v>
      </c>
      <c r="D207" s="796">
        <f>736+ 1203</f>
        <v>1939</v>
      </c>
      <c r="E207" s="796">
        <f>645+241</f>
        <v>886</v>
      </c>
      <c r="F207" s="796">
        <f>5395+160</f>
        <v>5555</v>
      </c>
      <c r="G207" s="797"/>
      <c r="H207" s="797"/>
      <c r="I207" s="797"/>
      <c r="J207" s="796">
        <v>620</v>
      </c>
      <c r="K207" s="796">
        <f>876+200</f>
        <v>1076</v>
      </c>
      <c r="L207" s="796">
        <v>460</v>
      </c>
      <c r="M207" s="352" t="s">
        <v>18</v>
      </c>
    </row>
    <row r="208" spans="1:13" x14ac:dyDescent="0.25">
      <c r="A208" s="352">
        <v>207</v>
      </c>
      <c r="B208" s="595" t="s">
        <v>372</v>
      </c>
      <c r="C208" s="796">
        <v>2084</v>
      </c>
      <c r="D208" s="796">
        <v>729</v>
      </c>
      <c r="E208" s="796">
        <v>742</v>
      </c>
      <c r="F208" s="796">
        <v>9486</v>
      </c>
      <c r="G208" s="797"/>
      <c r="H208" s="797"/>
      <c r="I208" s="797"/>
      <c r="J208" s="796">
        <v>962</v>
      </c>
      <c r="K208" s="796">
        <v>1017</v>
      </c>
      <c r="L208" s="796">
        <v>105</v>
      </c>
      <c r="M208" s="352" t="s">
        <v>18</v>
      </c>
    </row>
    <row r="209" spans="1:13" x14ac:dyDescent="0.25">
      <c r="A209" s="352">
        <v>208</v>
      </c>
      <c r="B209" s="595" t="s">
        <v>376</v>
      </c>
      <c r="C209" s="796">
        <f>1594+ 15</f>
        <v>1609</v>
      </c>
      <c r="D209" s="796">
        <f>729+1203</f>
        <v>1932</v>
      </c>
      <c r="E209" s="796">
        <f>615+ 18</f>
        <v>633</v>
      </c>
      <c r="F209" s="796">
        <f>2372+12</f>
        <v>2384</v>
      </c>
      <c r="G209" s="797"/>
      <c r="H209" s="797"/>
      <c r="I209" s="797"/>
      <c r="J209" s="796">
        <v>454</v>
      </c>
      <c r="K209" s="796">
        <f>843+15</f>
        <v>858</v>
      </c>
      <c r="L209" s="796">
        <v>297</v>
      </c>
      <c r="M209" s="352" t="s">
        <v>18</v>
      </c>
    </row>
    <row r="210" spans="1:13" x14ac:dyDescent="0.25">
      <c r="A210" s="352">
        <v>209</v>
      </c>
      <c r="B210" s="595" t="s">
        <v>380</v>
      </c>
      <c r="C210" s="796">
        <f>765+ 842</f>
        <v>1607</v>
      </c>
      <c r="D210" s="796">
        <f>792+862</f>
        <v>1654</v>
      </c>
      <c r="E210" s="796">
        <f>282+ 725</f>
        <v>1007</v>
      </c>
      <c r="F210" s="796">
        <f>1530+ 674</f>
        <v>2204</v>
      </c>
      <c r="G210" s="797"/>
      <c r="H210" s="797"/>
      <c r="I210" s="797"/>
      <c r="J210" s="796">
        <v>326</v>
      </c>
      <c r="K210" s="796">
        <f>356+ 842</f>
        <v>1198</v>
      </c>
      <c r="L210" s="796">
        <v>83</v>
      </c>
      <c r="M210" s="352" t="s">
        <v>18</v>
      </c>
    </row>
    <row r="211" spans="1:13" x14ac:dyDescent="0.25">
      <c r="A211" s="352">
        <v>210</v>
      </c>
      <c r="B211" s="595" t="s">
        <v>366</v>
      </c>
      <c r="C211" s="796">
        <f>1406+41</f>
        <v>1447</v>
      </c>
      <c r="D211" s="796">
        <f>715+985</f>
        <v>1700</v>
      </c>
      <c r="E211" s="796">
        <f>214+7</f>
        <v>221</v>
      </c>
      <c r="F211" s="796">
        <v>1444</v>
      </c>
      <c r="G211" s="797"/>
      <c r="H211" s="797"/>
      <c r="I211" s="797"/>
      <c r="J211" s="796">
        <f>599+28</f>
        <v>627</v>
      </c>
      <c r="K211" s="796">
        <f>299+7</f>
        <v>306</v>
      </c>
      <c r="L211" s="796">
        <f>507+ 5</f>
        <v>512</v>
      </c>
      <c r="M211" s="352" t="s">
        <v>18</v>
      </c>
    </row>
    <row r="212" spans="1:13" x14ac:dyDescent="0.25">
      <c r="A212" s="352">
        <v>211</v>
      </c>
      <c r="B212" s="595" t="s">
        <v>369</v>
      </c>
      <c r="C212" s="796">
        <v>830</v>
      </c>
      <c r="D212" s="796">
        <v>781</v>
      </c>
      <c r="E212" s="796">
        <v>320</v>
      </c>
      <c r="F212" s="796">
        <v>2498</v>
      </c>
      <c r="G212" s="797"/>
      <c r="H212" s="797"/>
      <c r="I212" s="797"/>
      <c r="J212" s="796">
        <v>239</v>
      </c>
      <c r="K212" s="796">
        <v>410</v>
      </c>
      <c r="L212" s="796">
        <v>181</v>
      </c>
      <c r="M212" s="352" t="s">
        <v>18</v>
      </c>
    </row>
    <row r="213" spans="1:13" x14ac:dyDescent="0.25">
      <c r="A213" s="352">
        <v>212</v>
      </c>
      <c r="B213" s="595" t="s">
        <v>386</v>
      </c>
      <c r="C213" s="796">
        <v>51</v>
      </c>
      <c r="D213" s="796">
        <v>850</v>
      </c>
      <c r="E213" s="796">
        <v>26</v>
      </c>
      <c r="F213" s="796">
        <v>67</v>
      </c>
      <c r="G213" s="797"/>
      <c r="H213" s="797"/>
      <c r="I213" s="797"/>
      <c r="J213" s="796">
        <v>2</v>
      </c>
      <c r="K213" s="796">
        <v>30</v>
      </c>
      <c r="L213" s="796">
        <v>19</v>
      </c>
      <c r="M213" s="352" t="s">
        <v>18</v>
      </c>
    </row>
    <row r="214" spans="1:13" x14ac:dyDescent="0.25">
      <c r="A214" s="352">
        <v>213</v>
      </c>
      <c r="B214" s="595" t="s">
        <v>382</v>
      </c>
      <c r="C214" s="796">
        <v>41</v>
      </c>
      <c r="D214" s="796">
        <v>769</v>
      </c>
      <c r="E214" s="796">
        <v>8</v>
      </c>
      <c r="F214" s="796">
        <v>210</v>
      </c>
      <c r="G214" s="797"/>
      <c r="H214" s="797"/>
      <c r="I214" s="797"/>
      <c r="J214" s="796"/>
      <c r="K214" s="796">
        <v>10</v>
      </c>
      <c r="L214" s="796">
        <v>31</v>
      </c>
      <c r="M214" s="352" t="s">
        <v>18</v>
      </c>
    </row>
    <row r="215" spans="1:13" x14ac:dyDescent="0.25">
      <c r="A215" s="352">
        <v>214</v>
      </c>
      <c r="B215" s="595" t="s">
        <v>379</v>
      </c>
      <c r="C215" s="796">
        <v>10</v>
      </c>
      <c r="D215" s="796"/>
      <c r="E215" s="796"/>
      <c r="F215" s="796">
        <v>22</v>
      </c>
      <c r="G215" s="797"/>
      <c r="H215" s="797"/>
      <c r="I215" s="797"/>
      <c r="J215" s="796">
        <v>8</v>
      </c>
      <c r="K215" s="796"/>
      <c r="L215" s="796">
        <v>2</v>
      </c>
      <c r="M215" s="352" t="s">
        <v>18</v>
      </c>
    </row>
    <row r="216" spans="1:13" x14ac:dyDescent="0.25">
      <c r="A216" s="352">
        <v>215</v>
      </c>
      <c r="B216" s="595" t="s">
        <v>367</v>
      </c>
      <c r="C216" s="796"/>
      <c r="D216" s="796"/>
      <c r="E216" s="796"/>
      <c r="F216" s="796"/>
      <c r="G216" s="797"/>
      <c r="H216" s="797"/>
      <c r="I216" s="797"/>
      <c r="J216" s="796"/>
      <c r="K216" s="796"/>
      <c r="L216" s="796"/>
      <c r="M216" s="352" t="s">
        <v>18</v>
      </c>
    </row>
    <row r="217" spans="1:13" x14ac:dyDescent="0.25">
      <c r="A217" s="352">
        <v>216</v>
      </c>
      <c r="B217" s="595" t="s">
        <v>384</v>
      </c>
      <c r="C217" s="796"/>
      <c r="D217" s="796"/>
      <c r="E217" s="796"/>
      <c r="F217" s="796"/>
      <c r="G217" s="797"/>
      <c r="H217" s="797"/>
      <c r="I217" s="797"/>
      <c r="J217" s="796"/>
      <c r="K217" s="796"/>
      <c r="L217" s="796"/>
      <c r="M217" s="352" t="s">
        <v>18</v>
      </c>
    </row>
    <row r="218" spans="1:13" x14ac:dyDescent="0.25">
      <c r="A218" s="352">
        <v>217</v>
      </c>
      <c r="B218" s="595" t="s">
        <v>385</v>
      </c>
      <c r="C218" s="796"/>
      <c r="D218" s="796"/>
      <c r="E218" s="796"/>
      <c r="F218" s="796"/>
      <c r="G218" s="797"/>
      <c r="H218" s="797"/>
      <c r="I218" s="797"/>
      <c r="J218" s="796"/>
      <c r="K218" s="796"/>
      <c r="L218" s="796"/>
      <c r="M218" s="352" t="s">
        <v>18</v>
      </c>
    </row>
    <row r="219" spans="1:13" x14ac:dyDescent="0.25">
      <c r="A219" s="352">
        <v>218</v>
      </c>
      <c r="B219" s="368" t="s">
        <v>387</v>
      </c>
      <c r="C219" s="810">
        <f>6257+14</f>
        <v>6271</v>
      </c>
      <c r="D219" s="810">
        <f>667+407</f>
        <v>1074</v>
      </c>
      <c r="E219" s="810">
        <f>2260+6</f>
        <v>2266</v>
      </c>
      <c r="F219" s="810">
        <f>13040+43</f>
        <v>13083</v>
      </c>
      <c r="G219" s="810"/>
      <c r="H219" s="810"/>
      <c r="I219" s="810"/>
      <c r="J219" s="810">
        <v>942</v>
      </c>
      <c r="K219" s="810">
        <f>3391+14</f>
        <v>3405</v>
      </c>
      <c r="L219" s="810">
        <v>1924</v>
      </c>
      <c r="M219" s="352" t="s">
        <v>19</v>
      </c>
    </row>
    <row r="220" spans="1:13" x14ac:dyDescent="0.25">
      <c r="A220" s="352">
        <v>219</v>
      </c>
      <c r="B220" s="368" t="s">
        <v>388</v>
      </c>
      <c r="C220" s="831">
        <v>4625</v>
      </c>
      <c r="D220" s="831">
        <v>625</v>
      </c>
      <c r="E220" s="831">
        <v>1606</v>
      </c>
      <c r="F220" s="831">
        <v>23843</v>
      </c>
      <c r="G220" s="810"/>
      <c r="H220" s="810"/>
      <c r="I220" s="810"/>
      <c r="J220" s="831">
        <v>1061</v>
      </c>
      <c r="K220" s="831">
        <v>2571</v>
      </c>
      <c r="L220" s="831">
        <v>993</v>
      </c>
      <c r="M220" s="352" t="s">
        <v>19</v>
      </c>
    </row>
    <row r="221" spans="1:13" x14ac:dyDescent="0.25">
      <c r="A221" s="352">
        <v>220</v>
      </c>
      <c r="B221" s="368" t="s">
        <v>394</v>
      </c>
      <c r="C221" s="831">
        <v>1279</v>
      </c>
      <c r="D221" s="831">
        <v>663</v>
      </c>
      <c r="E221" s="831">
        <v>573</v>
      </c>
      <c r="F221" s="831">
        <v>6048</v>
      </c>
      <c r="G221" s="810"/>
      <c r="H221" s="810"/>
      <c r="I221" s="810"/>
      <c r="J221" s="831">
        <v>99</v>
      </c>
      <c r="K221" s="831">
        <v>864</v>
      </c>
      <c r="L221" s="831">
        <v>316</v>
      </c>
      <c r="M221" s="352" t="s">
        <v>19</v>
      </c>
    </row>
    <row r="222" spans="1:13" x14ac:dyDescent="0.25">
      <c r="A222" s="352">
        <v>221</v>
      </c>
      <c r="B222" s="368" t="s">
        <v>393</v>
      </c>
      <c r="C222" s="831">
        <v>1066</v>
      </c>
      <c r="D222" s="831">
        <v>425</v>
      </c>
      <c r="E222" s="831">
        <v>139</v>
      </c>
      <c r="F222" s="831">
        <v>2919</v>
      </c>
      <c r="G222" s="810"/>
      <c r="H222" s="810"/>
      <c r="I222" s="810"/>
      <c r="J222" s="831">
        <v>608</v>
      </c>
      <c r="K222" s="831">
        <v>326</v>
      </c>
      <c r="L222" s="831">
        <v>132</v>
      </c>
      <c r="M222" s="352" t="s">
        <v>19</v>
      </c>
    </row>
    <row r="223" spans="1:13" x14ac:dyDescent="0.25">
      <c r="A223" s="352">
        <v>222</v>
      </c>
      <c r="B223" s="368" t="s">
        <v>389</v>
      </c>
      <c r="C223" s="831">
        <v>607</v>
      </c>
      <c r="D223" s="831">
        <v>626</v>
      </c>
      <c r="E223" s="831">
        <v>140</v>
      </c>
      <c r="F223" s="831">
        <v>5168</v>
      </c>
      <c r="G223" s="810"/>
      <c r="H223" s="810"/>
      <c r="I223" s="810"/>
      <c r="J223" s="831">
        <v>154</v>
      </c>
      <c r="K223" s="831">
        <v>224</v>
      </c>
      <c r="L223" s="831">
        <v>229</v>
      </c>
      <c r="M223" s="352" t="s">
        <v>19</v>
      </c>
    </row>
    <row r="224" spans="1:13" x14ac:dyDescent="0.25">
      <c r="A224" s="352">
        <v>223</v>
      </c>
      <c r="B224" s="368" t="s">
        <v>390</v>
      </c>
      <c r="C224" s="831">
        <v>326</v>
      </c>
      <c r="D224" s="831">
        <v>683</v>
      </c>
      <c r="E224" s="831">
        <v>105</v>
      </c>
      <c r="F224" s="831">
        <v>1630</v>
      </c>
      <c r="G224" s="810"/>
      <c r="H224" s="810"/>
      <c r="I224" s="810"/>
      <c r="J224" s="831">
        <v>144</v>
      </c>
      <c r="K224" s="831">
        <v>153</v>
      </c>
      <c r="L224" s="831">
        <v>29</v>
      </c>
      <c r="M224" s="352" t="s">
        <v>19</v>
      </c>
    </row>
    <row r="225" spans="1:13" x14ac:dyDescent="0.25">
      <c r="A225" s="352">
        <v>224</v>
      </c>
      <c r="B225" s="368" t="s">
        <v>391</v>
      </c>
      <c r="C225" s="831">
        <v>257</v>
      </c>
      <c r="D225" s="831">
        <v>680</v>
      </c>
      <c r="E225" s="831">
        <v>105</v>
      </c>
      <c r="F225" s="831">
        <v>5108</v>
      </c>
      <c r="G225" s="810"/>
      <c r="H225" s="810"/>
      <c r="I225" s="810"/>
      <c r="J225" s="831">
        <v>51</v>
      </c>
      <c r="K225" s="831">
        <v>155</v>
      </c>
      <c r="L225" s="831">
        <v>51</v>
      </c>
      <c r="M225" s="352" t="s">
        <v>19</v>
      </c>
    </row>
    <row r="226" spans="1:13" x14ac:dyDescent="0.25">
      <c r="A226" s="352">
        <v>225</v>
      </c>
      <c r="B226" s="368" t="s">
        <v>392</v>
      </c>
      <c r="C226" s="831">
        <v>53</v>
      </c>
      <c r="D226" s="831">
        <v>697</v>
      </c>
      <c r="E226" s="831">
        <v>27</v>
      </c>
      <c r="F226" s="831">
        <v>231</v>
      </c>
      <c r="G226" s="810"/>
      <c r="H226" s="810"/>
      <c r="I226" s="810"/>
      <c r="J226" s="831">
        <v>5</v>
      </c>
      <c r="K226" s="831">
        <v>39</v>
      </c>
      <c r="L226" s="831">
        <v>9</v>
      </c>
      <c r="M226" s="352" t="s">
        <v>19</v>
      </c>
    </row>
    <row r="227" spans="1:13" x14ac:dyDescent="0.25">
      <c r="A227" s="352">
        <v>226</v>
      </c>
      <c r="B227" s="368" t="s">
        <v>395</v>
      </c>
      <c r="C227" s="831"/>
      <c r="D227" s="831"/>
      <c r="E227" s="831"/>
      <c r="F227" s="831"/>
      <c r="G227" s="810"/>
      <c r="H227" s="810"/>
      <c r="I227" s="810"/>
      <c r="J227" s="831"/>
      <c r="K227" s="831"/>
      <c r="L227" s="831"/>
      <c r="M227" s="352" t="s">
        <v>19</v>
      </c>
    </row>
    <row r="228" spans="1:13" x14ac:dyDescent="0.25">
      <c r="A228" s="352">
        <v>227</v>
      </c>
      <c r="B228" s="843" t="s">
        <v>396</v>
      </c>
      <c r="C228" s="832">
        <v>517</v>
      </c>
      <c r="D228" s="832">
        <v>455</v>
      </c>
      <c r="E228" s="832">
        <v>102</v>
      </c>
      <c r="F228" s="832">
        <v>1043</v>
      </c>
      <c r="G228" s="832"/>
      <c r="H228" s="832"/>
      <c r="I228" s="832"/>
      <c r="J228" s="832">
        <v>207</v>
      </c>
      <c r="K228" s="832">
        <v>223</v>
      </c>
      <c r="L228" s="832">
        <v>87</v>
      </c>
      <c r="M228" s="352" t="s">
        <v>1343</v>
      </c>
    </row>
    <row r="229" spans="1:13" x14ac:dyDescent="0.25">
      <c r="A229" s="352">
        <v>228</v>
      </c>
      <c r="B229" s="843" t="s">
        <v>399</v>
      </c>
      <c r="C229" s="832">
        <v>3498</v>
      </c>
      <c r="D229" s="832">
        <v>418</v>
      </c>
      <c r="E229" s="832">
        <v>799</v>
      </c>
      <c r="F229" s="832">
        <v>3797</v>
      </c>
      <c r="G229" s="832"/>
      <c r="H229" s="832"/>
      <c r="I229" s="832"/>
      <c r="J229" s="832">
        <v>496</v>
      </c>
      <c r="K229" s="832">
        <v>1912</v>
      </c>
      <c r="L229" s="832">
        <v>1091</v>
      </c>
      <c r="M229" s="352" t="s">
        <v>1343</v>
      </c>
    </row>
    <row r="230" spans="1:13" x14ac:dyDescent="0.25">
      <c r="A230" s="352">
        <v>229</v>
      </c>
      <c r="B230" s="843" t="s">
        <v>398</v>
      </c>
      <c r="C230" s="832">
        <v>2234</v>
      </c>
      <c r="D230" s="832">
        <v>595</v>
      </c>
      <c r="E230" s="832">
        <v>297</v>
      </c>
      <c r="F230" s="832">
        <v>2296</v>
      </c>
      <c r="G230" s="832"/>
      <c r="H230" s="832"/>
      <c r="I230" s="832"/>
      <c r="J230" s="832">
        <v>1462</v>
      </c>
      <c r="K230" s="832">
        <v>500</v>
      </c>
      <c r="L230" s="832">
        <v>272</v>
      </c>
      <c r="M230" s="352" t="s">
        <v>1343</v>
      </c>
    </row>
    <row r="231" spans="1:13" x14ac:dyDescent="0.25">
      <c r="A231" s="352">
        <v>230</v>
      </c>
      <c r="B231" s="843" t="s">
        <v>397</v>
      </c>
      <c r="C231" s="832">
        <v>1011</v>
      </c>
      <c r="D231" s="832">
        <v>418</v>
      </c>
      <c r="E231" s="832">
        <v>98</v>
      </c>
      <c r="F231" s="832">
        <v>1486</v>
      </c>
      <c r="G231" s="832"/>
      <c r="H231" s="832"/>
      <c r="I231" s="832"/>
      <c r="J231" s="832">
        <v>514</v>
      </c>
      <c r="K231" s="832">
        <v>234</v>
      </c>
      <c r="L231" s="832">
        <v>264</v>
      </c>
      <c r="M231" s="352" t="s">
        <v>1343</v>
      </c>
    </row>
    <row r="232" spans="1:13" x14ac:dyDescent="0.25">
      <c r="A232" s="352">
        <v>231</v>
      </c>
      <c r="B232" s="843" t="s">
        <v>403</v>
      </c>
      <c r="C232" s="832">
        <v>249</v>
      </c>
      <c r="D232" s="832">
        <v>331</v>
      </c>
      <c r="E232" s="832">
        <v>46</v>
      </c>
      <c r="F232" s="832">
        <v>359</v>
      </c>
      <c r="G232" s="832"/>
      <c r="H232" s="832"/>
      <c r="I232" s="832"/>
      <c r="J232" s="832">
        <v>52</v>
      </c>
      <c r="K232" s="832">
        <v>139</v>
      </c>
      <c r="L232" s="832">
        <v>57</v>
      </c>
      <c r="M232" s="352" t="s">
        <v>1343</v>
      </c>
    </row>
    <row r="233" spans="1:13" x14ac:dyDescent="0.25">
      <c r="A233" s="352">
        <v>232</v>
      </c>
      <c r="B233" s="843" t="s">
        <v>402</v>
      </c>
      <c r="C233" s="832">
        <v>209</v>
      </c>
      <c r="D233" s="832">
        <v>210</v>
      </c>
      <c r="E233" s="832">
        <v>8</v>
      </c>
      <c r="F233" s="832">
        <v>426</v>
      </c>
      <c r="G233" s="832"/>
      <c r="H233" s="832"/>
      <c r="I233" s="832"/>
      <c r="J233" s="832">
        <v>134</v>
      </c>
      <c r="K233" s="832">
        <v>40</v>
      </c>
      <c r="L233" s="832">
        <v>35</v>
      </c>
      <c r="M233" s="352" t="s">
        <v>1343</v>
      </c>
    </row>
    <row r="234" spans="1:13" x14ac:dyDescent="0.25">
      <c r="A234" s="352">
        <v>233</v>
      </c>
      <c r="B234" s="843" t="s">
        <v>401</v>
      </c>
      <c r="C234" s="832">
        <v>166</v>
      </c>
      <c r="D234" s="832">
        <v>109</v>
      </c>
      <c r="E234" s="832">
        <v>1</v>
      </c>
      <c r="F234" s="832">
        <v>253</v>
      </c>
      <c r="G234" s="832"/>
      <c r="H234" s="832"/>
      <c r="I234" s="832"/>
      <c r="J234" s="832">
        <v>154</v>
      </c>
      <c r="K234" s="832">
        <v>9</v>
      </c>
      <c r="L234" s="832">
        <v>3</v>
      </c>
      <c r="M234" s="352" t="s">
        <v>1343</v>
      </c>
    </row>
    <row r="235" spans="1:13" x14ac:dyDescent="0.25">
      <c r="A235" s="352">
        <v>234</v>
      </c>
      <c r="B235" s="843" t="s">
        <v>400</v>
      </c>
      <c r="C235" s="832">
        <v>109</v>
      </c>
      <c r="D235" s="832">
        <v>300</v>
      </c>
      <c r="E235" s="832">
        <v>0</v>
      </c>
      <c r="F235" s="832">
        <v>142</v>
      </c>
      <c r="G235" s="832"/>
      <c r="H235" s="832"/>
      <c r="I235" s="832"/>
      <c r="J235" s="832">
        <v>38</v>
      </c>
      <c r="K235" s="832">
        <v>1</v>
      </c>
      <c r="L235" s="832">
        <v>70</v>
      </c>
      <c r="M235" s="352" t="s">
        <v>1343</v>
      </c>
    </row>
    <row r="236" spans="1:13" x14ac:dyDescent="0.25">
      <c r="A236" s="352">
        <v>235</v>
      </c>
      <c r="B236" s="843" t="s">
        <v>404</v>
      </c>
      <c r="C236" s="832"/>
      <c r="D236" s="832"/>
      <c r="E236" s="832"/>
      <c r="F236" s="832"/>
      <c r="G236" s="832"/>
      <c r="H236" s="832"/>
      <c r="I236" s="832"/>
      <c r="J236" s="832"/>
      <c r="K236" s="832"/>
      <c r="L236" s="832"/>
      <c r="M236" s="352" t="s">
        <v>1343</v>
      </c>
    </row>
    <row r="237" spans="1:13" x14ac:dyDescent="0.25">
      <c r="A237" s="352">
        <v>236</v>
      </c>
      <c r="B237" s="843" t="s">
        <v>405</v>
      </c>
      <c r="C237" s="832"/>
      <c r="D237" s="832"/>
      <c r="E237" s="832"/>
      <c r="F237" s="832"/>
      <c r="G237" s="832"/>
      <c r="H237" s="832"/>
      <c r="I237" s="832"/>
      <c r="J237" s="832"/>
      <c r="K237" s="832"/>
      <c r="L237" s="832"/>
      <c r="M237" s="352" t="s">
        <v>1343</v>
      </c>
    </row>
    <row r="238" spans="1:13" x14ac:dyDescent="0.25">
      <c r="A238" s="352">
        <v>237</v>
      </c>
      <c r="B238" s="610" t="s">
        <v>406</v>
      </c>
      <c r="C238" s="825">
        <v>240</v>
      </c>
      <c r="D238" s="825">
        <v>188</v>
      </c>
      <c r="E238" s="825">
        <v>23</v>
      </c>
      <c r="F238" s="825">
        <v>360</v>
      </c>
      <c r="G238" s="825"/>
      <c r="H238" s="825"/>
      <c r="I238" s="825"/>
      <c r="J238" s="825"/>
      <c r="K238" s="825">
        <v>124</v>
      </c>
      <c r="L238" s="825">
        <v>116</v>
      </c>
      <c r="M238" s="352" t="s">
        <v>21</v>
      </c>
    </row>
    <row r="239" spans="1:13" x14ac:dyDescent="0.25">
      <c r="A239" s="352">
        <v>238</v>
      </c>
      <c r="B239" s="610" t="s">
        <v>413</v>
      </c>
      <c r="C239" s="825">
        <v>22410</v>
      </c>
      <c r="D239" s="825">
        <v>530</v>
      </c>
      <c r="E239" s="825">
        <v>5013</v>
      </c>
      <c r="F239" s="825">
        <v>34474</v>
      </c>
      <c r="G239" s="825"/>
      <c r="H239" s="825"/>
      <c r="I239" s="825"/>
      <c r="J239" s="825">
        <v>7433</v>
      </c>
      <c r="K239" s="825">
        <v>9464</v>
      </c>
      <c r="L239" s="825">
        <v>5513</v>
      </c>
      <c r="M239" s="352" t="s">
        <v>21</v>
      </c>
    </row>
    <row r="240" spans="1:13" x14ac:dyDescent="0.25">
      <c r="A240" s="352">
        <v>239</v>
      </c>
      <c r="B240" s="610" t="s">
        <v>414</v>
      </c>
      <c r="C240" s="825">
        <v>7006</v>
      </c>
      <c r="D240" s="825">
        <v>871</v>
      </c>
      <c r="E240" s="825">
        <v>2585</v>
      </c>
      <c r="F240" s="825">
        <v>10177</v>
      </c>
      <c r="G240" s="825"/>
      <c r="H240" s="825"/>
      <c r="I240" s="825"/>
      <c r="J240" s="825">
        <v>2990</v>
      </c>
      <c r="K240" s="825">
        <v>2969</v>
      </c>
      <c r="L240" s="825">
        <v>1047</v>
      </c>
      <c r="M240" s="352" t="s">
        <v>21</v>
      </c>
    </row>
    <row r="241" spans="1:13" x14ac:dyDescent="0.25">
      <c r="A241" s="352">
        <v>240</v>
      </c>
      <c r="B241" s="610" t="s">
        <v>412</v>
      </c>
      <c r="C241" s="825">
        <f>5160+60</f>
        <v>5220</v>
      </c>
      <c r="D241" s="825">
        <f>792+302</f>
        <v>1094</v>
      </c>
      <c r="E241" s="825">
        <f>1714+18</f>
        <v>1732</v>
      </c>
      <c r="F241" s="825">
        <f>7241+48</f>
        <v>7289</v>
      </c>
      <c r="G241" s="825"/>
      <c r="H241" s="825"/>
      <c r="I241" s="825"/>
      <c r="J241" s="825">
        <v>2245</v>
      </c>
      <c r="K241" s="825">
        <f>2163+60</f>
        <v>2223</v>
      </c>
      <c r="L241" s="825">
        <v>752</v>
      </c>
      <c r="M241" s="352" t="s">
        <v>21</v>
      </c>
    </row>
    <row r="242" spans="1:13" x14ac:dyDescent="0.25">
      <c r="A242" s="352">
        <v>241</v>
      </c>
      <c r="B242" s="610" t="s">
        <v>419</v>
      </c>
      <c r="C242" s="825">
        <v>2588</v>
      </c>
      <c r="D242" s="825">
        <v>325</v>
      </c>
      <c r="E242" s="825">
        <v>368</v>
      </c>
      <c r="F242" s="825">
        <v>3976</v>
      </c>
      <c r="G242" s="825"/>
      <c r="H242" s="825"/>
      <c r="I242" s="825"/>
      <c r="J242" s="825">
        <v>728</v>
      </c>
      <c r="K242" s="825">
        <v>1133</v>
      </c>
      <c r="L242" s="825">
        <v>727</v>
      </c>
      <c r="M242" s="352" t="s">
        <v>21</v>
      </c>
    </row>
    <row r="243" spans="1:13" x14ac:dyDescent="0.25">
      <c r="A243" s="352">
        <v>242</v>
      </c>
      <c r="B243" s="610" t="s">
        <v>422</v>
      </c>
      <c r="C243" s="825">
        <v>2569</v>
      </c>
      <c r="D243" s="825">
        <v>659</v>
      </c>
      <c r="E243" s="825">
        <v>388</v>
      </c>
      <c r="F243" s="825">
        <v>3487</v>
      </c>
      <c r="G243" s="825"/>
      <c r="H243" s="825"/>
      <c r="I243" s="825"/>
      <c r="J243" s="825">
        <v>1573</v>
      </c>
      <c r="K243" s="825">
        <v>589</v>
      </c>
      <c r="L243" s="825">
        <v>407</v>
      </c>
      <c r="M243" s="352" t="s">
        <v>21</v>
      </c>
    </row>
    <row r="244" spans="1:13" x14ac:dyDescent="0.25">
      <c r="A244" s="352">
        <v>243</v>
      </c>
      <c r="B244" s="610" t="s">
        <v>417</v>
      </c>
      <c r="C244" s="825">
        <v>2276</v>
      </c>
      <c r="D244" s="825">
        <v>269</v>
      </c>
      <c r="E244" s="825">
        <v>133</v>
      </c>
      <c r="F244" s="825">
        <v>3687</v>
      </c>
      <c r="G244" s="825"/>
      <c r="H244" s="825"/>
      <c r="I244" s="825"/>
      <c r="J244" s="825">
        <v>1305</v>
      </c>
      <c r="K244" s="825">
        <v>494</v>
      </c>
      <c r="L244" s="825">
        <v>477</v>
      </c>
      <c r="M244" s="352" t="s">
        <v>21</v>
      </c>
    </row>
    <row r="245" spans="1:13" x14ac:dyDescent="0.25">
      <c r="A245" s="352">
        <v>244</v>
      </c>
      <c r="B245" s="610" t="s">
        <v>418</v>
      </c>
      <c r="C245" s="825">
        <v>2272</v>
      </c>
      <c r="D245" s="825">
        <v>492</v>
      </c>
      <c r="E245" s="825">
        <v>263</v>
      </c>
      <c r="F245" s="825">
        <v>3724</v>
      </c>
      <c r="G245" s="825"/>
      <c r="H245" s="825"/>
      <c r="I245" s="825"/>
      <c r="J245" s="825">
        <v>1412</v>
      </c>
      <c r="K245" s="825">
        <v>534</v>
      </c>
      <c r="L245" s="825">
        <v>326</v>
      </c>
      <c r="M245" s="352" t="s">
        <v>21</v>
      </c>
    </row>
    <row r="246" spans="1:13" x14ac:dyDescent="0.25">
      <c r="A246" s="352">
        <v>245</v>
      </c>
      <c r="B246" s="610" t="s">
        <v>416</v>
      </c>
      <c r="C246" s="825">
        <v>1975</v>
      </c>
      <c r="D246" s="825">
        <v>548</v>
      </c>
      <c r="E246" s="825">
        <v>396</v>
      </c>
      <c r="F246" s="825">
        <v>3032</v>
      </c>
      <c r="G246" s="825"/>
      <c r="H246" s="825"/>
      <c r="I246" s="825"/>
      <c r="J246" s="825">
        <v>929</v>
      </c>
      <c r="K246" s="825">
        <v>722</v>
      </c>
      <c r="L246" s="825">
        <v>324</v>
      </c>
      <c r="M246" s="352" t="s">
        <v>21</v>
      </c>
    </row>
    <row r="247" spans="1:13" x14ac:dyDescent="0.25">
      <c r="A247" s="352">
        <v>246</v>
      </c>
      <c r="B247" s="610" t="s">
        <v>410</v>
      </c>
      <c r="C247" s="825">
        <v>1087</v>
      </c>
      <c r="D247" s="825">
        <v>336</v>
      </c>
      <c r="E247" s="825">
        <v>37</v>
      </c>
      <c r="F247" s="825">
        <v>1918</v>
      </c>
      <c r="G247" s="825"/>
      <c r="H247" s="825"/>
      <c r="I247" s="825"/>
      <c r="J247" s="825">
        <v>903</v>
      </c>
      <c r="K247" s="825">
        <v>110</v>
      </c>
      <c r="L247" s="825">
        <v>74</v>
      </c>
      <c r="M247" s="352" t="s">
        <v>21</v>
      </c>
    </row>
    <row r="248" spans="1:13" x14ac:dyDescent="0.25">
      <c r="A248" s="352">
        <v>247</v>
      </c>
      <c r="B248" s="610" t="s">
        <v>415</v>
      </c>
      <c r="C248" s="825">
        <v>903</v>
      </c>
      <c r="D248" s="825">
        <v>481</v>
      </c>
      <c r="E248" s="825">
        <v>176</v>
      </c>
      <c r="F248" s="825">
        <v>1389</v>
      </c>
      <c r="G248" s="825"/>
      <c r="H248" s="825"/>
      <c r="I248" s="825"/>
      <c r="J248" s="825">
        <v>400</v>
      </c>
      <c r="K248" s="825">
        <v>365</v>
      </c>
      <c r="L248" s="825">
        <v>138</v>
      </c>
      <c r="M248" s="352" t="s">
        <v>21</v>
      </c>
    </row>
    <row r="249" spans="1:13" x14ac:dyDescent="0.25">
      <c r="A249" s="352">
        <v>248</v>
      </c>
      <c r="B249" s="610" t="s">
        <v>411</v>
      </c>
      <c r="C249" s="825">
        <v>850</v>
      </c>
      <c r="D249" s="825">
        <v>303</v>
      </c>
      <c r="E249" s="825">
        <v>118</v>
      </c>
      <c r="F249" s="825">
        <v>1308</v>
      </c>
      <c r="G249" s="825"/>
      <c r="H249" s="825"/>
      <c r="I249" s="825"/>
      <c r="J249" s="825">
        <v>299</v>
      </c>
      <c r="K249" s="825">
        <v>388</v>
      </c>
      <c r="L249" s="825">
        <v>163</v>
      </c>
      <c r="M249" s="352" t="s">
        <v>21</v>
      </c>
    </row>
    <row r="250" spans="1:13" x14ac:dyDescent="0.25">
      <c r="A250" s="352">
        <v>249</v>
      </c>
      <c r="B250" s="610" t="s">
        <v>421</v>
      </c>
      <c r="C250" s="825">
        <f>617+217</f>
        <v>834</v>
      </c>
      <c r="D250" s="825">
        <f>474+792</f>
        <v>1266</v>
      </c>
      <c r="E250" s="825">
        <f>35+172</f>
        <v>207</v>
      </c>
      <c r="F250" s="825">
        <f>604+174</f>
        <v>778</v>
      </c>
      <c r="G250" s="825"/>
      <c r="H250" s="825"/>
      <c r="I250" s="825"/>
      <c r="J250" s="825">
        <v>394</v>
      </c>
      <c r="K250" s="825">
        <f>73+217</f>
        <v>290</v>
      </c>
      <c r="L250" s="825">
        <v>150</v>
      </c>
      <c r="M250" s="352" t="s">
        <v>21</v>
      </c>
    </row>
    <row r="251" spans="1:13" x14ac:dyDescent="0.25">
      <c r="A251" s="352">
        <v>250</v>
      </c>
      <c r="B251" s="610" t="s">
        <v>420</v>
      </c>
      <c r="C251" s="825">
        <v>627</v>
      </c>
      <c r="D251" s="825">
        <v>418</v>
      </c>
      <c r="E251" s="825">
        <v>17</v>
      </c>
      <c r="F251" s="825">
        <v>968</v>
      </c>
      <c r="G251" s="825"/>
      <c r="H251" s="825"/>
      <c r="I251" s="825"/>
      <c r="J251" s="825">
        <v>554</v>
      </c>
      <c r="K251" s="825">
        <v>41</v>
      </c>
      <c r="L251" s="825">
        <v>32</v>
      </c>
      <c r="M251" s="352" t="s">
        <v>21</v>
      </c>
    </row>
    <row r="252" spans="1:13" x14ac:dyDescent="0.25">
      <c r="A252" s="352">
        <v>251</v>
      </c>
      <c r="B252" s="610" t="s">
        <v>424</v>
      </c>
      <c r="C252" s="825">
        <f>555+34</f>
        <v>589</v>
      </c>
      <c r="D252" s="825">
        <v>285</v>
      </c>
      <c r="E252" s="825">
        <v>34</v>
      </c>
      <c r="F252" s="825">
        <f>886+ 27</f>
        <v>913</v>
      </c>
      <c r="G252" s="825"/>
      <c r="H252" s="825"/>
      <c r="I252" s="825"/>
      <c r="J252" s="825">
        <f>333+34</f>
        <v>367</v>
      </c>
      <c r="K252" s="825">
        <v>119</v>
      </c>
      <c r="L252" s="825">
        <v>103</v>
      </c>
      <c r="M252" s="352" t="s">
        <v>21</v>
      </c>
    </row>
    <row r="253" spans="1:13" x14ac:dyDescent="0.25">
      <c r="A253" s="352">
        <v>252</v>
      </c>
      <c r="B253" s="610" t="s">
        <v>407</v>
      </c>
      <c r="C253" s="825">
        <v>468</v>
      </c>
      <c r="D253" s="825">
        <v>413</v>
      </c>
      <c r="E253" s="825">
        <v>23</v>
      </c>
      <c r="F253" s="825">
        <v>743</v>
      </c>
      <c r="G253" s="825"/>
      <c r="H253" s="825"/>
      <c r="I253" s="825"/>
      <c r="J253" s="825">
        <v>375</v>
      </c>
      <c r="K253" s="825">
        <v>57</v>
      </c>
      <c r="L253" s="825">
        <v>36</v>
      </c>
      <c r="M253" s="352" t="s">
        <v>21</v>
      </c>
    </row>
    <row r="254" spans="1:13" x14ac:dyDescent="0.25">
      <c r="A254" s="352">
        <v>253</v>
      </c>
      <c r="B254" s="610" t="s">
        <v>423</v>
      </c>
      <c r="C254" s="825">
        <v>277</v>
      </c>
      <c r="D254" s="825">
        <v>343</v>
      </c>
      <c r="E254" s="825">
        <v>17</v>
      </c>
      <c r="F254" s="825">
        <v>373</v>
      </c>
      <c r="G254" s="825"/>
      <c r="H254" s="825"/>
      <c r="I254" s="825"/>
      <c r="J254" s="825">
        <v>105</v>
      </c>
      <c r="K254" s="825">
        <v>50</v>
      </c>
      <c r="L254" s="825">
        <v>122</v>
      </c>
      <c r="M254" s="352" t="s">
        <v>21</v>
      </c>
    </row>
    <row r="255" spans="1:13" x14ac:dyDescent="0.25">
      <c r="A255" s="352">
        <v>254</v>
      </c>
      <c r="B255" s="610" t="s">
        <v>408</v>
      </c>
      <c r="C255" s="825">
        <v>267</v>
      </c>
      <c r="D255" s="825">
        <v>333</v>
      </c>
      <c r="E255" s="825">
        <v>35</v>
      </c>
      <c r="F255" s="825">
        <v>247</v>
      </c>
      <c r="G255" s="825"/>
      <c r="H255" s="825"/>
      <c r="I255" s="825"/>
      <c r="J255" s="825">
        <v>79</v>
      </c>
      <c r="K255" s="825">
        <v>106</v>
      </c>
      <c r="L255" s="825">
        <v>82</v>
      </c>
      <c r="M255" s="352" t="s">
        <v>21</v>
      </c>
    </row>
    <row r="256" spans="1:13" x14ac:dyDescent="0.25">
      <c r="A256" s="352">
        <v>255</v>
      </c>
      <c r="B256" s="610" t="s">
        <v>409</v>
      </c>
      <c r="C256" s="825">
        <v>62</v>
      </c>
      <c r="D256" s="825">
        <v>303</v>
      </c>
      <c r="E256" s="825">
        <v>16</v>
      </c>
      <c r="F256" s="825">
        <v>50</v>
      </c>
      <c r="G256" s="825"/>
      <c r="H256" s="825"/>
      <c r="I256" s="825"/>
      <c r="J256" s="825">
        <v>9</v>
      </c>
      <c r="K256" s="825">
        <v>53</v>
      </c>
      <c r="L256" s="825"/>
      <c r="M256" s="352" t="s">
        <v>21</v>
      </c>
    </row>
    <row r="257" spans="1:13" x14ac:dyDescent="0.25">
      <c r="A257" s="352">
        <v>256</v>
      </c>
      <c r="B257" s="610" t="s">
        <v>425</v>
      </c>
      <c r="C257" s="825"/>
      <c r="D257" s="825"/>
      <c r="E257" s="825"/>
      <c r="F257" s="825"/>
      <c r="G257" s="825"/>
      <c r="H257" s="825"/>
      <c r="I257" s="825"/>
      <c r="J257" s="825"/>
      <c r="K257" s="825"/>
      <c r="L257" s="825"/>
      <c r="M257" s="352" t="s">
        <v>21</v>
      </c>
    </row>
    <row r="258" spans="1:13" x14ac:dyDescent="0.25">
      <c r="A258" s="352">
        <v>257</v>
      </c>
      <c r="B258" s="611" t="s">
        <v>426</v>
      </c>
      <c r="C258" s="833"/>
      <c r="D258" s="833"/>
      <c r="E258" s="833"/>
      <c r="F258" s="833"/>
      <c r="G258" s="833"/>
      <c r="H258" s="833"/>
      <c r="I258" s="833"/>
      <c r="J258" s="833"/>
      <c r="K258" s="833"/>
      <c r="L258" s="833"/>
      <c r="M258" s="352" t="s">
        <v>22</v>
      </c>
    </row>
    <row r="259" spans="1:13" x14ac:dyDescent="0.25">
      <c r="A259" s="352">
        <v>258</v>
      </c>
      <c r="B259" s="611" t="s">
        <v>427</v>
      </c>
      <c r="C259" s="833">
        <v>1263</v>
      </c>
      <c r="D259" s="833">
        <v>501</v>
      </c>
      <c r="E259" s="833">
        <v>232</v>
      </c>
      <c r="F259" s="833">
        <v>621</v>
      </c>
      <c r="G259" s="833"/>
      <c r="H259" s="833"/>
      <c r="I259" s="833"/>
      <c r="J259" s="833">
        <v>623</v>
      </c>
      <c r="K259" s="833">
        <v>463</v>
      </c>
      <c r="L259" s="833">
        <v>177</v>
      </c>
      <c r="M259" s="352" t="s">
        <v>22</v>
      </c>
    </row>
    <row r="260" spans="1:13" x14ac:dyDescent="0.25">
      <c r="A260" s="352">
        <v>259</v>
      </c>
      <c r="B260" s="611" t="s">
        <v>431</v>
      </c>
      <c r="C260" s="833">
        <v>4947</v>
      </c>
      <c r="D260" s="833">
        <v>450</v>
      </c>
      <c r="E260" s="833">
        <v>845</v>
      </c>
      <c r="F260" s="833">
        <v>3847</v>
      </c>
      <c r="G260" s="833"/>
      <c r="H260" s="833"/>
      <c r="I260" s="833"/>
      <c r="J260" s="833">
        <v>2223</v>
      </c>
      <c r="K260" s="833">
        <v>1880</v>
      </c>
      <c r="L260" s="833">
        <v>844</v>
      </c>
      <c r="M260" s="352" t="s">
        <v>22</v>
      </c>
    </row>
    <row r="261" spans="1:13" x14ac:dyDescent="0.25">
      <c r="A261" s="352">
        <v>260</v>
      </c>
      <c r="B261" s="611" t="s">
        <v>429</v>
      </c>
      <c r="C261" s="833">
        <v>2010</v>
      </c>
      <c r="D261" s="833">
        <v>719</v>
      </c>
      <c r="E261" s="833">
        <v>425</v>
      </c>
      <c r="F261" s="833">
        <v>2752</v>
      </c>
      <c r="G261" s="833"/>
      <c r="H261" s="833"/>
      <c r="I261" s="833"/>
      <c r="J261" s="833">
        <v>924</v>
      </c>
      <c r="K261" s="833">
        <v>591</v>
      </c>
      <c r="L261" s="833">
        <v>495</v>
      </c>
      <c r="M261" s="352" t="s">
        <v>22</v>
      </c>
    </row>
    <row r="262" spans="1:13" x14ac:dyDescent="0.25">
      <c r="A262" s="352">
        <v>261</v>
      </c>
      <c r="B262" s="611" t="s">
        <v>439</v>
      </c>
      <c r="C262" s="833">
        <v>804</v>
      </c>
      <c r="D262" s="833"/>
      <c r="E262" s="833">
        <v>173</v>
      </c>
      <c r="F262" s="833">
        <v>1319</v>
      </c>
      <c r="G262" s="833"/>
      <c r="H262" s="833"/>
      <c r="I262" s="833"/>
      <c r="J262" s="833">
        <v>122</v>
      </c>
      <c r="K262" s="833"/>
      <c r="L262" s="833">
        <v>682</v>
      </c>
      <c r="M262" s="352" t="s">
        <v>22</v>
      </c>
    </row>
    <row r="263" spans="1:13" x14ac:dyDescent="0.25">
      <c r="A263" s="352">
        <v>262</v>
      </c>
      <c r="B263" s="611" t="s">
        <v>430</v>
      </c>
      <c r="C263" s="833">
        <v>802</v>
      </c>
      <c r="D263" s="833">
        <v>738</v>
      </c>
      <c r="E263" s="833">
        <v>106</v>
      </c>
      <c r="F263" s="833">
        <v>944</v>
      </c>
      <c r="G263" s="833"/>
      <c r="H263" s="833"/>
      <c r="I263" s="833"/>
      <c r="J263" s="833">
        <v>607</v>
      </c>
      <c r="K263" s="833">
        <v>144</v>
      </c>
      <c r="L263" s="833">
        <v>51</v>
      </c>
      <c r="M263" s="352" t="s">
        <v>22</v>
      </c>
    </row>
    <row r="264" spans="1:13" x14ac:dyDescent="0.25">
      <c r="A264" s="352">
        <v>263</v>
      </c>
      <c r="B264" s="611" t="s">
        <v>428</v>
      </c>
      <c r="C264" s="833">
        <v>421</v>
      </c>
      <c r="D264" s="833">
        <v>585</v>
      </c>
      <c r="E264" s="833">
        <v>104</v>
      </c>
      <c r="F264" s="833">
        <v>1359</v>
      </c>
      <c r="G264" s="833"/>
      <c r="H264" s="833"/>
      <c r="I264" s="833"/>
      <c r="J264" s="833">
        <v>160</v>
      </c>
      <c r="K264" s="833">
        <v>178</v>
      </c>
      <c r="L264" s="833">
        <v>83</v>
      </c>
      <c r="M264" s="352" t="s">
        <v>22</v>
      </c>
    </row>
    <row r="265" spans="1:13" x14ac:dyDescent="0.25">
      <c r="A265" s="352">
        <v>264</v>
      </c>
      <c r="B265" s="611" t="s">
        <v>438</v>
      </c>
      <c r="C265" s="833">
        <v>353</v>
      </c>
      <c r="D265" s="833">
        <v>263</v>
      </c>
      <c r="E265" s="833">
        <v>19</v>
      </c>
      <c r="F265" s="833">
        <v>197</v>
      </c>
      <c r="G265" s="833"/>
      <c r="H265" s="833"/>
      <c r="I265" s="833"/>
      <c r="J265" s="833">
        <v>201</v>
      </c>
      <c r="K265" s="833">
        <v>72</v>
      </c>
      <c r="L265" s="833">
        <v>80</v>
      </c>
      <c r="M265" s="352" t="s">
        <v>22</v>
      </c>
    </row>
    <row r="266" spans="1:13" x14ac:dyDescent="0.25">
      <c r="A266" s="352">
        <v>265</v>
      </c>
      <c r="B266" s="611" t="s">
        <v>432</v>
      </c>
      <c r="C266" s="833">
        <v>348</v>
      </c>
      <c r="D266" s="833">
        <v>223</v>
      </c>
      <c r="E266" s="833">
        <v>29</v>
      </c>
      <c r="F266" s="833">
        <v>461</v>
      </c>
      <c r="G266" s="833"/>
      <c r="H266" s="833"/>
      <c r="I266" s="833"/>
      <c r="J266" s="833">
        <v>154</v>
      </c>
      <c r="K266" s="833">
        <v>132</v>
      </c>
      <c r="L266" s="833">
        <v>62</v>
      </c>
      <c r="M266" s="352" t="s">
        <v>22</v>
      </c>
    </row>
    <row r="267" spans="1:13" x14ac:dyDescent="0.25">
      <c r="A267" s="352">
        <v>266</v>
      </c>
      <c r="B267" s="611" t="s">
        <v>435</v>
      </c>
      <c r="C267" s="833">
        <v>245</v>
      </c>
      <c r="D267" s="833">
        <v>619</v>
      </c>
      <c r="E267" s="833">
        <v>49</v>
      </c>
      <c r="F267" s="833">
        <v>395</v>
      </c>
      <c r="G267" s="833"/>
      <c r="H267" s="833"/>
      <c r="I267" s="833"/>
      <c r="J267" s="833">
        <v>57</v>
      </c>
      <c r="K267" s="833">
        <v>79</v>
      </c>
      <c r="L267" s="833">
        <v>109</v>
      </c>
      <c r="M267" s="352" t="s">
        <v>22</v>
      </c>
    </row>
    <row r="268" spans="1:13" x14ac:dyDescent="0.25">
      <c r="A268" s="352">
        <v>267</v>
      </c>
      <c r="B268" s="611" t="s">
        <v>433</v>
      </c>
      <c r="C268" s="833">
        <v>145</v>
      </c>
      <c r="D268" s="833">
        <v>320</v>
      </c>
      <c r="E268" s="833">
        <v>6</v>
      </c>
      <c r="F268" s="833">
        <v>299</v>
      </c>
      <c r="G268" s="833"/>
      <c r="H268" s="833"/>
      <c r="I268" s="833"/>
      <c r="J268" s="833">
        <v>46</v>
      </c>
      <c r="K268" s="833">
        <v>19</v>
      </c>
      <c r="L268" s="833">
        <v>80</v>
      </c>
      <c r="M268" s="352" t="s">
        <v>22</v>
      </c>
    </row>
    <row r="269" spans="1:13" x14ac:dyDescent="0.25">
      <c r="A269" s="352">
        <v>268</v>
      </c>
      <c r="B269" s="611" t="s">
        <v>436</v>
      </c>
      <c r="C269" s="833">
        <v>139</v>
      </c>
      <c r="D269" s="833">
        <v>209</v>
      </c>
      <c r="E269" s="833">
        <v>18</v>
      </c>
      <c r="F269" s="833">
        <v>126</v>
      </c>
      <c r="G269" s="833"/>
      <c r="H269" s="833"/>
      <c r="I269" s="833"/>
      <c r="J269" s="833">
        <v>16</v>
      </c>
      <c r="K269" s="833">
        <v>87</v>
      </c>
      <c r="L269" s="833">
        <v>36</v>
      </c>
      <c r="M269" s="352" t="s">
        <v>22</v>
      </c>
    </row>
    <row r="270" spans="1:13" x14ac:dyDescent="0.25">
      <c r="A270" s="352">
        <v>269</v>
      </c>
      <c r="B270" s="611" t="s">
        <v>434</v>
      </c>
      <c r="C270" s="833"/>
      <c r="D270" s="833"/>
      <c r="E270" s="833"/>
      <c r="F270" s="833"/>
      <c r="G270" s="833"/>
      <c r="H270" s="833"/>
      <c r="I270" s="833"/>
      <c r="J270" s="833"/>
      <c r="K270" s="833"/>
      <c r="L270" s="833"/>
      <c r="M270" s="352" t="s">
        <v>22</v>
      </c>
    </row>
    <row r="271" spans="1:13" x14ac:dyDescent="0.25">
      <c r="A271" s="352">
        <v>270</v>
      </c>
      <c r="B271" s="611" t="s">
        <v>437</v>
      </c>
      <c r="C271" s="833"/>
      <c r="D271" s="833"/>
      <c r="E271" s="833"/>
      <c r="F271" s="833"/>
      <c r="G271" s="833"/>
      <c r="H271" s="833"/>
      <c r="I271" s="833"/>
      <c r="J271" s="833"/>
      <c r="K271" s="833"/>
      <c r="L271" s="833"/>
      <c r="M271" s="352" t="s">
        <v>22</v>
      </c>
    </row>
    <row r="272" spans="1:13" x14ac:dyDescent="0.25">
      <c r="A272" s="352">
        <v>271</v>
      </c>
      <c r="B272" s="612" t="s">
        <v>440</v>
      </c>
      <c r="C272" s="834"/>
      <c r="D272" s="834"/>
      <c r="E272" s="834"/>
      <c r="F272" s="834"/>
      <c r="G272" s="834"/>
      <c r="H272" s="834"/>
      <c r="I272" s="834"/>
      <c r="J272" s="834"/>
      <c r="K272" s="834"/>
      <c r="L272" s="834"/>
      <c r="M272" s="352" t="s">
        <v>23</v>
      </c>
    </row>
    <row r="273" spans="1:13" x14ac:dyDescent="0.25">
      <c r="A273" s="352">
        <v>272</v>
      </c>
      <c r="B273" s="612" t="s">
        <v>441</v>
      </c>
      <c r="C273" s="834">
        <v>567</v>
      </c>
      <c r="D273" s="834">
        <v>494</v>
      </c>
      <c r="E273" s="834">
        <v>85</v>
      </c>
      <c r="F273" s="834">
        <v>357</v>
      </c>
      <c r="G273" s="834"/>
      <c r="H273" s="834"/>
      <c r="I273" s="834"/>
      <c r="J273" s="834">
        <v>340</v>
      </c>
      <c r="K273" s="834">
        <v>171</v>
      </c>
      <c r="L273" s="834">
        <v>56</v>
      </c>
      <c r="M273" s="352" t="s">
        <v>23</v>
      </c>
    </row>
    <row r="274" spans="1:13" x14ac:dyDescent="0.25">
      <c r="A274" s="352">
        <v>273</v>
      </c>
      <c r="B274" s="612" t="s">
        <v>442</v>
      </c>
      <c r="C274" s="834">
        <v>198</v>
      </c>
      <c r="D274" s="834">
        <v>750</v>
      </c>
      <c r="E274" s="834">
        <v>58</v>
      </c>
      <c r="F274" s="834">
        <v>158</v>
      </c>
      <c r="G274" s="834"/>
      <c r="H274" s="834"/>
      <c r="I274" s="834"/>
      <c r="J274" s="834">
        <v>93</v>
      </c>
      <c r="K274" s="834">
        <v>78</v>
      </c>
      <c r="L274" s="834">
        <v>27</v>
      </c>
      <c r="M274" s="352" t="s">
        <v>23</v>
      </c>
    </row>
    <row r="275" spans="1:13" x14ac:dyDescent="0.25">
      <c r="A275" s="352">
        <v>274</v>
      </c>
      <c r="B275" s="612" t="s">
        <v>447</v>
      </c>
      <c r="C275" s="834">
        <v>129</v>
      </c>
      <c r="D275" s="834"/>
      <c r="E275" s="834"/>
      <c r="F275" s="834"/>
      <c r="G275" s="834"/>
      <c r="H275" s="834"/>
      <c r="I275" s="834"/>
      <c r="J275" s="834">
        <v>129</v>
      </c>
      <c r="K275" s="834"/>
      <c r="L275" s="834"/>
      <c r="M275" s="352" t="s">
        <v>23</v>
      </c>
    </row>
    <row r="276" spans="1:13" x14ac:dyDescent="0.25">
      <c r="A276" s="352">
        <v>275</v>
      </c>
      <c r="B276" s="612" t="s">
        <v>443</v>
      </c>
      <c r="C276" s="834">
        <v>92</v>
      </c>
      <c r="D276" s="834">
        <v>348</v>
      </c>
      <c r="E276" s="834">
        <v>20</v>
      </c>
      <c r="F276" s="834"/>
      <c r="G276" s="834"/>
      <c r="H276" s="834"/>
      <c r="I276" s="834"/>
      <c r="J276" s="834">
        <v>4</v>
      </c>
      <c r="K276" s="834">
        <v>59</v>
      </c>
      <c r="L276" s="834">
        <v>29</v>
      </c>
      <c r="M276" s="352" t="s">
        <v>23</v>
      </c>
    </row>
    <row r="277" spans="1:13" x14ac:dyDescent="0.25">
      <c r="A277" s="352">
        <v>276</v>
      </c>
      <c r="B277" s="612" t="s">
        <v>446</v>
      </c>
      <c r="C277" s="834">
        <v>2</v>
      </c>
      <c r="D277" s="834"/>
      <c r="E277" s="834"/>
      <c r="F277" s="834">
        <v>138</v>
      </c>
      <c r="G277" s="834"/>
      <c r="H277" s="834"/>
      <c r="I277" s="834"/>
      <c r="J277" s="834">
        <v>2</v>
      </c>
      <c r="K277" s="834"/>
      <c r="L277" s="834"/>
      <c r="M277" s="352" t="s">
        <v>23</v>
      </c>
    </row>
    <row r="278" spans="1:13" x14ac:dyDescent="0.25">
      <c r="A278" s="352">
        <v>277</v>
      </c>
      <c r="B278" s="612" t="s">
        <v>444</v>
      </c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352" t="s">
        <v>23</v>
      </c>
    </row>
    <row r="279" spans="1:13" x14ac:dyDescent="0.25">
      <c r="A279" s="352">
        <v>278</v>
      </c>
      <c r="B279" s="612" t="s">
        <v>445</v>
      </c>
      <c r="C279" s="834"/>
      <c r="D279" s="834"/>
      <c r="E279" s="834"/>
      <c r="F279" s="834">
        <v>4</v>
      </c>
      <c r="G279" s="834"/>
      <c r="H279" s="834"/>
      <c r="I279" s="834"/>
      <c r="J279" s="834"/>
      <c r="K279" s="834"/>
      <c r="L279" s="834"/>
      <c r="M279" s="352" t="s">
        <v>23</v>
      </c>
    </row>
    <row r="280" spans="1:13" x14ac:dyDescent="0.25">
      <c r="A280" s="352">
        <v>279</v>
      </c>
      <c r="B280" s="612" t="s">
        <v>448</v>
      </c>
      <c r="C280" s="834"/>
      <c r="D280" s="834"/>
      <c r="E280" s="834"/>
      <c r="F280" s="834"/>
      <c r="G280" s="834"/>
      <c r="H280" s="834"/>
      <c r="I280" s="834"/>
      <c r="J280" s="834"/>
      <c r="K280" s="834"/>
      <c r="L280" s="834"/>
      <c r="M280" s="352" t="s">
        <v>23</v>
      </c>
    </row>
    <row r="281" spans="1:13" x14ac:dyDescent="0.25">
      <c r="A281" s="352">
        <v>280</v>
      </c>
      <c r="B281" s="612" t="s">
        <v>449</v>
      </c>
      <c r="C281" s="834"/>
      <c r="D281" s="834"/>
      <c r="E281" s="834"/>
      <c r="F281" s="834"/>
      <c r="G281" s="834"/>
      <c r="H281" s="834"/>
      <c r="I281" s="834"/>
      <c r="J281" s="834"/>
      <c r="K281" s="834"/>
      <c r="L281" s="834"/>
      <c r="M281" s="352" t="s">
        <v>23</v>
      </c>
    </row>
    <row r="282" spans="1:13" x14ac:dyDescent="0.25">
      <c r="A282" s="352">
        <v>281</v>
      </c>
      <c r="B282" s="613" t="s">
        <v>450</v>
      </c>
      <c r="C282" s="835">
        <v>225</v>
      </c>
      <c r="D282" s="835">
        <v>203</v>
      </c>
      <c r="E282" s="835">
        <v>9</v>
      </c>
      <c r="F282" s="835">
        <v>418</v>
      </c>
      <c r="G282" s="835"/>
      <c r="H282" s="835"/>
      <c r="I282" s="835"/>
      <c r="J282" s="835">
        <v>141</v>
      </c>
      <c r="K282" s="835">
        <v>44</v>
      </c>
      <c r="L282" s="835">
        <v>40</v>
      </c>
      <c r="M282" s="352" t="s">
        <v>1344</v>
      </c>
    </row>
    <row r="283" spans="1:13" x14ac:dyDescent="0.25">
      <c r="A283" s="352">
        <v>282</v>
      </c>
      <c r="B283" s="613" t="s">
        <v>452</v>
      </c>
      <c r="C283" s="835">
        <v>260</v>
      </c>
      <c r="D283" s="835">
        <v>250</v>
      </c>
      <c r="E283" s="835">
        <v>20</v>
      </c>
      <c r="F283" s="835">
        <v>176</v>
      </c>
      <c r="G283" s="835"/>
      <c r="H283" s="835"/>
      <c r="I283" s="835"/>
      <c r="J283" s="835"/>
      <c r="K283" s="835">
        <v>78</v>
      </c>
      <c r="L283" s="835">
        <v>182</v>
      </c>
      <c r="M283" s="352" t="s">
        <v>1344</v>
      </c>
    </row>
    <row r="284" spans="1:13" x14ac:dyDescent="0.25">
      <c r="A284" s="352">
        <v>283</v>
      </c>
      <c r="B284" s="613" t="s">
        <v>455</v>
      </c>
      <c r="C284" s="835">
        <v>159</v>
      </c>
      <c r="D284" s="835">
        <v>304</v>
      </c>
      <c r="E284" s="835">
        <v>23</v>
      </c>
      <c r="F284" s="835">
        <v>392</v>
      </c>
      <c r="G284" s="835"/>
      <c r="H284" s="835"/>
      <c r="I284" s="835"/>
      <c r="J284" s="835">
        <v>5</v>
      </c>
      <c r="K284" s="835">
        <v>77</v>
      </c>
      <c r="L284" s="835">
        <v>77</v>
      </c>
      <c r="M284" s="352" t="s">
        <v>1344</v>
      </c>
    </row>
    <row r="285" spans="1:13" x14ac:dyDescent="0.25">
      <c r="A285" s="352">
        <v>284</v>
      </c>
      <c r="B285" s="613" t="s">
        <v>456</v>
      </c>
      <c r="C285" s="835">
        <v>51</v>
      </c>
      <c r="D285" s="835">
        <v>581</v>
      </c>
      <c r="E285" s="835">
        <v>14</v>
      </c>
      <c r="F285" s="835">
        <v>63</v>
      </c>
      <c r="G285" s="835"/>
      <c r="H285" s="835"/>
      <c r="I285" s="835"/>
      <c r="J285" s="835">
        <v>11</v>
      </c>
      <c r="K285" s="835">
        <v>23</v>
      </c>
      <c r="L285" s="835">
        <v>17</v>
      </c>
      <c r="M285" s="352" t="s">
        <v>1344</v>
      </c>
    </row>
    <row r="286" spans="1:13" x14ac:dyDescent="0.25">
      <c r="A286" s="352">
        <v>285</v>
      </c>
      <c r="B286" s="613" t="s">
        <v>451</v>
      </c>
      <c r="C286" s="835"/>
      <c r="D286" s="835"/>
      <c r="E286" s="835"/>
      <c r="F286" s="835"/>
      <c r="G286" s="835"/>
      <c r="H286" s="835"/>
      <c r="I286" s="835"/>
      <c r="J286" s="835"/>
      <c r="K286" s="835"/>
      <c r="L286" s="835"/>
      <c r="M286" s="352" t="s">
        <v>1344</v>
      </c>
    </row>
    <row r="287" spans="1:13" x14ac:dyDescent="0.25">
      <c r="A287" s="352">
        <v>286</v>
      </c>
      <c r="B287" s="613" t="s">
        <v>453</v>
      </c>
      <c r="C287" s="835"/>
      <c r="D287" s="835"/>
      <c r="E287" s="835"/>
      <c r="F287" s="835"/>
      <c r="G287" s="835"/>
      <c r="H287" s="835"/>
      <c r="I287" s="835"/>
      <c r="J287" s="835"/>
      <c r="K287" s="835"/>
      <c r="L287" s="835"/>
      <c r="M287" s="352" t="s">
        <v>1344</v>
      </c>
    </row>
    <row r="288" spans="1:13" x14ac:dyDescent="0.25">
      <c r="A288" s="352">
        <v>287</v>
      </c>
      <c r="B288" s="613" t="s">
        <v>454</v>
      </c>
      <c r="C288" s="835"/>
      <c r="D288" s="835"/>
      <c r="E288" s="835"/>
      <c r="F288" s="835"/>
      <c r="G288" s="835"/>
      <c r="H288" s="835"/>
      <c r="I288" s="835"/>
      <c r="J288" s="835"/>
      <c r="K288" s="835"/>
      <c r="L288" s="835"/>
      <c r="M288" s="352" t="s">
        <v>1344</v>
      </c>
    </row>
    <row r="289" spans="1:13" x14ac:dyDescent="0.25">
      <c r="A289" s="352">
        <v>288</v>
      </c>
      <c r="B289" s="613" t="s">
        <v>457</v>
      </c>
      <c r="C289" s="835"/>
      <c r="D289" s="835"/>
      <c r="E289" s="835"/>
      <c r="F289" s="835"/>
      <c r="G289" s="835"/>
      <c r="H289" s="835"/>
      <c r="I289" s="835"/>
      <c r="J289" s="835"/>
      <c r="K289" s="835"/>
      <c r="L289" s="835"/>
      <c r="M289" s="352" t="s">
        <v>1344</v>
      </c>
    </row>
    <row r="290" spans="1:13" x14ac:dyDescent="0.25">
      <c r="A290" s="352">
        <v>289</v>
      </c>
      <c r="B290" s="613" t="s">
        <v>458</v>
      </c>
      <c r="C290" s="835"/>
      <c r="D290" s="835"/>
      <c r="E290" s="835"/>
      <c r="F290" s="835"/>
      <c r="G290" s="835"/>
      <c r="H290" s="835"/>
      <c r="I290" s="835"/>
      <c r="J290" s="835"/>
      <c r="K290" s="835"/>
      <c r="L290" s="835"/>
      <c r="M290" s="352" t="s">
        <v>1344</v>
      </c>
    </row>
    <row r="291" spans="1:13" x14ac:dyDescent="0.25">
      <c r="A291" s="352">
        <v>290</v>
      </c>
      <c r="B291" s="614" t="s">
        <v>459</v>
      </c>
      <c r="C291" s="836">
        <v>20</v>
      </c>
      <c r="D291" s="836">
        <v>100</v>
      </c>
      <c r="E291" s="836">
        <v>2</v>
      </c>
      <c r="F291" s="836">
        <v>47</v>
      </c>
      <c r="G291" s="836"/>
      <c r="H291" s="836"/>
      <c r="I291" s="836"/>
      <c r="J291" s="836"/>
      <c r="K291" s="836">
        <v>15</v>
      </c>
      <c r="L291" s="836">
        <v>5</v>
      </c>
      <c r="M291" s="352" t="s">
        <v>25</v>
      </c>
    </row>
    <row r="292" spans="1:13" x14ac:dyDescent="0.25">
      <c r="A292" s="352">
        <v>291</v>
      </c>
      <c r="B292" s="614" t="s">
        <v>463</v>
      </c>
      <c r="C292" s="836">
        <v>4472</v>
      </c>
      <c r="D292" s="836">
        <v>512</v>
      </c>
      <c r="E292" s="836">
        <v>1038</v>
      </c>
      <c r="F292" s="836">
        <v>2484</v>
      </c>
      <c r="G292" s="836"/>
      <c r="H292" s="836"/>
      <c r="I292" s="836"/>
      <c r="J292" s="836">
        <v>1232</v>
      </c>
      <c r="K292" s="836">
        <v>2026</v>
      </c>
      <c r="L292" s="836">
        <v>1214</v>
      </c>
      <c r="M292" s="352" t="s">
        <v>25</v>
      </c>
    </row>
    <row r="293" spans="1:13" x14ac:dyDescent="0.25">
      <c r="A293" s="352">
        <v>292</v>
      </c>
      <c r="B293" s="614" t="s">
        <v>467</v>
      </c>
      <c r="C293" s="836">
        <v>3274</v>
      </c>
      <c r="D293" s="836">
        <v>1077</v>
      </c>
      <c r="E293" s="836">
        <v>1875</v>
      </c>
      <c r="F293" s="836">
        <v>3864</v>
      </c>
      <c r="G293" s="836"/>
      <c r="H293" s="836"/>
      <c r="I293" s="836"/>
      <c r="J293" s="836">
        <v>630</v>
      </c>
      <c r="K293" s="836">
        <v>1741</v>
      </c>
      <c r="L293" s="836">
        <v>903</v>
      </c>
      <c r="M293" s="352" t="s">
        <v>25</v>
      </c>
    </row>
    <row r="294" spans="1:13" x14ac:dyDescent="0.25">
      <c r="A294" s="352">
        <v>293</v>
      </c>
      <c r="B294" s="614" t="s">
        <v>468</v>
      </c>
      <c r="C294" s="836">
        <v>754</v>
      </c>
      <c r="D294" s="836">
        <v>189</v>
      </c>
      <c r="E294" s="836">
        <v>45</v>
      </c>
      <c r="F294" s="836">
        <v>325</v>
      </c>
      <c r="G294" s="836"/>
      <c r="H294" s="836"/>
      <c r="I294" s="836"/>
      <c r="J294" s="836">
        <v>427</v>
      </c>
      <c r="K294" s="836">
        <v>240</v>
      </c>
      <c r="L294" s="836">
        <v>87</v>
      </c>
      <c r="M294" s="352" t="s">
        <v>25</v>
      </c>
    </row>
    <row r="295" spans="1:13" x14ac:dyDescent="0.25">
      <c r="A295" s="352">
        <v>294</v>
      </c>
      <c r="B295" s="614" t="s">
        <v>462</v>
      </c>
      <c r="C295" s="836">
        <v>513</v>
      </c>
      <c r="D295" s="836">
        <v>109</v>
      </c>
      <c r="E295" s="836">
        <v>11</v>
      </c>
      <c r="F295" s="836">
        <v>346</v>
      </c>
      <c r="G295" s="836"/>
      <c r="H295" s="836"/>
      <c r="I295" s="836"/>
      <c r="J295" s="836">
        <v>270</v>
      </c>
      <c r="K295" s="836">
        <v>96</v>
      </c>
      <c r="L295" s="836">
        <v>147</v>
      </c>
      <c r="M295" s="352" t="s">
        <v>25</v>
      </c>
    </row>
    <row r="296" spans="1:13" x14ac:dyDescent="0.25">
      <c r="A296" s="352">
        <v>295</v>
      </c>
      <c r="B296" s="614" t="s">
        <v>465</v>
      </c>
      <c r="C296" s="836">
        <v>267</v>
      </c>
      <c r="D296" s="836">
        <v>414</v>
      </c>
      <c r="E296" s="836">
        <v>57</v>
      </c>
      <c r="F296" s="836">
        <v>529</v>
      </c>
      <c r="G296" s="836"/>
      <c r="H296" s="836"/>
      <c r="I296" s="836"/>
      <c r="J296" s="836">
        <v>18</v>
      </c>
      <c r="K296" s="836">
        <v>136</v>
      </c>
      <c r="L296" s="836">
        <v>113</v>
      </c>
      <c r="M296" s="352" t="s">
        <v>25</v>
      </c>
    </row>
    <row r="297" spans="1:13" x14ac:dyDescent="0.25">
      <c r="A297" s="352">
        <v>296</v>
      </c>
      <c r="B297" s="614" t="s">
        <v>461</v>
      </c>
      <c r="C297" s="836">
        <v>189</v>
      </c>
      <c r="D297" s="836">
        <v>406</v>
      </c>
      <c r="E297" s="836">
        <v>21</v>
      </c>
      <c r="F297" s="836">
        <v>45</v>
      </c>
      <c r="G297" s="836"/>
      <c r="H297" s="836"/>
      <c r="I297" s="836"/>
      <c r="J297" s="836">
        <v>62</v>
      </c>
      <c r="K297" s="836">
        <v>52</v>
      </c>
      <c r="L297" s="836">
        <v>75</v>
      </c>
      <c r="M297" s="352" t="s">
        <v>25</v>
      </c>
    </row>
    <row r="298" spans="1:13" x14ac:dyDescent="0.25">
      <c r="A298" s="352">
        <v>297</v>
      </c>
      <c r="B298" s="614" t="s">
        <v>466</v>
      </c>
      <c r="C298" s="836">
        <v>15</v>
      </c>
      <c r="D298" s="836">
        <v>467</v>
      </c>
      <c r="E298" s="836">
        <v>5</v>
      </c>
      <c r="F298" s="836">
        <v>19</v>
      </c>
      <c r="G298" s="836"/>
      <c r="H298" s="836"/>
      <c r="I298" s="836"/>
      <c r="J298" s="836"/>
      <c r="K298" s="836">
        <v>11</v>
      </c>
      <c r="L298" s="836">
        <v>4</v>
      </c>
      <c r="M298" s="352" t="s">
        <v>25</v>
      </c>
    </row>
    <row r="299" spans="1:13" x14ac:dyDescent="0.25">
      <c r="A299" s="352">
        <v>298</v>
      </c>
      <c r="B299" s="614" t="s">
        <v>460</v>
      </c>
      <c r="C299" s="836">
        <v>9</v>
      </c>
      <c r="D299" s="836">
        <v>250</v>
      </c>
      <c r="E299" s="836">
        <v>1</v>
      </c>
      <c r="F299" s="836">
        <v>16</v>
      </c>
      <c r="G299" s="836"/>
      <c r="H299" s="836"/>
      <c r="I299" s="836"/>
      <c r="J299" s="836"/>
      <c r="K299" s="836">
        <v>3</v>
      </c>
      <c r="L299" s="836">
        <v>6</v>
      </c>
      <c r="M299" s="352" t="s">
        <v>25</v>
      </c>
    </row>
    <row r="300" spans="1:13" x14ac:dyDescent="0.25">
      <c r="A300" s="352">
        <v>299</v>
      </c>
      <c r="B300" s="614" t="s">
        <v>464</v>
      </c>
      <c r="C300" s="836">
        <v>1</v>
      </c>
      <c r="D300" s="836"/>
      <c r="E300" s="836"/>
      <c r="F300" s="836">
        <v>2</v>
      </c>
      <c r="G300" s="836"/>
      <c r="H300" s="836"/>
      <c r="I300" s="836"/>
      <c r="J300" s="836">
        <v>1</v>
      </c>
      <c r="K300" s="836"/>
      <c r="L300" s="836"/>
      <c r="M300" s="352" t="s">
        <v>25</v>
      </c>
    </row>
    <row r="301" spans="1:13" x14ac:dyDescent="0.25">
      <c r="A301" s="352">
        <v>300</v>
      </c>
      <c r="B301" s="615" t="s">
        <v>469</v>
      </c>
      <c r="C301" s="837">
        <v>676</v>
      </c>
      <c r="D301" s="837">
        <v>822</v>
      </c>
      <c r="E301" s="837">
        <v>336</v>
      </c>
      <c r="F301" s="837">
        <v>774</v>
      </c>
      <c r="G301" s="837"/>
      <c r="H301" s="837"/>
      <c r="I301" s="837"/>
      <c r="J301" s="837">
        <v>40</v>
      </c>
      <c r="K301" s="837">
        <v>409</v>
      </c>
      <c r="L301" s="837">
        <v>227</v>
      </c>
      <c r="M301" s="352" t="s">
        <v>26</v>
      </c>
    </row>
    <row r="302" spans="1:13" x14ac:dyDescent="0.25">
      <c r="A302" s="352">
        <v>301</v>
      </c>
      <c r="B302" s="615" t="s">
        <v>471</v>
      </c>
      <c r="C302" s="837">
        <v>5456</v>
      </c>
      <c r="D302" s="837">
        <v>1147</v>
      </c>
      <c r="E302" s="837">
        <v>4754</v>
      </c>
      <c r="F302" s="837">
        <v>2560</v>
      </c>
      <c r="G302" s="837"/>
      <c r="H302" s="837"/>
      <c r="I302" s="837"/>
      <c r="J302" s="837">
        <v>632</v>
      </c>
      <c r="K302" s="837">
        <v>4145</v>
      </c>
      <c r="L302" s="837">
        <v>679</v>
      </c>
      <c r="M302" s="352" t="s">
        <v>26</v>
      </c>
    </row>
    <row r="303" spans="1:13" x14ac:dyDescent="0.25">
      <c r="A303" s="352">
        <v>302</v>
      </c>
      <c r="B303" s="615" t="s">
        <v>470</v>
      </c>
      <c r="C303" s="837">
        <v>3855</v>
      </c>
      <c r="D303" s="837">
        <v>200</v>
      </c>
      <c r="E303" s="837">
        <v>290</v>
      </c>
      <c r="F303" s="837">
        <v>4494</v>
      </c>
      <c r="G303" s="837"/>
      <c r="H303" s="837"/>
      <c r="I303" s="837"/>
      <c r="J303" s="837">
        <v>1805</v>
      </c>
      <c r="K303" s="837">
        <v>1452</v>
      </c>
      <c r="L303" s="837">
        <v>598</v>
      </c>
      <c r="M303" s="352" t="s">
        <v>26</v>
      </c>
    </row>
    <row r="304" spans="1:13" x14ac:dyDescent="0.25">
      <c r="A304" s="352">
        <v>303</v>
      </c>
      <c r="B304" s="615" t="s">
        <v>473</v>
      </c>
      <c r="C304" s="837">
        <v>5</v>
      </c>
      <c r="D304" s="837"/>
      <c r="E304" s="837"/>
      <c r="F304" s="837">
        <v>9</v>
      </c>
      <c r="G304" s="837"/>
      <c r="H304" s="837"/>
      <c r="I304" s="837"/>
      <c r="J304" s="837"/>
      <c r="K304" s="837">
        <v>3</v>
      </c>
      <c r="L304" s="837">
        <v>2</v>
      </c>
      <c r="M304" s="352" t="s">
        <v>26</v>
      </c>
    </row>
    <row r="305" spans="1:13" x14ac:dyDescent="0.25">
      <c r="A305" s="352">
        <v>304</v>
      </c>
      <c r="B305" s="615" t="s">
        <v>472</v>
      </c>
      <c r="C305" s="837"/>
      <c r="D305" s="837"/>
      <c r="E305" s="837"/>
      <c r="F305" s="837"/>
      <c r="G305" s="837"/>
      <c r="H305" s="837"/>
      <c r="I305" s="837"/>
      <c r="J305" s="837"/>
      <c r="K305" s="837"/>
      <c r="L305" s="837"/>
      <c r="M305" s="352" t="s">
        <v>26</v>
      </c>
    </row>
    <row r="306" spans="1:13" x14ac:dyDescent="0.25">
      <c r="A306" s="352">
        <v>305</v>
      </c>
      <c r="B306" s="593" t="s">
        <v>474</v>
      </c>
      <c r="C306" s="813">
        <v>47</v>
      </c>
      <c r="D306" s="813">
        <v>890</v>
      </c>
      <c r="E306" s="813">
        <v>21</v>
      </c>
      <c r="F306" s="813">
        <v>103</v>
      </c>
      <c r="G306" s="813"/>
      <c r="H306" s="813"/>
      <c r="I306" s="813"/>
      <c r="J306" s="813">
        <v>1</v>
      </c>
      <c r="K306" s="813">
        <v>24</v>
      </c>
      <c r="L306" s="813">
        <v>22</v>
      </c>
      <c r="M306" s="352" t="s">
        <v>27</v>
      </c>
    </row>
    <row r="307" spans="1:13" x14ac:dyDescent="0.25">
      <c r="A307" s="352">
        <v>306</v>
      </c>
      <c r="B307" s="593" t="s">
        <v>481</v>
      </c>
      <c r="C307" s="813">
        <v>5236</v>
      </c>
      <c r="D307" s="813">
        <v>328</v>
      </c>
      <c r="E307" s="813">
        <v>517</v>
      </c>
      <c r="F307" s="813">
        <v>7588</v>
      </c>
      <c r="G307" s="813"/>
      <c r="H307" s="813"/>
      <c r="I307" s="813"/>
      <c r="J307" s="813">
        <v>2790</v>
      </c>
      <c r="K307" s="813">
        <v>1576</v>
      </c>
      <c r="L307" s="813">
        <v>869</v>
      </c>
      <c r="M307" s="352" t="s">
        <v>27</v>
      </c>
    </row>
    <row r="308" spans="1:13" x14ac:dyDescent="0.25">
      <c r="A308" s="352">
        <v>307</v>
      </c>
      <c r="B308" s="593" t="s">
        <v>480</v>
      </c>
      <c r="C308" s="813">
        <v>5136</v>
      </c>
      <c r="D308" s="813">
        <v>643</v>
      </c>
      <c r="E308" s="813">
        <v>1487</v>
      </c>
      <c r="F308" s="813">
        <v>6012</v>
      </c>
      <c r="G308" s="813"/>
      <c r="H308" s="813"/>
      <c r="I308" s="813"/>
      <c r="J308" s="813">
        <v>2053</v>
      </c>
      <c r="K308" s="813">
        <v>2314</v>
      </c>
      <c r="L308" s="813">
        <v>770</v>
      </c>
      <c r="M308" s="352" t="s">
        <v>27</v>
      </c>
    </row>
    <row r="309" spans="1:13" x14ac:dyDescent="0.25">
      <c r="A309" s="352">
        <v>308</v>
      </c>
      <c r="B309" s="593" t="s">
        <v>479</v>
      </c>
      <c r="C309" s="813">
        <v>2075</v>
      </c>
      <c r="D309" s="813">
        <v>774</v>
      </c>
      <c r="E309" s="813">
        <v>356</v>
      </c>
      <c r="F309" s="813">
        <v>1998</v>
      </c>
      <c r="G309" s="813"/>
      <c r="H309" s="813"/>
      <c r="I309" s="813"/>
      <c r="J309" s="813">
        <v>778</v>
      </c>
      <c r="K309" s="813">
        <v>460</v>
      </c>
      <c r="L309" s="813">
        <v>837</v>
      </c>
      <c r="M309" s="352" t="s">
        <v>27</v>
      </c>
    </row>
    <row r="310" spans="1:13" x14ac:dyDescent="0.25">
      <c r="A310" s="352">
        <v>309</v>
      </c>
      <c r="B310" s="593" t="s">
        <v>478</v>
      </c>
      <c r="C310" s="813">
        <v>1857</v>
      </c>
      <c r="D310" s="813">
        <v>506</v>
      </c>
      <c r="E310" s="813">
        <v>441</v>
      </c>
      <c r="F310" s="813">
        <v>1981</v>
      </c>
      <c r="G310" s="813"/>
      <c r="H310" s="813"/>
      <c r="I310" s="813"/>
      <c r="J310" s="813">
        <v>696</v>
      </c>
      <c r="K310" s="813">
        <v>872</v>
      </c>
      <c r="L310" s="813">
        <v>289</v>
      </c>
      <c r="M310" s="352" t="s">
        <v>27</v>
      </c>
    </row>
    <row r="311" spans="1:13" x14ac:dyDescent="0.25">
      <c r="A311" s="352">
        <v>310</v>
      </c>
      <c r="B311" s="593" t="s">
        <v>475</v>
      </c>
      <c r="C311" s="813">
        <f>776+783</f>
        <v>1559</v>
      </c>
      <c r="D311" s="813">
        <f>1110+ 1763</f>
        <v>2873</v>
      </c>
      <c r="E311" s="813">
        <f>241+ 1153</f>
        <v>1394</v>
      </c>
      <c r="F311" s="813">
        <f>752+ 664</f>
        <v>1416</v>
      </c>
      <c r="G311" s="813"/>
      <c r="H311" s="813"/>
      <c r="I311" s="813"/>
      <c r="J311" s="813">
        <v>465</v>
      </c>
      <c r="K311" s="813">
        <f>217+654</f>
        <v>871</v>
      </c>
      <c r="L311" s="813">
        <f>94+129</f>
        <v>223</v>
      </c>
      <c r="M311" s="352" t="s">
        <v>27</v>
      </c>
    </row>
    <row r="312" spans="1:13" x14ac:dyDescent="0.25">
      <c r="A312" s="352">
        <v>311</v>
      </c>
      <c r="B312" s="593" t="s">
        <v>476</v>
      </c>
      <c r="C312" s="813">
        <f>502+292</f>
        <v>794</v>
      </c>
      <c r="D312" s="813">
        <f>1161+510</f>
        <v>1671</v>
      </c>
      <c r="E312" s="813">
        <f>90+149</f>
        <v>239</v>
      </c>
      <c r="F312" s="813">
        <f>125+43</f>
        <v>168</v>
      </c>
      <c r="G312" s="813"/>
      <c r="H312" s="813"/>
      <c r="I312" s="813"/>
      <c r="J312" s="813">
        <v>297</v>
      </c>
      <c r="K312" s="813">
        <f>77+292</f>
        <v>369</v>
      </c>
      <c r="L312" s="813">
        <v>127</v>
      </c>
      <c r="M312" s="352" t="s">
        <v>27</v>
      </c>
    </row>
    <row r="313" spans="1:13" x14ac:dyDescent="0.25">
      <c r="A313" s="352">
        <v>312</v>
      </c>
      <c r="B313" s="593" t="s">
        <v>488</v>
      </c>
      <c r="C313" s="813">
        <v>715</v>
      </c>
      <c r="D313" s="813">
        <v>404</v>
      </c>
      <c r="E313" s="813">
        <v>110</v>
      </c>
      <c r="F313" s="813">
        <v>941</v>
      </c>
      <c r="G313" s="813"/>
      <c r="H313" s="813"/>
      <c r="I313" s="813"/>
      <c r="J313" s="813">
        <v>354</v>
      </c>
      <c r="K313" s="813">
        <v>272</v>
      </c>
      <c r="L313" s="813">
        <v>89</v>
      </c>
      <c r="M313" s="352" t="s">
        <v>27</v>
      </c>
    </row>
    <row r="314" spans="1:13" x14ac:dyDescent="0.25">
      <c r="A314" s="352">
        <v>313</v>
      </c>
      <c r="B314" s="593" t="s">
        <v>477</v>
      </c>
      <c r="C314" s="813">
        <v>420</v>
      </c>
      <c r="D314" s="813">
        <v>306</v>
      </c>
      <c r="E314" s="813">
        <v>17</v>
      </c>
      <c r="F314" s="813">
        <v>453</v>
      </c>
      <c r="G314" s="813"/>
      <c r="H314" s="813"/>
      <c r="I314" s="813"/>
      <c r="J314" s="813">
        <v>269</v>
      </c>
      <c r="K314" s="813">
        <v>57</v>
      </c>
      <c r="L314" s="813">
        <v>94</v>
      </c>
      <c r="M314" s="352" t="s">
        <v>27</v>
      </c>
    </row>
    <row r="315" spans="1:13" x14ac:dyDescent="0.25">
      <c r="A315" s="352">
        <v>314</v>
      </c>
      <c r="B315" s="593" t="s">
        <v>483</v>
      </c>
      <c r="C315" s="813">
        <v>36</v>
      </c>
      <c r="D315" s="813"/>
      <c r="E315" s="813"/>
      <c r="F315" s="813">
        <v>203</v>
      </c>
      <c r="G315" s="813"/>
      <c r="H315" s="813"/>
      <c r="I315" s="813"/>
      <c r="J315" s="813">
        <v>36</v>
      </c>
      <c r="K315" s="813"/>
      <c r="L315" s="813"/>
      <c r="M315" s="352" t="s">
        <v>27</v>
      </c>
    </row>
    <row r="316" spans="1:13" x14ac:dyDescent="0.25">
      <c r="A316" s="352">
        <v>315</v>
      </c>
      <c r="B316" s="593" t="s">
        <v>486</v>
      </c>
      <c r="C316" s="813">
        <v>21</v>
      </c>
      <c r="D316" s="813"/>
      <c r="E316" s="813"/>
      <c r="F316" s="813">
        <v>12</v>
      </c>
      <c r="G316" s="813"/>
      <c r="H316" s="813"/>
      <c r="I316" s="813"/>
      <c r="J316" s="813">
        <v>14</v>
      </c>
      <c r="K316" s="813"/>
      <c r="L316" s="813">
        <v>8</v>
      </c>
      <c r="M316" s="352" t="s">
        <v>27</v>
      </c>
    </row>
    <row r="317" spans="1:13" x14ac:dyDescent="0.25">
      <c r="A317" s="352">
        <v>316</v>
      </c>
      <c r="B317" s="593" t="s">
        <v>482</v>
      </c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352" t="s">
        <v>27</v>
      </c>
    </row>
    <row r="318" spans="1:13" x14ac:dyDescent="0.25">
      <c r="A318" s="352">
        <v>317</v>
      </c>
      <c r="B318" s="593" t="s">
        <v>484</v>
      </c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352" t="s">
        <v>27</v>
      </c>
    </row>
    <row r="319" spans="1:13" x14ac:dyDescent="0.25">
      <c r="A319" s="352">
        <v>318</v>
      </c>
      <c r="B319" s="593" t="s">
        <v>485</v>
      </c>
      <c r="C319" s="813"/>
      <c r="D319" s="813"/>
      <c r="E319" s="813"/>
      <c r="F319" s="813"/>
      <c r="G319" s="813"/>
      <c r="H319" s="813"/>
      <c r="I319" s="813"/>
      <c r="J319" s="813"/>
      <c r="K319" s="813"/>
      <c r="L319" s="813"/>
      <c r="M319" s="352" t="s">
        <v>27</v>
      </c>
    </row>
    <row r="320" spans="1:13" x14ac:dyDescent="0.25">
      <c r="A320" s="352">
        <v>319</v>
      </c>
      <c r="B320" s="593" t="s">
        <v>487</v>
      </c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352" t="s">
        <v>27</v>
      </c>
    </row>
    <row r="321" spans="1:13" x14ac:dyDescent="0.25">
      <c r="A321" s="352">
        <v>320</v>
      </c>
      <c r="B321" s="616" t="s">
        <v>489</v>
      </c>
      <c r="C321" s="819">
        <v>2512</v>
      </c>
      <c r="D321" s="819">
        <v>1216</v>
      </c>
      <c r="E321" s="819">
        <v>501</v>
      </c>
      <c r="F321" s="819">
        <v>3592</v>
      </c>
      <c r="G321" s="819"/>
      <c r="H321" s="819"/>
      <c r="I321" s="819"/>
      <c r="J321" s="819">
        <v>1808</v>
      </c>
      <c r="K321" s="819">
        <v>412</v>
      </c>
      <c r="L321" s="819">
        <v>292</v>
      </c>
      <c r="M321" s="352" t="s">
        <v>28</v>
      </c>
    </row>
    <row r="322" spans="1:13" x14ac:dyDescent="0.25">
      <c r="A322" s="352">
        <v>321</v>
      </c>
      <c r="B322" s="616" t="s">
        <v>493</v>
      </c>
      <c r="C322" s="819">
        <v>4895</v>
      </c>
      <c r="D322" s="819">
        <v>812</v>
      </c>
      <c r="E322" s="819">
        <v>1686</v>
      </c>
      <c r="F322" s="819">
        <v>4995</v>
      </c>
      <c r="G322" s="819"/>
      <c r="H322" s="819"/>
      <c r="I322" s="819"/>
      <c r="J322" s="819">
        <v>1067</v>
      </c>
      <c r="K322" s="819">
        <v>2076</v>
      </c>
      <c r="L322" s="819">
        <v>1752</v>
      </c>
      <c r="M322" s="352" t="s">
        <v>28</v>
      </c>
    </row>
    <row r="323" spans="1:13" x14ac:dyDescent="0.25">
      <c r="A323" s="352">
        <v>322</v>
      </c>
      <c r="B323" s="616" t="s">
        <v>492</v>
      </c>
      <c r="C323" s="819">
        <v>3517</v>
      </c>
      <c r="D323" s="819">
        <v>767</v>
      </c>
      <c r="E323" s="819">
        <v>298</v>
      </c>
      <c r="F323" s="819">
        <v>2950</v>
      </c>
      <c r="G323" s="819"/>
      <c r="H323" s="819"/>
      <c r="I323" s="819"/>
      <c r="J323" s="819">
        <v>2691</v>
      </c>
      <c r="K323" s="819">
        <v>389</v>
      </c>
      <c r="L323" s="819">
        <v>437</v>
      </c>
      <c r="M323" s="352" t="s">
        <v>28</v>
      </c>
    </row>
    <row r="324" spans="1:13" x14ac:dyDescent="0.25">
      <c r="A324" s="352">
        <v>323</v>
      </c>
      <c r="B324" s="616" t="s">
        <v>490</v>
      </c>
      <c r="C324" s="819">
        <v>1766</v>
      </c>
      <c r="D324" s="819">
        <v>778</v>
      </c>
      <c r="E324" s="819">
        <v>313</v>
      </c>
      <c r="F324" s="819">
        <v>1860</v>
      </c>
      <c r="G324" s="819"/>
      <c r="H324" s="819"/>
      <c r="I324" s="819"/>
      <c r="J324" s="819">
        <v>1194</v>
      </c>
      <c r="K324" s="819">
        <v>402</v>
      </c>
      <c r="L324" s="819">
        <v>170</v>
      </c>
      <c r="M324" s="352" t="s">
        <v>28</v>
      </c>
    </row>
    <row r="325" spans="1:13" x14ac:dyDescent="0.25">
      <c r="A325" s="352">
        <v>324</v>
      </c>
      <c r="B325" s="616" t="s">
        <v>491</v>
      </c>
      <c r="C325" s="819">
        <v>1532</v>
      </c>
      <c r="D325" s="819">
        <v>843</v>
      </c>
      <c r="E325" s="819">
        <v>92</v>
      </c>
      <c r="F325" s="819">
        <v>1254</v>
      </c>
      <c r="G325" s="819"/>
      <c r="H325" s="819"/>
      <c r="I325" s="819"/>
      <c r="J325" s="819">
        <v>1296</v>
      </c>
      <c r="K325" s="819">
        <v>109</v>
      </c>
      <c r="L325" s="819">
        <v>127</v>
      </c>
      <c r="M325" s="352" t="s">
        <v>28</v>
      </c>
    </row>
    <row r="326" spans="1:13" x14ac:dyDescent="0.25">
      <c r="A326" s="352">
        <v>325</v>
      </c>
      <c r="B326" s="617" t="s">
        <v>494</v>
      </c>
      <c r="C326" s="818">
        <v>496</v>
      </c>
      <c r="D326" s="818">
        <v>893</v>
      </c>
      <c r="E326" s="818">
        <v>84</v>
      </c>
      <c r="F326" s="818">
        <v>441</v>
      </c>
      <c r="G326" s="818"/>
      <c r="H326" s="818"/>
      <c r="I326" s="818"/>
      <c r="J326" s="818">
        <v>366</v>
      </c>
      <c r="K326" s="818">
        <v>94</v>
      </c>
      <c r="L326" s="818">
        <v>36</v>
      </c>
      <c r="M326" s="352" t="s">
        <v>29</v>
      </c>
    </row>
    <row r="327" spans="1:13" x14ac:dyDescent="0.25">
      <c r="A327" s="352">
        <v>326</v>
      </c>
      <c r="B327" s="617" t="s">
        <v>497</v>
      </c>
      <c r="C327" s="818">
        <f>69711+ 2</f>
        <v>69713</v>
      </c>
      <c r="D327" s="818">
        <f>994+ 300</f>
        <v>1294</v>
      </c>
      <c r="E327" s="818">
        <f>54200+1</f>
        <v>54201</v>
      </c>
      <c r="F327" s="818">
        <f>38418+ 2</f>
        <v>38420</v>
      </c>
      <c r="G327" s="818"/>
      <c r="H327" s="818"/>
      <c r="I327" s="818"/>
      <c r="J327" s="818">
        <v>11623</v>
      </c>
      <c r="K327" s="818">
        <f>54517+2</f>
        <v>54519</v>
      </c>
      <c r="L327" s="818">
        <v>3571</v>
      </c>
      <c r="M327" s="352" t="s">
        <v>29</v>
      </c>
    </row>
    <row r="328" spans="1:13" x14ac:dyDescent="0.25">
      <c r="A328" s="352">
        <v>327</v>
      </c>
      <c r="B328" s="617" t="s">
        <v>500</v>
      </c>
      <c r="C328" s="818">
        <v>46467</v>
      </c>
      <c r="D328" s="818">
        <v>675</v>
      </c>
      <c r="E328" s="818">
        <v>15474</v>
      </c>
      <c r="F328" s="818">
        <v>19646</v>
      </c>
      <c r="G328" s="818"/>
      <c r="H328" s="818"/>
      <c r="I328" s="818"/>
      <c r="J328" s="818">
        <v>12386</v>
      </c>
      <c r="K328" s="818">
        <v>22934</v>
      </c>
      <c r="L328" s="818">
        <v>11147</v>
      </c>
      <c r="M328" s="352" t="s">
        <v>29</v>
      </c>
    </row>
    <row r="329" spans="1:13" x14ac:dyDescent="0.25">
      <c r="A329" s="352">
        <v>328</v>
      </c>
      <c r="B329" s="617" t="s">
        <v>498</v>
      </c>
      <c r="C329" s="818">
        <v>40689</v>
      </c>
      <c r="D329" s="818">
        <v>993</v>
      </c>
      <c r="E329" s="818">
        <v>26744</v>
      </c>
      <c r="F329" s="818">
        <v>39981</v>
      </c>
      <c r="G329" s="818"/>
      <c r="H329" s="818"/>
      <c r="I329" s="818"/>
      <c r="J329" s="818">
        <v>8112</v>
      </c>
      <c r="K329" s="818">
        <v>26925</v>
      </c>
      <c r="L329" s="818">
        <v>5652</v>
      </c>
      <c r="M329" s="352" t="s">
        <v>29</v>
      </c>
    </row>
    <row r="330" spans="1:13" x14ac:dyDescent="0.25">
      <c r="A330" s="352">
        <v>329</v>
      </c>
      <c r="B330" s="617" t="s">
        <v>495</v>
      </c>
      <c r="C330" s="818">
        <v>30394</v>
      </c>
      <c r="D330" s="818">
        <v>919</v>
      </c>
      <c r="E330" s="818">
        <v>17461</v>
      </c>
      <c r="F330" s="818">
        <v>23709</v>
      </c>
      <c r="G330" s="818"/>
      <c r="H330" s="818"/>
      <c r="I330" s="818"/>
      <c r="J330" s="818">
        <v>4479</v>
      </c>
      <c r="K330" s="818">
        <v>19002</v>
      </c>
      <c r="L330" s="818">
        <v>6913</v>
      </c>
      <c r="M330" s="352" t="s">
        <v>29</v>
      </c>
    </row>
    <row r="331" spans="1:13" x14ac:dyDescent="0.25">
      <c r="A331" s="352">
        <v>330</v>
      </c>
      <c r="B331" s="617" t="s">
        <v>496</v>
      </c>
      <c r="C331" s="818">
        <v>27645</v>
      </c>
      <c r="D331" s="818">
        <v>972</v>
      </c>
      <c r="E331" s="818">
        <v>15456</v>
      </c>
      <c r="F331" s="818">
        <v>11394</v>
      </c>
      <c r="G331" s="818"/>
      <c r="H331" s="818"/>
      <c r="I331" s="818"/>
      <c r="J331" s="818">
        <v>6143</v>
      </c>
      <c r="K331" s="818">
        <v>15905</v>
      </c>
      <c r="L331" s="818">
        <v>5597</v>
      </c>
      <c r="M331" s="352" t="s">
        <v>29</v>
      </c>
    </row>
    <row r="332" spans="1:13" x14ac:dyDescent="0.25">
      <c r="A332" s="352">
        <v>331</v>
      </c>
      <c r="B332" s="617" t="s">
        <v>502</v>
      </c>
      <c r="C332" s="818">
        <v>21263</v>
      </c>
      <c r="D332" s="818">
        <v>751</v>
      </c>
      <c r="E332" s="818">
        <v>7643</v>
      </c>
      <c r="F332" s="818">
        <v>15060</v>
      </c>
      <c r="G332" s="818"/>
      <c r="H332" s="818"/>
      <c r="I332" s="818"/>
      <c r="J332" s="818">
        <v>2389</v>
      </c>
      <c r="K332" s="818">
        <v>10174</v>
      </c>
      <c r="L332" s="818">
        <v>8700</v>
      </c>
      <c r="M332" s="352" t="s">
        <v>29</v>
      </c>
    </row>
    <row r="333" spans="1:13" x14ac:dyDescent="0.25">
      <c r="A333" s="352">
        <v>332</v>
      </c>
      <c r="B333" s="617" t="s">
        <v>505</v>
      </c>
      <c r="C333" s="818">
        <v>15150</v>
      </c>
      <c r="D333" s="818">
        <v>693</v>
      </c>
      <c r="E333" s="818">
        <v>5726</v>
      </c>
      <c r="F333" s="818">
        <v>7575</v>
      </c>
      <c r="G333" s="818"/>
      <c r="H333" s="818"/>
      <c r="I333" s="818"/>
      <c r="J333" s="818">
        <v>2756</v>
      </c>
      <c r="K333" s="818">
        <v>8259</v>
      </c>
      <c r="L333" s="818">
        <v>4135</v>
      </c>
      <c r="M333" s="352" t="s">
        <v>29</v>
      </c>
    </row>
    <row r="334" spans="1:13" x14ac:dyDescent="0.25">
      <c r="A334" s="352">
        <v>333</v>
      </c>
      <c r="B334" s="617" t="s">
        <v>504</v>
      </c>
      <c r="C334" s="818">
        <v>13856</v>
      </c>
      <c r="D334" s="818">
        <v>931</v>
      </c>
      <c r="E334" s="818">
        <v>6435</v>
      </c>
      <c r="F334" s="818">
        <v>8031</v>
      </c>
      <c r="G334" s="818"/>
      <c r="H334" s="818"/>
      <c r="I334" s="818"/>
      <c r="J334" s="818">
        <v>4030</v>
      </c>
      <c r="K334" s="818">
        <v>6911</v>
      </c>
      <c r="L334" s="818">
        <v>2915</v>
      </c>
      <c r="M334" s="352" t="s">
        <v>29</v>
      </c>
    </row>
    <row r="335" spans="1:13" x14ac:dyDescent="0.25">
      <c r="A335" s="352">
        <v>334</v>
      </c>
      <c r="B335" s="617" t="s">
        <v>503</v>
      </c>
      <c r="C335" s="818">
        <v>11578</v>
      </c>
      <c r="D335" s="818">
        <v>1135</v>
      </c>
      <c r="E335" s="818">
        <v>5421</v>
      </c>
      <c r="F335" s="818">
        <v>8835</v>
      </c>
      <c r="G335" s="818"/>
      <c r="H335" s="818"/>
      <c r="I335" s="818"/>
      <c r="J335" s="818">
        <v>4770</v>
      </c>
      <c r="K335" s="818">
        <v>4776</v>
      </c>
      <c r="L335" s="818">
        <v>2032</v>
      </c>
      <c r="M335" s="352" t="s">
        <v>29</v>
      </c>
    </row>
    <row r="336" spans="1:13" x14ac:dyDescent="0.25">
      <c r="A336" s="352">
        <v>335</v>
      </c>
      <c r="B336" s="617" t="s">
        <v>501</v>
      </c>
      <c r="C336" s="818">
        <v>7009</v>
      </c>
      <c r="D336" s="818">
        <v>695</v>
      </c>
      <c r="E336" s="818">
        <v>2372</v>
      </c>
      <c r="F336" s="818">
        <v>4763</v>
      </c>
      <c r="G336" s="818"/>
      <c r="H336" s="818"/>
      <c r="I336" s="818"/>
      <c r="J336" s="818">
        <v>1369</v>
      </c>
      <c r="K336" s="818">
        <v>3416</v>
      </c>
      <c r="L336" s="818">
        <v>2225</v>
      </c>
      <c r="M336" s="352" t="s">
        <v>29</v>
      </c>
    </row>
    <row r="337" spans="1:13" x14ac:dyDescent="0.25">
      <c r="A337" s="352">
        <v>336</v>
      </c>
      <c r="B337" s="617" t="s">
        <v>499</v>
      </c>
      <c r="C337" s="818">
        <v>6116</v>
      </c>
      <c r="D337" s="818">
        <v>951</v>
      </c>
      <c r="E337" s="818">
        <v>3965</v>
      </c>
      <c r="F337" s="818">
        <v>5692</v>
      </c>
      <c r="G337" s="818"/>
      <c r="H337" s="818"/>
      <c r="I337" s="818"/>
      <c r="J337" s="818">
        <v>1754</v>
      </c>
      <c r="K337" s="818">
        <v>4170</v>
      </c>
      <c r="L337" s="818">
        <v>192</v>
      </c>
      <c r="M337" s="352" t="s">
        <v>29</v>
      </c>
    </row>
    <row r="338" spans="1:13" x14ac:dyDescent="0.25">
      <c r="A338" s="352">
        <v>337</v>
      </c>
      <c r="B338" s="617" t="s">
        <v>506</v>
      </c>
      <c r="C338" s="818">
        <v>1071</v>
      </c>
      <c r="D338" s="818">
        <v>751</v>
      </c>
      <c r="E338" s="818">
        <v>485</v>
      </c>
      <c r="F338" s="818">
        <v>1175</v>
      </c>
      <c r="G338" s="818"/>
      <c r="H338" s="818"/>
      <c r="I338" s="818"/>
      <c r="J338" s="818">
        <v>210</v>
      </c>
      <c r="K338" s="818">
        <v>646</v>
      </c>
      <c r="L338" s="818">
        <v>215</v>
      </c>
      <c r="M338" s="352" t="s">
        <v>29</v>
      </c>
    </row>
    <row r="339" spans="1:13" x14ac:dyDescent="0.25">
      <c r="A339" s="352">
        <v>338</v>
      </c>
      <c r="B339" s="618" t="s">
        <v>507</v>
      </c>
      <c r="C339" s="838">
        <f>35226+550</f>
        <v>35776</v>
      </c>
      <c r="D339" s="838">
        <f>1018+ 2527</f>
        <v>3545</v>
      </c>
      <c r="E339" s="838">
        <f>22242+379</f>
        <v>22621</v>
      </c>
      <c r="F339" s="838">
        <f>30935+440</f>
        <v>31375</v>
      </c>
      <c r="G339" s="838"/>
      <c r="H339" s="838"/>
      <c r="I339" s="838"/>
      <c r="J339" s="838">
        <f>2415+100</f>
        <v>2515</v>
      </c>
      <c r="K339" s="838">
        <f>21858+150</f>
        <v>22008</v>
      </c>
      <c r="L339" s="838">
        <f>10953+300</f>
        <v>11253</v>
      </c>
      <c r="M339" s="352" t="s">
        <v>30</v>
      </c>
    </row>
    <row r="340" spans="1:13" x14ac:dyDescent="0.25">
      <c r="A340" s="352">
        <v>339</v>
      </c>
      <c r="B340" s="618" t="s">
        <v>508</v>
      </c>
      <c r="C340" s="838">
        <v>34252</v>
      </c>
      <c r="D340" s="838">
        <v>977</v>
      </c>
      <c r="E340" s="838">
        <v>17392</v>
      </c>
      <c r="F340" s="838">
        <v>23829</v>
      </c>
      <c r="G340" s="838"/>
      <c r="H340" s="838"/>
      <c r="I340" s="838"/>
      <c r="J340" s="838">
        <v>4017</v>
      </c>
      <c r="K340" s="838">
        <v>17809</v>
      </c>
      <c r="L340" s="838">
        <v>12426</v>
      </c>
      <c r="M340" s="352" t="s">
        <v>30</v>
      </c>
    </row>
    <row r="341" spans="1:13" x14ac:dyDescent="0.25">
      <c r="A341" s="352">
        <v>340</v>
      </c>
      <c r="B341" s="618" t="s">
        <v>509</v>
      </c>
      <c r="C341" s="838">
        <f>27822+ 2954</f>
        <v>30776</v>
      </c>
      <c r="D341" s="838">
        <f>756+300</f>
        <v>1056</v>
      </c>
      <c r="E341" s="838">
        <f>9742+480</f>
        <v>10222</v>
      </c>
      <c r="F341" s="838">
        <f>19925+ 2363</f>
        <v>22288</v>
      </c>
      <c r="G341" s="838"/>
      <c r="H341" s="838"/>
      <c r="I341" s="838"/>
      <c r="J341" s="838">
        <f>3493+1354</f>
        <v>4847</v>
      </c>
      <c r="K341" s="838">
        <f>12885+ 1600</f>
        <v>14485</v>
      </c>
      <c r="L341" s="838">
        <v>11444</v>
      </c>
      <c r="M341" s="352" t="s">
        <v>30</v>
      </c>
    </row>
    <row r="342" spans="1:13" x14ac:dyDescent="0.25">
      <c r="A342" s="352">
        <v>341</v>
      </c>
      <c r="B342" s="618" t="s">
        <v>513</v>
      </c>
      <c r="C342" s="838">
        <v>30705</v>
      </c>
      <c r="D342" s="838">
        <v>621</v>
      </c>
      <c r="E342" s="838">
        <v>13441</v>
      </c>
      <c r="F342" s="838">
        <v>40661</v>
      </c>
      <c r="G342" s="838"/>
      <c r="H342" s="838"/>
      <c r="I342" s="838"/>
      <c r="J342" s="838">
        <v>325</v>
      </c>
      <c r="K342" s="838">
        <v>21652</v>
      </c>
      <c r="L342" s="838">
        <v>8728</v>
      </c>
      <c r="M342" s="352" t="s">
        <v>30</v>
      </c>
    </row>
    <row r="343" spans="1:13" x14ac:dyDescent="0.25">
      <c r="A343" s="352">
        <v>342</v>
      </c>
      <c r="B343" s="618" t="s">
        <v>526</v>
      </c>
      <c r="C343" s="838">
        <f>20551+248</f>
        <v>20799</v>
      </c>
      <c r="D343" s="838">
        <f>916+533</f>
        <v>1449</v>
      </c>
      <c r="E343" s="838">
        <f>9842+114</f>
        <v>9956</v>
      </c>
      <c r="F343" s="838">
        <f>22789+198</f>
        <v>22987</v>
      </c>
      <c r="G343" s="838"/>
      <c r="H343" s="838"/>
      <c r="I343" s="838"/>
      <c r="J343" s="838">
        <v>1614</v>
      </c>
      <c r="K343" s="838">
        <f>10751+214</f>
        <v>10965</v>
      </c>
      <c r="L343" s="838">
        <f>8186+ 34</f>
        <v>8220</v>
      </c>
      <c r="M343" s="352" t="s">
        <v>30</v>
      </c>
    </row>
    <row r="344" spans="1:13" x14ac:dyDescent="0.25">
      <c r="A344" s="352">
        <v>343</v>
      </c>
      <c r="B344" s="618" t="s">
        <v>514</v>
      </c>
      <c r="C344" s="838">
        <v>18875</v>
      </c>
      <c r="D344" s="838">
        <v>803</v>
      </c>
      <c r="E344" s="838">
        <v>9481</v>
      </c>
      <c r="F344" s="838">
        <v>23830</v>
      </c>
      <c r="G344" s="838"/>
      <c r="H344" s="838"/>
      <c r="I344" s="838"/>
      <c r="J344" s="838">
        <v>2729</v>
      </c>
      <c r="K344" s="838">
        <v>11812</v>
      </c>
      <c r="L344" s="838">
        <v>4334</v>
      </c>
      <c r="M344" s="352" t="s">
        <v>30</v>
      </c>
    </row>
    <row r="345" spans="1:13" x14ac:dyDescent="0.25">
      <c r="A345" s="352">
        <v>344</v>
      </c>
      <c r="B345" s="618" t="s">
        <v>515</v>
      </c>
      <c r="C345" s="838">
        <f>15712+ 200</f>
        <v>15912</v>
      </c>
      <c r="D345" s="838">
        <f>775+256</f>
        <v>1031</v>
      </c>
      <c r="E345" s="838">
        <f>9148+ 50</f>
        <v>9198</v>
      </c>
      <c r="F345" s="838">
        <f>24408+160</f>
        <v>24568</v>
      </c>
      <c r="G345" s="838"/>
      <c r="H345" s="838"/>
      <c r="I345" s="838"/>
      <c r="J345" s="838">
        <v>689</v>
      </c>
      <c r="K345" s="838">
        <f>11800+195</f>
        <v>11995</v>
      </c>
      <c r="L345" s="838">
        <f>3223+ 5</f>
        <v>3228</v>
      </c>
      <c r="M345" s="352" t="s">
        <v>30</v>
      </c>
    </row>
    <row r="346" spans="1:13" x14ac:dyDescent="0.25">
      <c r="A346" s="352">
        <v>345</v>
      </c>
      <c r="B346" s="618" t="s">
        <v>516</v>
      </c>
      <c r="C346" s="838">
        <v>10490</v>
      </c>
      <c r="D346" s="838">
        <v>256</v>
      </c>
      <c r="E346" s="838">
        <v>1314</v>
      </c>
      <c r="F346" s="838">
        <v>12156</v>
      </c>
      <c r="G346" s="838"/>
      <c r="H346" s="838"/>
      <c r="I346" s="838"/>
      <c r="J346" s="838">
        <v>1154</v>
      </c>
      <c r="K346" s="838">
        <v>5144</v>
      </c>
      <c r="L346" s="838">
        <v>4192</v>
      </c>
      <c r="M346" s="352" t="s">
        <v>30</v>
      </c>
    </row>
    <row r="347" spans="1:13" x14ac:dyDescent="0.25">
      <c r="A347" s="352">
        <v>346</v>
      </c>
      <c r="B347" s="618" t="s">
        <v>528</v>
      </c>
      <c r="C347" s="838">
        <v>10013</v>
      </c>
      <c r="D347" s="838">
        <v>950</v>
      </c>
      <c r="E347" s="838">
        <v>5761</v>
      </c>
      <c r="F347" s="838">
        <v>12445</v>
      </c>
      <c r="G347" s="838"/>
      <c r="H347" s="838"/>
      <c r="I347" s="838"/>
      <c r="J347" s="838">
        <v>2300</v>
      </c>
      <c r="K347" s="838">
        <v>6064</v>
      </c>
      <c r="L347" s="838">
        <v>1649</v>
      </c>
      <c r="M347" s="352" t="s">
        <v>30</v>
      </c>
    </row>
    <row r="348" spans="1:13" x14ac:dyDescent="0.25">
      <c r="A348" s="352">
        <v>347</v>
      </c>
      <c r="B348" s="618" t="s">
        <v>527</v>
      </c>
      <c r="C348" s="838">
        <v>8262</v>
      </c>
      <c r="D348" s="838">
        <v>905</v>
      </c>
      <c r="E348" s="838">
        <v>5960</v>
      </c>
      <c r="F348" s="838">
        <v>7826</v>
      </c>
      <c r="G348" s="838"/>
      <c r="H348" s="838"/>
      <c r="I348" s="838"/>
      <c r="J348" s="838">
        <v>104</v>
      </c>
      <c r="K348" s="838">
        <v>6585</v>
      </c>
      <c r="L348" s="838">
        <v>1573</v>
      </c>
      <c r="M348" s="352" t="s">
        <v>30</v>
      </c>
    </row>
    <row r="349" spans="1:13" x14ac:dyDescent="0.25">
      <c r="A349" s="352">
        <v>348</v>
      </c>
      <c r="B349" s="618" t="s">
        <v>517</v>
      </c>
      <c r="C349" s="838">
        <v>8225</v>
      </c>
      <c r="D349" s="838">
        <v>830</v>
      </c>
      <c r="E349" s="838">
        <v>3998</v>
      </c>
      <c r="F349" s="838">
        <v>11272</v>
      </c>
      <c r="G349" s="838"/>
      <c r="H349" s="838"/>
      <c r="I349" s="838"/>
      <c r="J349" s="838">
        <v>2228</v>
      </c>
      <c r="K349" s="838">
        <v>4820</v>
      </c>
      <c r="L349" s="838">
        <v>1177</v>
      </c>
      <c r="M349" s="352" t="s">
        <v>30</v>
      </c>
    </row>
    <row r="350" spans="1:13" x14ac:dyDescent="0.25">
      <c r="A350" s="352">
        <v>349</v>
      </c>
      <c r="B350" s="618" t="s">
        <v>522</v>
      </c>
      <c r="C350" s="838">
        <v>6919</v>
      </c>
      <c r="D350" s="838">
        <v>709</v>
      </c>
      <c r="E350" s="838">
        <v>1750</v>
      </c>
      <c r="F350" s="838">
        <v>11145</v>
      </c>
      <c r="G350" s="838"/>
      <c r="H350" s="838"/>
      <c r="I350" s="838"/>
      <c r="J350" s="838">
        <v>1639</v>
      </c>
      <c r="K350" s="838">
        <v>2467</v>
      </c>
      <c r="L350" s="838">
        <v>2813</v>
      </c>
      <c r="M350" s="352" t="s">
        <v>30</v>
      </c>
    </row>
    <row r="351" spans="1:13" x14ac:dyDescent="0.25">
      <c r="A351" s="352">
        <v>350</v>
      </c>
      <c r="B351" s="618" t="s">
        <v>519</v>
      </c>
      <c r="C351" s="838">
        <v>5377</v>
      </c>
      <c r="D351" s="838">
        <v>610</v>
      </c>
      <c r="E351" s="838">
        <v>2332</v>
      </c>
      <c r="F351" s="838">
        <v>6432</v>
      </c>
      <c r="G351" s="838"/>
      <c r="H351" s="838"/>
      <c r="I351" s="838"/>
      <c r="J351" s="838">
        <v>708</v>
      </c>
      <c r="K351" s="838">
        <v>3824</v>
      </c>
      <c r="L351" s="838">
        <v>845</v>
      </c>
      <c r="M351" s="352" t="s">
        <v>30</v>
      </c>
    </row>
    <row r="352" spans="1:13" x14ac:dyDescent="0.25">
      <c r="A352" s="352">
        <v>351</v>
      </c>
      <c r="B352" s="618" t="s">
        <v>511</v>
      </c>
      <c r="C352" s="838">
        <v>4209</v>
      </c>
      <c r="D352" s="838">
        <v>504</v>
      </c>
      <c r="E352" s="838">
        <v>1061</v>
      </c>
      <c r="F352" s="838">
        <v>14150</v>
      </c>
      <c r="G352" s="838"/>
      <c r="H352" s="838"/>
      <c r="I352" s="838"/>
      <c r="J352" s="838">
        <v>905</v>
      </c>
      <c r="K352" s="838">
        <v>2105</v>
      </c>
      <c r="L352" s="838">
        <v>1199</v>
      </c>
      <c r="M352" s="352" t="s">
        <v>30</v>
      </c>
    </row>
    <row r="353" spans="1:13" x14ac:dyDescent="0.25">
      <c r="A353" s="352">
        <v>352</v>
      </c>
      <c r="B353" s="618" t="s">
        <v>510</v>
      </c>
      <c r="C353" s="838">
        <v>3224</v>
      </c>
      <c r="D353" s="838">
        <v>649</v>
      </c>
      <c r="E353" s="838">
        <v>1482</v>
      </c>
      <c r="F353" s="838">
        <v>2151</v>
      </c>
      <c r="G353" s="838"/>
      <c r="H353" s="838"/>
      <c r="I353" s="838"/>
      <c r="J353" s="838">
        <v>211</v>
      </c>
      <c r="K353" s="838">
        <v>2284</v>
      </c>
      <c r="L353" s="838">
        <v>729</v>
      </c>
      <c r="M353" s="352" t="s">
        <v>30</v>
      </c>
    </row>
    <row r="354" spans="1:13" x14ac:dyDescent="0.25">
      <c r="A354" s="352">
        <v>353</v>
      </c>
      <c r="B354" s="618" t="s">
        <v>512</v>
      </c>
      <c r="C354" s="838">
        <v>2582</v>
      </c>
      <c r="D354" s="838">
        <v>870</v>
      </c>
      <c r="E354" s="838">
        <v>1174</v>
      </c>
      <c r="F354" s="838">
        <v>8549</v>
      </c>
      <c r="G354" s="838"/>
      <c r="H354" s="838"/>
      <c r="I354" s="838"/>
      <c r="J354" s="838">
        <v>686</v>
      </c>
      <c r="K354" s="838">
        <v>1350</v>
      </c>
      <c r="L354" s="838">
        <v>546</v>
      </c>
      <c r="M354" s="352" t="s">
        <v>30</v>
      </c>
    </row>
    <row r="355" spans="1:13" x14ac:dyDescent="0.25">
      <c r="A355" s="352">
        <v>354</v>
      </c>
      <c r="B355" s="618" t="s">
        <v>523</v>
      </c>
      <c r="C355" s="838">
        <v>1721</v>
      </c>
      <c r="D355" s="838">
        <v>563</v>
      </c>
      <c r="E355" s="838">
        <v>586</v>
      </c>
      <c r="F355" s="838">
        <v>2305</v>
      </c>
      <c r="G355" s="838"/>
      <c r="H355" s="838"/>
      <c r="I355" s="838"/>
      <c r="J355" s="838">
        <v>410</v>
      </c>
      <c r="K355" s="838">
        <v>1040</v>
      </c>
      <c r="L355" s="838">
        <v>271</v>
      </c>
      <c r="M355" s="352" t="s">
        <v>30</v>
      </c>
    </row>
    <row r="356" spans="1:13" x14ac:dyDescent="0.25">
      <c r="A356" s="352">
        <v>355</v>
      </c>
      <c r="B356" s="618" t="s">
        <v>525</v>
      </c>
      <c r="C356" s="838">
        <v>936</v>
      </c>
      <c r="D356" s="838">
        <v>629</v>
      </c>
      <c r="E356" s="838">
        <v>405</v>
      </c>
      <c r="F356" s="838">
        <v>1213</v>
      </c>
      <c r="G356" s="838"/>
      <c r="H356" s="838"/>
      <c r="I356" s="838"/>
      <c r="J356" s="838">
        <v>90</v>
      </c>
      <c r="K356" s="838">
        <v>643</v>
      </c>
      <c r="L356" s="838">
        <v>203</v>
      </c>
      <c r="M356" s="352" t="s">
        <v>30</v>
      </c>
    </row>
    <row r="357" spans="1:13" x14ac:dyDescent="0.25">
      <c r="A357" s="352">
        <v>356</v>
      </c>
      <c r="B357" s="618" t="s">
        <v>518</v>
      </c>
      <c r="C357" s="838">
        <v>682</v>
      </c>
      <c r="D357" s="838">
        <v>391</v>
      </c>
      <c r="E357" s="838">
        <v>124</v>
      </c>
      <c r="F357" s="838">
        <v>1444</v>
      </c>
      <c r="G357" s="838"/>
      <c r="H357" s="838"/>
      <c r="I357" s="838"/>
      <c r="J357" s="838">
        <v>212</v>
      </c>
      <c r="K357" s="838">
        <v>316</v>
      </c>
      <c r="L357" s="838">
        <v>154</v>
      </c>
      <c r="M357" s="352" t="s">
        <v>30</v>
      </c>
    </row>
    <row r="358" spans="1:13" x14ac:dyDescent="0.25">
      <c r="A358" s="352">
        <v>357</v>
      </c>
      <c r="B358" s="618" t="s">
        <v>524</v>
      </c>
      <c r="C358" s="838">
        <v>292</v>
      </c>
      <c r="D358" s="838">
        <v>321</v>
      </c>
      <c r="E358" s="838">
        <v>41</v>
      </c>
      <c r="F358" s="838">
        <v>698</v>
      </c>
      <c r="G358" s="838"/>
      <c r="H358" s="838"/>
      <c r="I358" s="838"/>
      <c r="J358" s="838">
        <v>103</v>
      </c>
      <c r="K358" s="838">
        <v>128</v>
      </c>
      <c r="L358" s="838">
        <v>61</v>
      </c>
      <c r="M358" s="352" t="s">
        <v>30</v>
      </c>
    </row>
    <row r="359" spans="1:13" x14ac:dyDescent="0.25">
      <c r="A359" s="352">
        <v>358</v>
      </c>
      <c r="B359" s="618" t="s">
        <v>520</v>
      </c>
      <c r="C359" s="838">
        <v>103</v>
      </c>
      <c r="D359" s="838">
        <v>134</v>
      </c>
      <c r="E359" s="838">
        <v>9</v>
      </c>
      <c r="F359" s="838">
        <v>281</v>
      </c>
      <c r="G359" s="838"/>
      <c r="H359" s="838"/>
      <c r="I359" s="838"/>
      <c r="J359" s="838">
        <v>2</v>
      </c>
      <c r="K359" s="838">
        <v>67</v>
      </c>
      <c r="L359" s="838">
        <v>34</v>
      </c>
      <c r="M359" s="352" t="s">
        <v>30</v>
      </c>
    </row>
    <row r="360" spans="1:13" x14ac:dyDescent="0.25">
      <c r="A360" s="352">
        <v>359</v>
      </c>
      <c r="B360" s="618" t="s">
        <v>521</v>
      </c>
      <c r="C360" s="838">
        <v>45</v>
      </c>
      <c r="D360" s="838">
        <v>650</v>
      </c>
      <c r="E360" s="838">
        <v>21</v>
      </c>
      <c r="F360" s="838">
        <v>181</v>
      </c>
      <c r="G360" s="838"/>
      <c r="H360" s="838"/>
      <c r="I360" s="838"/>
      <c r="J360" s="838">
        <v>4</v>
      </c>
      <c r="K360" s="838">
        <v>33</v>
      </c>
      <c r="L360" s="838">
        <v>8</v>
      </c>
      <c r="M360" s="352" t="s">
        <v>30</v>
      </c>
    </row>
    <row r="361" spans="1:13" x14ac:dyDescent="0.25">
      <c r="A361" s="352">
        <v>360</v>
      </c>
      <c r="B361" s="619" t="s">
        <v>529</v>
      </c>
      <c r="C361" s="829">
        <v>49389</v>
      </c>
      <c r="D361" s="829">
        <v>909</v>
      </c>
      <c r="E361" s="829">
        <v>25996</v>
      </c>
      <c r="F361" s="829">
        <v>46822</v>
      </c>
      <c r="G361" s="829"/>
      <c r="H361" s="829"/>
      <c r="I361" s="829"/>
      <c r="J361" s="829">
        <v>8684</v>
      </c>
      <c r="K361" s="829">
        <v>28608</v>
      </c>
      <c r="L361" s="829">
        <v>12098</v>
      </c>
      <c r="M361" s="352" t="s">
        <v>31</v>
      </c>
    </row>
    <row r="362" spans="1:13" x14ac:dyDescent="0.25">
      <c r="A362" s="352">
        <v>361</v>
      </c>
      <c r="B362" s="619" t="s">
        <v>532</v>
      </c>
      <c r="C362" s="829">
        <v>43942</v>
      </c>
      <c r="D362" s="829">
        <v>867</v>
      </c>
      <c r="E362" s="829">
        <v>17614</v>
      </c>
      <c r="F362" s="829">
        <v>34623</v>
      </c>
      <c r="G362" s="829"/>
      <c r="H362" s="829"/>
      <c r="I362" s="829"/>
      <c r="J362" s="829">
        <v>5688</v>
      </c>
      <c r="K362" s="829">
        <v>20322</v>
      </c>
      <c r="L362" s="829">
        <v>17932</v>
      </c>
      <c r="M362" s="352" t="s">
        <v>31</v>
      </c>
    </row>
    <row r="363" spans="1:13" x14ac:dyDescent="0.25">
      <c r="A363" s="352">
        <v>362</v>
      </c>
      <c r="B363" s="619" t="s">
        <v>530</v>
      </c>
      <c r="C363" s="829">
        <v>23213</v>
      </c>
      <c r="D363" s="829">
        <v>771</v>
      </c>
      <c r="E363" s="829">
        <v>7571</v>
      </c>
      <c r="F363" s="829">
        <v>18950</v>
      </c>
      <c r="G363" s="829"/>
      <c r="H363" s="829"/>
      <c r="I363" s="829"/>
      <c r="J363" s="829">
        <v>5881</v>
      </c>
      <c r="K363" s="829">
        <v>9820</v>
      </c>
      <c r="L363" s="829">
        <v>7512</v>
      </c>
      <c r="M363" s="352" t="s">
        <v>31</v>
      </c>
    </row>
    <row r="364" spans="1:13" x14ac:dyDescent="0.25">
      <c r="A364" s="352">
        <v>363</v>
      </c>
      <c r="B364" s="619" t="s">
        <v>534</v>
      </c>
      <c r="C364" s="829">
        <v>19847</v>
      </c>
      <c r="D364" s="829">
        <v>774</v>
      </c>
      <c r="E364" s="829">
        <v>7269</v>
      </c>
      <c r="F364" s="829">
        <v>14798</v>
      </c>
      <c r="G364" s="829"/>
      <c r="H364" s="829"/>
      <c r="I364" s="829"/>
      <c r="J364" s="829">
        <v>2370</v>
      </c>
      <c r="K364" s="829">
        <v>9388</v>
      </c>
      <c r="L364" s="829">
        <v>8089</v>
      </c>
      <c r="M364" s="352" t="s">
        <v>31</v>
      </c>
    </row>
    <row r="365" spans="1:13" x14ac:dyDescent="0.25">
      <c r="A365" s="352">
        <v>364</v>
      </c>
      <c r="B365" s="619" t="s">
        <v>533</v>
      </c>
      <c r="C365" s="829">
        <v>18383</v>
      </c>
      <c r="D365" s="829">
        <v>788</v>
      </c>
      <c r="E365" s="829">
        <v>7523</v>
      </c>
      <c r="F365" s="829">
        <v>16218</v>
      </c>
      <c r="G365" s="829"/>
      <c r="H365" s="829"/>
      <c r="I365" s="829"/>
      <c r="J365" s="829">
        <v>2046</v>
      </c>
      <c r="K365" s="829">
        <v>9546</v>
      </c>
      <c r="L365" s="829">
        <v>6792</v>
      </c>
      <c r="M365" s="352" t="s">
        <v>31</v>
      </c>
    </row>
    <row r="366" spans="1:13" x14ac:dyDescent="0.25">
      <c r="A366" s="352">
        <v>365</v>
      </c>
      <c r="B366" s="619" t="s">
        <v>531</v>
      </c>
      <c r="C366" s="829">
        <v>13617</v>
      </c>
      <c r="D366" s="829">
        <v>908</v>
      </c>
      <c r="E366" s="829">
        <v>6064</v>
      </c>
      <c r="F366" s="829">
        <v>11620</v>
      </c>
      <c r="G366" s="829"/>
      <c r="H366" s="829"/>
      <c r="I366" s="829"/>
      <c r="J366" s="829">
        <v>1663</v>
      </c>
      <c r="K366" s="829">
        <v>6675</v>
      </c>
      <c r="L366" s="829">
        <v>5279</v>
      </c>
      <c r="M366" s="352" t="s">
        <v>31</v>
      </c>
    </row>
    <row r="367" spans="1:13" x14ac:dyDescent="0.25">
      <c r="A367" s="352">
        <v>366</v>
      </c>
      <c r="B367" s="617" t="s">
        <v>535</v>
      </c>
      <c r="C367" s="818">
        <v>16088</v>
      </c>
      <c r="D367" s="818">
        <v>913</v>
      </c>
      <c r="E367" s="818">
        <v>7877</v>
      </c>
      <c r="F367" s="818">
        <v>17993</v>
      </c>
      <c r="G367" s="818"/>
      <c r="H367" s="818"/>
      <c r="I367" s="818"/>
      <c r="J367" s="818">
        <v>3931</v>
      </c>
      <c r="K367" s="818">
        <v>8626</v>
      </c>
      <c r="L367" s="818">
        <v>3531</v>
      </c>
      <c r="M367" s="352" t="s">
        <v>32</v>
      </c>
    </row>
    <row r="368" spans="1:13" x14ac:dyDescent="0.25">
      <c r="A368" s="352">
        <v>367</v>
      </c>
      <c r="B368" s="617" t="s">
        <v>544</v>
      </c>
      <c r="C368" s="818">
        <v>79564</v>
      </c>
      <c r="D368" s="818">
        <v>1005</v>
      </c>
      <c r="E368" s="818">
        <v>58625</v>
      </c>
      <c r="F368" s="818">
        <v>26325</v>
      </c>
      <c r="G368" s="818"/>
      <c r="H368" s="818"/>
      <c r="I368" s="818"/>
      <c r="J368" s="818">
        <v>1121</v>
      </c>
      <c r="K368" s="818">
        <v>58332</v>
      </c>
      <c r="L368" s="818">
        <v>20111</v>
      </c>
      <c r="M368" s="352" t="s">
        <v>32</v>
      </c>
    </row>
    <row r="369" spans="1:13" x14ac:dyDescent="0.25">
      <c r="A369" s="352">
        <v>368</v>
      </c>
      <c r="B369" s="617" t="s">
        <v>547</v>
      </c>
      <c r="C369" s="818">
        <v>67212</v>
      </c>
      <c r="D369" s="818">
        <v>774</v>
      </c>
      <c r="E369" s="818">
        <v>25769</v>
      </c>
      <c r="F369" s="818">
        <v>27421</v>
      </c>
      <c r="G369" s="818"/>
      <c r="H369" s="818"/>
      <c r="I369" s="818"/>
      <c r="J369" s="818">
        <v>13449</v>
      </c>
      <c r="K369" s="818">
        <v>33306</v>
      </c>
      <c r="L369" s="818">
        <v>20456</v>
      </c>
      <c r="M369" s="352" t="s">
        <v>32</v>
      </c>
    </row>
    <row r="370" spans="1:13" x14ac:dyDescent="0.25">
      <c r="A370" s="352">
        <v>369</v>
      </c>
      <c r="B370" s="617" t="s">
        <v>536</v>
      </c>
      <c r="C370" s="818">
        <v>29754</v>
      </c>
      <c r="D370" s="818">
        <v>593</v>
      </c>
      <c r="E370" s="818">
        <v>7558</v>
      </c>
      <c r="F370" s="818">
        <v>21149</v>
      </c>
      <c r="G370" s="818"/>
      <c r="H370" s="818"/>
      <c r="I370" s="818"/>
      <c r="J370" s="818">
        <v>5245</v>
      </c>
      <c r="K370" s="818">
        <v>12748</v>
      </c>
      <c r="L370" s="818">
        <v>11762</v>
      </c>
      <c r="M370" s="352" t="s">
        <v>32</v>
      </c>
    </row>
    <row r="371" spans="1:13" x14ac:dyDescent="0.25">
      <c r="A371" s="352">
        <v>370</v>
      </c>
      <c r="B371" s="617" t="s">
        <v>541</v>
      </c>
      <c r="C371" s="818">
        <v>20316</v>
      </c>
      <c r="D371" s="818">
        <v>587</v>
      </c>
      <c r="E371" s="818">
        <v>7005</v>
      </c>
      <c r="F371" s="818">
        <v>24098</v>
      </c>
      <c r="G371" s="818"/>
      <c r="H371" s="818"/>
      <c r="I371" s="818"/>
      <c r="J371" s="818">
        <v>4864</v>
      </c>
      <c r="K371" s="818">
        <v>11937</v>
      </c>
      <c r="L371" s="818">
        <v>3515</v>
      </c>
      <c r="M371" s="352" t="s">
        <v>32</v>
      </c>
    </row>
    <row r="372" spans="1:13" x14ac:dyDescent="0.25">
      <c r="A372" s="352">
        <v>371</v>
      </c>
      <c r="B372" s="617" t="s">
        <v>537</v>
      </c>
      <c r="C372" s="818">
        <v>15533</v>
      </c>
      <c r="D372" s="818">
        <v>1238</v>
      </c>
      <c r="E372" s="818">
        <v>9925</v>
      </c>
      <c r="F372" s="818">
        <v>22896</v>
      </c>
      <c r="G372" s="818"/>
      <c r="H372" s="818"/>
      <c r="I372" s="818"/>
      <c r="J372" s="818">
        <v>5103</v>
      </c>
      <c r="K372" s="818">
        <v>8015</v>
      </c>
      <c r="L372" s="818">
        <v>2415</v>
      </c>
      <c r="M372" s="352" t="s">
        <v>32</v>
      </c>
    </row>
    <row r="373" spans="1:13" x14ac:dyDescent="0.25">
      <c r="A373" s="352">
        <v>372</v>
      </c>
      <c r="B373" s="617" t="s">
        <v>542</v>
      </c>
      <c r="C373" s="818">
        <v>10245</v>
      </c>
      <c r="D373" s="818">
        <v>800</v>
      </c>
      <c r="E373" s="818">
        <v>4739</v>
      </c>
      <c r="F373" s="818">
        <v>5520</v>
      </c>
      <c r="G373" s="818"/>
      <c r="H373" s="818"/>
      <c r="I373" s="818"/>
      <c r="J373" s="818">
        <v>1950</v>
      </c>
      <c r="K373" s="818">
        <v>5924</v>
      </c>
      <c r="L373" s="818">
        <v>2371</v>
      </c>
      <c r="M373" s="352" t="s">
        <v>32</v>
      </c>
    </row>
    <row r="374" spans="1:13" x14ac:dyDescent="0.25">
      <c r="A374" s="352">
        <v>373</v>
      </c>
      <c r="B374" s="617" t="s">
        <v>545</v>
      </c>
      <c r="C374" s="818">
        <v>4269</v>
      </c>
      <c r="D374" s="818">
        <v>212</v>
      </c>
      <c r="E374" s="818">
        <v>457</v>
      </c>
      <c r="F374" s="818">
        <v>4518</v>
      </c>
      <c r="G374" s="818"/>
      <c r="H374" s="818"/>
      <c r="I374" s="818"/>
      <c r="J374" s="818">
        <v>1198</v>
      </c>
      <c r="K374" s="818">
        <v>2151</v>
      </c>
      <c r="L374" s="818">
        <v>920</v>
      </c>
      <c r="M374" s="352" t="s">
        <v>32</v>
      </c>
    </row>
    <row r="375" spans="1:13" x14ac:dyDescent="0.25">
      <c r="A375" s="352">
        <v>374</v>
      </c>
      <c r="B375" s="617" t="s">
        <v>548</v>
      </c>
      <c r="C375" s="818">
        <v>3574</v>
      </c>
      <c r="D375" s="818">
        <v>804</v>
      </c>
      <c r="E375" s="818">
        <v>2038</v>
      </c>
      <c r="F375" s="818">
        <v>3860</v>
      </c>
      <c r="G375" s="818"/>
      <c r="H375" s="818"/>
      <c r="I375" s="818"/>
      <c r="J375" s="818">
        <v>269</v>
      </c>
      <c r="K375" s="818">
        <v>2535</v>
      </c>
      <c r="L375" s="818">
        <v>770</v>
      </c>
      <c r="M375" s="352" t="s">
        <v>32</v>
      </c>
    </row>
    <row r="376" spans="1:13" x14ac:dyDescent="0.25">
      <c r="A376" s="352">
        <v>375</v>
      </c>
      <c r="B376" s="617" t="s">
        <v>538</v>
      </c>
      <c r="C376" s="818">
        <v>3369</v>
      </c>
      <c r="D376" s="818">
        <v>336</v>
      </c>
      <c r="E376" s="818">
        <v>557</v>
      </c>
      <c r="F376" s="818">
        <v>5492</v>
      </c>
      <c r="G376" s="818"/>
      <c r="H376" s="818"/>
      <c r="I376" s="818"/>
      <c r="J376" s="818">
        <v>910</v>
      </c>
      <c r="K376" s="818">
        <v>1658</v>
      </c>
      <c r="L376" s="818">
        <v>800</v>
      </c>
      <c r="M376" s="352" t="s">
        <v>32</v>
      </c>
    </row>
    <row r="377" spans="1:13" x14ac:dyDescent="0.25">
      <c r="A377" s="352">
        <v>376</v>
      </c>
      <c r="B377" s="617" t="s">
        <v>546</v>
      </c>
      <c r="C377" s="818">
        <v>3207</v>
      </c>
      <c r="D377" s="818">
        <v>188</v>
      </c>
      <c r="E377" s="818">
        <v>216</v>
      </c>
      <c r="F377" s="818">
        <v>4092</v>
      </c>
      <c r="G377" s="818"/>
      <c r="H377" s="818"/>
      <c r="I377" s="818"/>
      <c r="J377" s="818">
        <v>210</v>
      </c>
      <c r="K377" s="818">
        <v>1151</v>
      </c>
      <c r="L377" s="818">
        <v>1846</v>
      </c>
      <c r="M377" s="352" t="s">
        <v>32</v>
      </c>
    </row>
    <row r="378" spans="1:13" x14ac:dyDescent="0.25">
      <c r="A378" s="352">
        <v>377</v>
      </c>
      <c r="B378" s="617" t="s">
        <v>539</v>
      </c>
      <c r="C378" s="818">
        <v>761</v>
      </c>
      <c r="D378" s="818">
        <v>735</v>
      </c>
      <c r="E378" s="818">
        <v>265</v>
      </c>
      <c r="F378" s="818">
        <v>1306</v>
      </c>
      <c r="G378" s="818"/>
      <c r="H378" s="818"/>
      <c r="I378" s="818"/>
      <c r="J378" s="818">
        <v>175</v>
      </c>
      <c r="K378" s="818">
        <v>360</v>
      </c>
      <c r="L378" s="818">
        <v>226</v>
      </c>
      <c r="M378" s="352" t="s">
        <v>32</v>
      </c>
    </row>
    <row r="379" spans="1:13" x14ac:dyDescent="0.25">
      <c r="A379" s="352">
        <v>378</v>
      </c>
      <c r="B379" s="617" t="s">
        <v>540</v>
      </c>
      <c r="C379" s="818">
        <v>170</v>
      </c>
      <c r="D379" s="818">
        <v>284</v>
      </c>
      <c r="E379" s="818">
        <v>29</v>
      </c>
      <c r="F379" s="818">
        <v>294</v>
      </c>
      <c r="G379" s="818"/>
      <c r="H379" s="818"/>
      <c r="I379" s="818"/>
      <c r="J379" s="818">
        <v>20</v>
      </c>
      <c r="K379" s="818">
        <v>101</v>
      </c>
      <c r="L379" s="818">
        <v>48</v>
      </c>
      <c r="M379" s="352" t="s">
        <v>32</v>
      </c>
    </row>
    <row r="380" spans="1:13" x14ac:dyDescent="0.25">
      <c r="A380" s="352">
        <v>379</v>
      </c>
      <c r="B380" s="617" t="s">
        <v>543</v>
      </c>
      <c r="C380" s="818">
        <v>47</v>
      </c>
      <c r="D380" s="818">
        <v>597</v>
      </c>
      <c r="E380" s="818">
        <v>18</v>
      </c>
      <c r="F380" s="818">
        <v>231</v>
      </c>
      <c r="G380" s="818"/>
      <c r="H380" s="818"/>
      <c r="I380" s="818"/>
      <c r="J380" s="818">
        <v>2</v>
      </c>
      <c r="K380" s="818">
        <v>30</v>
      </c>
      <c r="L380" s="818">
        <v>16</v>
      </c>
      <c r="M380" s="352" t="s">
        <v>32</v>
      </c>
    </row>
    <row r="381" spans="1:13" x14ac:dyDescent="0.25">
      <c r="A381" s="352">
        <v>380</v>
      </c>
      <c r="B381" s="620" t="s">
        <v>549</v>
      </c>
      <c r="C381" s="839">
        <v>38</v>
      </c>
      <c r="D381" s="839">
        <v>130</v>
      </c>
      <c r="E381" s="839">
        <v>2</v>
      </c>
      <c r="F381" s="839">
        <v>115</v>
      </c>
      <c r="G381" s="839"/>
      <c r="H381" s="839"/>
      <c r="I381" s="839"/>
      <c r="J381" s="839">
        <v>10</v>
      </c>
      <c r="K381" s="839">
        <v>17</v>
      </c>
      <c r="L381" s="839">
        <v>11</v>
      </c>
      <c r="M381" s="352" t="s">
        <v>33</v>
      </c>
    </row>
    <row r="382" spans="1:13" x14ac:dyDescent="0.25">
      <c r="A382" s="352">
        <v>381</v>
      </c>
      <c r="B382" s="620" t="s">
        <v>554</v>
      </c>
      <c r="C382" s="839">
        <f>11220+2053+ 1190</f>
        <v>14463</v>
      </c>
      <c r="D382" s="839">
        <f>307+516+ 246</f>
        <v>1069</v>
      </c>
      <c r="E382" s="839">
        <f>1681+1060+ 150</f>
        <v>2891</v>
      </c>
      <c r="F382" s="839">
        <f>13880+2400+ 952</f>
        <v>17232</v>
      </c>
      <c r="G382" s="839"/>
      <c r="H382" s="839"/>
      <c r="I382" s="839"/>
      <c r="J382" s="839">
        <v>1220</v>
      </c>
      <c r="K382" s="839">
        <f>5472+2053+ 610</f>
        <v>8135</v>
      </c>
      <c r="L382" s="839">
        <f>4529+580</f>
        <v>5109</v>
      </c>
      <c r="M382" s="352" t="s">
        <v>33</v>
      </c>
    </row>
    <row r="383" spans="1:13" x14ac:dyDescent="0.25">
      <c r="A383" s="352">
        <v>382</v>
      </c>
      <c r="B383" s="620" t="s">
        <v>557</v>
      </c>
      <c r="C383" s="839">
        <v>5118</v>
      </c>
      <c r="D383" s="839">
        <v>716</v>
      </c>
      <c r="E383" s="839">
        <v>1201</v>
      </c>
      <c r="F383" s="839">
        <v>3884</v>
      </c>
      <c r="G383" s="839"/>
      <c r="H383" s="839"/>
      <c r="I383" s="839"/>
      <c r="J383" s="839">
        <v>2781</v>
      </c>
      <c r="K383" s="839">
        <v>1678</v>
      </c>
      <c r="L383" s="839">
        <v>659</v>
      </c>
      <c r="M383" s="352" t="s">
        <v>33</v>
      </c>
    </row>
    <row r="384" spans="1:13" x14ac:dyDescent="0.25">
      <c r="A384" s="352">
        <v>383</v>
      </c>
      <c r="B384" s="620" t="s">
        <v>556</v>
      </c>
      <c r="C384" s="839">
        <v>4687</v>
      </c>
      <c r="D384" s="839">
        <v>953</v>
      </c>
      <c r="E384" s="839">
        <v>3051</v>
      </c>
      <c r="F384" s="839">
        <v>8367</v>
      </c>
      <c r="G384" s="839"/>
      <c r="H384" s="839"/>
      <c r="I384" s="839"/>
      <c r="J384" s="839">
        <v>996</v>
      </c>
      <c r="K384" s="839">
        <v>3201</v>
      </c>
      <c r="L384" s="839">
        <v>490</v>
      </c>
      <c r="M384" s="352" t="s">
        <v>33</v>
      </c>
    </row>
    <row r="385" spans="1:13" x14ac:dyDescent="0.25">
      <c r="A385" s="352">
        <v>384</v>
      </c>
      <c r="B385" s="620" t="s">
        <v>558</v>
      </c>
      <c r="C385" s="839">
        <v>4165</v>
      </c>
      <c r="D385" s="839">
        <v>943</v>
      </c>
      <c r="E385" s="839">
        <v>2355</v>
      </c>
      <c r="F385" s="839">
        <v>2771</v>
      </c>
      <c r="G385" s="839"/>
      <c r="H385" s="839"/>
      <c r="I385" s="839"/>
      <c r="J385" s="839">
        <v>655</v>
      </c>
      <c r="K385" s="839">
        <v>2498</v>
      </c>
      <c r="L385" s="839">
        <v>1012</v>
      </c>
      <c r="M385" s="352" t="s">
        <v>33</v>
      </c>
    </row>
    <row r="386" spans="1:13" x14ac:dyDescent="0.25">
      <c r="A386" s="352">
        <v>385</v>
      </c>
      <c r="B386" s="620" t="s">
        <v>555</v>
      </c>
      <c r="C386" s="839">
        <v>1071</v>
      </c>
      <c r="D386" s="839">
        <v>42</v>
      </c>
      <c r="E386" s="839">
        <v>24</v>
      </c>
      <c r="F386" s="839">
        <v>4583</v>
      </c>
      <c r="G386" s="839"/>
      <c r="H386" s="839"/>
      <c r="I386" s="839"/>
      <c r="J386" s="839">
        <v>180</v>
      </c>
      <c r="K386" s="839">
        <v>574</v>
      </c>
      <c r="L386" s="839">
        <v>317</v>
      </c>
      <c r="M386" s="352" t="s">
        <v>33</v>
      </c>
    </row>
    <row r="387" spans="1:13" x14ac:dyDescent="0.25">
      <c r="A387" s="352">
        <v>386</v>
      </c>
      <c r="B387" s="620" t="s">
        <v>559</v>
      </c>
      <c r="C387" s="839">
        <v>508</v>
      </c>
      <c r="D387" s="839">
        <v>873</v>
      </c>
      <c r="E387" s="839">
        <v>147</v>
      </c>
      <c r="F387" s="839">
        <v>370</v>
      </c>
      <c r="G387" s="839"/>
      <c r="H387" s="839"/>
      <c r="I387" s="839"/>
      <c r="J387" s="839">
        <v>124</v>
      </c>
      <c r="K387" s="839">
        <v>168</v>
      </c>
      <c r="L387" s="839">
        <v>216</v>
      </c>
      <c r="M387" s="352" t="s">
        <v>33</v>
      </c>
    </row>
    <row r="388" spans="1:13" x14ac:dyDescent="0.25">
      <c r="A388" s="352">
        <v>387</v>
      </c>
      <c r="B388" s="620" t="s">
        <v>550</v>
      </c>
      <c r="C388" s="839">
        <v>71</v>
      </c>
      <c r="D388" s="839">
        <v>435</v>
      </c>
      <c r="E388" s="839">
        <v>4</v>
      </c>
      <c r="F388" s="839">
        <v>105</v>
      </c>
      <c r="G388" s="839"/>
      <c r="H388" s="839"/>
      <c r="I388" s="839"/>
      <c r="J388" s="839">
        <v>58</v>
      </c>
      <c r="K388" s="839">
        <v>10</v>
      </c>
      <c r="L388" s="839">
        <v>3</v>
      </c>
      <c r="M388" s="352" t="s">
        <v>33</v>
      </c>
    </row>
    <row r="389" spans="1:13" x14ac:dyDescent="0.25">
      <c r="A389" s="352">
        <v>388</v>
      </c>
      <c r="B389" s="620" t="s">
        <v>551</v>
      </c>
      <c r="C389" s="839"/>
      <c r="D389" s="839"/>
      <c r="E389" s="839"/>
      <c r="F389" s="839"/>
      <c r="G389" s="839"/>
      <c r="H389" s="839"/>
      <c r="I389" s="839"/>
      <c r="J389" s="839"/>
      <c r="K389" s="839"/>
      <c r="L389" s="839"/>
      <c r="M389" s="352" t="s">
        <v>33</v>
      </c>
    </row>
    <row r="390" spans="1:13" x14ac:dyDescent="0.25">
      <c r="A390" s="352">
        <v>389</v>
      </c>
      <c r="B390" s="620" t="s">
        <v>552</v>
      </c>
      <c r="C390" s="839"/>
      <c r="D390" s="839"/>
      <c r="E390" s="839"/>
      <c r="F390" s="839"/>
      <c r="G390" s="839"/>
      <c r="H390" s="839"/>
      <c r="I390" s="839"/>
      <c r="J390" s="839"/>
      <c r="K390" s="839"/>
      <c r="L390" s="839"/>
      <c r="M390" s="352" t="s">
        <v>33</v>
      </c>
    </row>
    <row r="391" spans="1:13" x14ac:dyDescent="0.25">
      <c r="A391" s="352">
        <v>390</v>
      </c>
      <c r="B391" s="620" t="s">
        <v>553</v>
      </c>
      <c r="C391" s="839"/>
      <c r="D391" s="839"/>
      <c r="E391" s="839"/>
      <c r="F391" s="839"/>
      <c r="G391" s="839"/>
      <c r="H391" s="839"/>
      <c r="I391" s="839"/>
      <c r="J391" s="839"/>
      <c r="K391" s="839"/>
      <c r="L391" s="839"/>
      <c r="M391" s="352" t="s">
        <v>33</v>
      </c>
    </row>
    <row r="392" spans="1:13" x14ac:dyDescent="0.25">
      <c r="A392" s="352">
        <v>391</v>
      </c>
      <c r="B392" s="621" t="s">
        <v>560</v>
      </c>
      <c r="C392" s="840">
        <v>5940</v>
      </c>
      <c r="D392" s="840">
        <v>790</v>
      </c>
      <c r="E392" s="840">
        <v>2168</v>
      </c>
      <c r="F392" s="840">
        <v>6625</v>
      </c>
      <c r="G392" s="840"/>
      <c r="H392" s="840"/>
      <c r="I392" s="840"/>
      <c r="J392" s="840">
        <v>1667</v>
      </c>
      <c r="K392" s="840">
        <v>2744</v>
      </c>
      <c r="L392" s="840">
        <v>1529</v>
      </c>
      <c r="M392" s="352" t="s">
        <v>34</v>
      </c>
    </row>
    <row r="393" spans="1:13" x14ac:dyDescent="0.25">
      <c r="A393" s="352">
        <v>392</v>
      </c>
      <c r="B393" s="621" t="s">
        <v>566</v>
      </c>
      <c r="C393" s="840">
        <v>6951</v>
      </c>
      <c r="D393" s="840">
        <v>777</v>
      </c>
      <c r="E393" s="840">
        <v>2685</v>
      </c>
      <c r="F393" s="840">
        <v>3288</v>
      </c>
      <c r="G393" s="840"/>
      <c r="H393" s="840"/>
      <c r="I393" s="840"/>
      <c r="J393" s="840">
        <v>1723</v>
      </c>
      <c r="K393" s="840">
        <v>3455</v>
      </c>
      <c r="L393" s="840">
        <v>1773</v>
      </c>
      <c r="M393" s="352" t="s">
        <v>34</v>
      </c>
    </row>
    <row r="394" spans="1:13" x14ac:dyDescent="0.25">
      <c r="A394" s="352">
        <v>393</v>
      </c>
      <c r="B394" s="621" t="s">
        <v>569</v>
      </c>
      <c r="C394" s="840">
        <v>6099</v>
      </c>
      <c r="D394" s="840">
        <v>793</v>
      </c>
      <c r="E394" s="840">
        <v>2108</v>
      </c>
      <c r="F394" s="840">
        <v>2287</v>
      </c>
      <c r="G394" s="840"/>
      <c r="H394" s="840"/>
      <c r="I394" s="840"/>
      <c r="J394" s="840">
        <v>2053</v>
      </c>
      <c r="K394" s="840">
        <v>2660</v>
      </c>
      <c r="L394" s="840">
        <v>1386</v>
      </c>
      <c r="M394" s="352" t="s">
        <v>34</v>
      </c>
    </row>
    <row r="395" spans="1:13" x14ac:dyDescent="0.25">
      <c r="A395" s="352">
        <v>394</v>
      </c>
      <c r="B395" s="621" t="s">
        <v>564</v>
      </c>
      <c r="C395" s="840">
        <v>4210</v>
      </c>
      <c r="D395" s="840">
        <v>700</v>
      </c>
      <c r="E395" s="840">
        <v>1372</v>
      </c>
      <c r="F395" s="840">
        <v>2889</v>
      </c>
      <c r="G395" s="840"/>
      <c r="H395" s="840"/>
      <c r="I395" s="840"/>
      <c r="J395" s="840">
        <v>1224</v>
      </c>
      <c r="K395" s="840">
        <v>1960</v>
      </c>
      <c r="L395" s="840">
        <v>1026</v>
      </c>
      <c r="M395" s="352" t="s">
        <v>34</v>
      </c>
    </row>
    <row r="396" spans="1:13" x14ac:dyDescent="0.25">
      <c r="A396" s="352">
        <v>395</v>
      </c>
      <c r="B396" s="621" t="s">
        <v>562</v>
      </c>
      <c r="C396" s="840">
        <v>4120</v>
      </c>
      <c r="D396" s="840">
        <v>835</v>
      </c>
      <c r="E396" s="840">
        <v>1491</v>
      </c>
      <c r="F396" s="840">
        <v>3458</v>
      </c>
      <c r="G396" s="840"/>
      <c r="H396" s="840"/>
      <c r="I396" s="840"/>
      <c r="J396" s="840">
        <v>1651</v>
      </c>
      <c r="K396" s="840">
        <v>1785</v>
      </c>
      <c r="L396" s="840">
        <v>684</v>
      </c>
      <c r="M396" s="352" t="s">
        <v>34</v>
      </c>
    </row>
    <row r="397" spans="1:13" x14ac:dyDescent="0.25">
      <c r="A397" s="352">
        <v>396</v>
      </c>
      <c r="B397" s="621" t="s">
        <v>565</v>
      </c>
      <c r="C397" s="840">
        <v>3436</v>
      </c>
      <c r="D397" s="840">
        <v>193</v>
      </c>
      <c r="E397" s="840">
        <v>322</v>
      </c>
      <c r="F397" s="840">
        <v>2695</v>
      </c>
      <c r="G397" s="840"/>
      <c r="H397" s="840"/>
      <c r="I397" s="840"/>
      <c r="J397" s="840">
        <v>930</v>
      </c>
      <c r="K397" s="840">
        <v>1668</v>
      </c>
      <c r="L397" s="840">
        <v>838</v>
      </c>
      <c r="M397" s="352" t="s">
        <v>34</v>
      </c>
    </row>
    <row r="398" spans="1:13" x14ac:dyDescent="0.25">
      <c r="A398" s="352">
        <v>397</v>
      </c>
      <c r="B398" s="621" t="s">
        <v>561</v>
      </c>
      <c r="C398" s="840">
        <v>1298</v>
      </c>
      <c r="D398" s="840">
        <v>200</v>
      </c>
      <c r="E398" s="840">
        <v>79</v>
      </c>
      <c r="F398" s="840">
        <v>2617</v>
      </c>
      <c r="G398" s="840"/>
      <c r="H398" s="840"/>
      <c r="I398" s="840"/>
      <c r="J398" s="840">
        <v>572</v>
      </c>
      <c r="K398" s="840">
        <v>395</v>
      </c>
      <c r="L398" s="840">
        <v>331</v>
      </c>
      <c r="M398" s="352" t="s">
        <v>34</v>
      </c>
    </row>
    <row r="399" spans="1:13" x14ac:dyDescent="0.25">
      <c r="A399" s="352">
        <v>398</v>
      </c>
      <c r="B399" s="621" t="s">
        <v>567</v>
      </c>
      <c r="C399" s="840">
        <v>484</v>
      </c>
      <c r="D399" s="840">
        <v>193</v>
      </c>
      <c r="E399" s="840">
        <v>51</v>
      </c>
      <c r="F399" s="840">
        <v>757</v>
      </c>
      <c r="G399" s="840"/>
      <c r="H399" s="840"/>
      <c r="I399" s="840"/>
      <c r="J399" s="840">
        <v>61</v>
      </c>
      <c r="K399" s="840">
        <v>265</v>
      </c>
      <c r="L399" s="840">
        <v>158</v>
      </c>
      <c r="M399" s="352" t="s">
        <v>34</v>
      </c>
    </row>
    <row r="400" spans="1:13" x14ac:dyDescent="0.25">
      <c r="A400" s="352">
        <v>399</v>
      </c>
      <c r="B400" s="621" t="s">
        <v>563</v>
      </c>
      <c r="C400" s="840">
        <v>437</v>
      </c>
      <c r="D400" s="840">
        <v>374</v>
      </c>
      <c r="E400" s="840">
        <v>96</v>
      </c>
      <c r="F400" s="840">
        <v>693</v>
      </c>
      <c r="G400" s="840"/>
      <c r="H400" s="840"/>
      <c r="I400" s="840"/>
      <c r="J400" s="840">
        <v>97</v>
      </c>
      <c r="K400" s="840">
        <v>256</v>
      </c>
      <c r="L400" s="840">
        <v>84</v>
      </c>
      <c r="M400" s="352" t="s">
        <v>34</v>
      </c>
    </row>
    <row r="401" spans="1:13" x14ac:dyDescent="0.25">
      <c r="A401" s="352">
        <v>400</v>
      </c>
      <c r="B401" s="621" t="s">
        <v>568</v>
      </c>
      <c r="C401" s="840">
        <v>27</v>
      </c>
      <c r="D401" s="840">
        <v>552</v>
      </c>
      <c r="E401" s="840">
        <v>7</v>
      </c>
      <c r="F401" s="840">
        <v>25</v>
      </c>
      <c r="G401" s="840"/>
      <c r="H401" s="840"/>
      <c r="I401" s="840"/>
      <c r="J401" s="840">
        <v>5</v>
      </c>
      <c r="K401" s="840">
        <v>13</v>
      </c>
      <c r="L401" s="840">
        <v>8</v>
      </c>
      <c r="M401" s="352" t="s">
        <v>34</v>
      </c>
    </row>
    <row r="402" spans="1:13" x14ac:dyDescent="0.25">
      <c r="A402" s="352">
        <v>401</v>
      </c>
      <c r="B402" s="622" t="s">
        <v>570</v>
      </c>
      <c r="C402" s="799">
        <f>14204+ 5000</f>
        <v>19204</v>
      </c>
      <c r="D402" s="799">
        <f>671+335</f>
        <v>1006</v>
      </c>
      <c r="E402" s="799">
        <f>3944+1675</f>
        <v>5619</v>
      </c>
      <c r="F402" s="799">
        <f>14112+4000</f>
        <v>18112</v>
      </c>
      <c r="G402" s="799"/>
      <c r="H402" s="799"/>
      <c r="I402" s="799"/>
      <c r="J402" s="799">
        <v>5741</v>
      </c>
      <c r="K402" s="799">
        <f>5879+5000</f>
        <v>10879</v>
      </c>
      <c r="L402" s="799">
        <v>2584</v>
      </c>
      <c r="M402" s="352" t="s">
        <v>35</v>
      </c>
    </row>
    <row r="403" spans="1:13" x14ac:dyDescent="0.25">
      <c r="A403" s="352">
        <v>402</v>
      </c>
      <c r="B403" s="622" t="s">
        <v>571</v>
      </c>
      <c r="C403" s="799">
        <v>8058</v>
      </c>
      <c r="D403" s="799">
        <v>305</v>
      </c>
      <c r="E403" s="799">
        <v>1401</v>
      </c>
      <c r="F403" s="799">
        <v>6060</v>
      </c>
      <c r="G403" s="799"/>
      <c r="H403" s="799"/>
      <c r="I403" s="799"/>
      <c r="J403" s="799">
        <v>1283</v>
      </c>
      <c r="K403" s="799">
        <v>4592</v>
      </c>
      <c r="L403" s="799">
        <v>2183</v>
      </c>
      <c r="M403" s="352" t="s">
        <v>35</v>
      </c>
    </row>
    <row r="404" spans="1:13" x14ac:dyDescent="0.25">
      <c r="A404" s="352">
        <v>403</v>
      </c>
      <c r="B404" s="622" t="s">
        <v>572</v>
      </c>
      <c r="C404" s="799">
        <v>3220</v>
      </c>
      <c r="D404" s="799">
        <v>765</v>
      </c>
      <c r="E404" s="799">
        <v>584</v>
      </c>
      <c r="F404" s="799">
        <v>3308</v>
      </c>
      <c r="G404" s="799"/>
      <c r="H404" s="799"/>
      <c r="I404" s="799"/>
      <c r="J404" s="799">
        <v>635</v>
      </c>
      <c r="K404" s="799">
        <v>763</v>
      </c>
      <c r="L404" s="799">
        <v>1822</v>
      </c>
      <c r="M404" s="352" t="s">
        <v>35</v>
      </c>
    </row>
    <row r="405" spans="1:13" x14ac:dyDescent="0.25">
      <c r="A405" s="352">
        <v>404</v>
      </c>
      <c r="B405" s="622" t="s">
        <v>579</v>
      </c>
      <c r="C405" s="799">
        <v>2823</v>
      </c>
      <c r="D405" s="799">
        <v>395</v>
      </c>
      <c r="E405" s="799">
        <v>434</v>
      </c>
      <c r="F405" s="799">
        <v>2652</v>
      </c>
      <c r="G405" s="799"/>
      <c r="H405" s="799"/>
      <c r="I405" s="799"/>
      <c r="J405" s="799">
        <v>579</v>
      </c>
      <c r="K405" s="799">
        <v>1100</v>
      </c>
      <c r="L405" s="799">
        <v>1144</v>
      </c>
      <c r="M405" s="352" t="s">
        <v>35</v>
      </c>
    </row>
    <row r="406" spans="1:13" x14ac:dyDescent="0.25">
      <c r="A406" s="352">
        <v>405</v>
      </c>
      <c r="B406" s="622" t="s">
        <v>577</v>
      </c>
      <c r="C406" s="799">
        <v>2746</v>
      </c>
      <c r="D406" s="799">
        <v>1535</v>
      </c>
      <c r="E406" s="799">
        <v>234</v>
      </c>
      <c r="F406" s="799">
        <v>2583</v>
      </c>
      <c r="G406" s="799"/>
      <c r="H406" s="799"/>
      <c r="I406" s="799"/>
      <c r="J406" s="799">
        <v>718</v>
      </c>
      <c r="K406" s="799">
        <v>152</v>
      </c>
      <c r="L406" s="799">
        <v>1876</v>
      </c>
      <c r="M406" s="352" t="s">
        <v>35</v>
      </c>
    </row>
    <row r="407" spans="1:13" x14ac:dyDescent="0.25">
      <c r="A407" s="352">
        <v>406</v>
      </c>
      <c r="B407" s="622" t="s">
        <v>578</v>
      </c>
      <c r="C407" s="799">
        <v>980</v>
      </c>
      <c r="D407" s="799">
        <v>608</v>
      </c>
      <c r="E407" s="799">
        <v>243</v>
      </c>
      <c r="F407" s="799">
        <v>490</v>
      </c>
      <c r="G407" s="799"/>
      <c r="H407" s="799"/>
      <c r="I407" s="799"/>
      <c r="J407" s="799">
        <v>450</v>
      </c>
      <c r="K407" s="799">
        <v>399</v>
      </c>
      <c r="L407" s="799">
        <v>131</v>
      </c>
      <c r="M407" s="352" t="s">
        <v>35</v>
      </c>
    </row>
    <row r="408" spans="1:13" x14ac:dyDescent="0.25">
      <c r="A408" s="352">
        <v>407</v>
      </c>
      <c r="B408" s="622" t="s">
        <v>582</v>
      </c>
      <c r="C408" s="799">
        <v>955</v>
      </c>
      <c r="D408" s="799">
        <v>664</v>
      </c>
      <c r="E408" s="799">
        <v>375</v>
      </c>
      <c r="F408" s="799">
        <v>476</v>
      </c>
      <c r="G408" s="799"/>
      <c r="H408" s="799"/>
      <c r="I408" s="799"/>
      <c r="J408" s="799">
        <v>200</v>
      </c>
      <c r="K408" s="799">
        <v>565</v>
      </c>
      <c r="L408" s="799">
        <v>190</v>
      </c>
      <c r="M408" s="352" t="s">
        <v>35</v>
      </c>
    </row>
    <row r="409" spans="1:13" x14ac:dyDescent="0.25">
      <c r="A409" s="352">
        <v>408</v>
      </c>
      <c r="B409" s="622" t="s">
        <v>580</v>
      </c>
      <c r="C409" s="799">
        <v>446</v>
      </c>
      <c r="D409" s="799">
        <v>372</v>
      </c>
      <c r="E409" s="799">
        <v>36</v>
      </c>
      <c r="F409" s="799">
        <v>223</v>
      </c>
      <c r="G409" s="799"/>
      <c r="H409" s="799"/>
      <c r="I409" s="799"/>
      <c r="J409" s="799">
        <v>87</v>
      </c>
      <c r="K409" s="799">
        <v>97</v>
      </c>
      <c r="L409" s="799">
        <v>262</v>
      </c>
      <c r="M409" s="352" t="s">
        <v>35</v>
      </c>
    </row>
    <row r="410" spans="1:13" x14ac:dyDescent="0.25">
      <c r="A410" s="352">
        <v>409</v>
      </c>
      <c r="B410" s="622" t="s">
        <v>583</v>
      </c>
      <c r="C410" s="799">
        <v>73</v>
      </c>
      <c r="D410" s="799">
        <v>10</v>
      </c>
      <c r="E410" s="799">
        <v>0</v>
      </c>
      <c r="F410" s="799">
        <v>73</v>
      </c>
      <c r="G410" s="799"/>
      <c r="H410" s="799"/>
      <c r="I410" s="799"/>
      <c r="J410" s="799">
        <v>10</v>
      </c>
      <c r="K410" s="799">
        <v>38</v>
      </c>
      <c r="L410" s="799">
        <v>25</v>
      </c>
      <c r="M410" s="352" t="s">
        <v>35</v>
      </c>
    </row>
    <row r="411" spans="1:13" x14ac:dyDescent="0.25">
      <c r="A411" s="352">
        <v>410</v>
      </c>
      <c r="B411" s="622" t="s">
        <v>575</v>
      </c>
      <c r="C411" s="799">
        <v>41</v>
      </c>
      <c r="D411" s="799">
        <v>154</v>
      </c>
      <c r="E411" s="799">
        <v>3</v>
      </c>
      <c r="F411" s="799">
        <v>21</v>
      </c>
      <c r="G411" s="799"/>
      <c r="H411" s="799"/>
      <c r="I411" s="799"/>
      <c r="J411" s="799"/>
      <c r="K411" s="799">
        <v>20</v>
      </c>
      <c r="L411" s="799">
        <v>21</v>
      </c>
      <c r="M411" s="352" t="s">
        <v>35</v>
      </c>
    </row>
    <row r="412" spans="1:13" x14ac:dyDescent="0.25">
      <c r="A412" s="352">
        <v>411</v>
      </c>
      <c r="B412" s="622" t="s">
        <v>574</v>
      </c>
      <c r="C412" s="799">
        <v>31</v>
      </c>
      <c r="D412" s="799">
        <v>545</v>
      </c>
      <c r="E412" s="799">
        <v>5</v>
      </c>
      <c r="F412" s="799">
        <v>28</v>
      </c>
      <c r="G412" s="799"/>
      <c r="H412" s="799"/>
      <c r="I412" s="799"/>
      <c r="J412" s="799">
        <v>10</v>
      </c>
      <c r="K412" s="799">
        <v>8</v>
      </c>
      <c r="L412" s="799">
        <v>13</v>
      </c>
      <c r="M412" s="352" t="s">
        <v>35</v>
      </c>
    </row>
    <row r="413" spans="1:13" x14ac:dyDescent="0.25">
      <c r="A413" s="352">
        <v>412</v>
      </c>
      <c r="B413" s="622" t="s">
        <v>581</v>
      </c>
      <c r="C413" s="799">
        <v>13</v>
      </c>
      <c r="D413" s="799">
        <v>833</v>
      </c>
      <c r="E413" s="799">
        <v>4</v>
      </c>
      <c r="F413" s="799">
        <v>7</v>
      </c>
      <c r="G413" s="799"/>
      <c r="H413" s="799"/>
      <c r="I413" s="799"/>
      <c r="J413" s="799">
        <v>5</v>
      </c>
      <c r="K413" s="799">
        <v>5</v>
      </c>
      <c r="L413" s="799">
        <v>3</v>
      </c>
      <c r="M413" s="352" t="s">
        <v>35</v>
      </c>
    </row>
    <row r="414" spans="1:13" x14ac:dyDescent="0.25">
      <c r="A414" s="352">
        <v>413</v>
      </c>
      <c r="B414" s="622" t="s">
        <v>573</v>
      </c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352" t="s">
        <v>35</v>
      </c>
    </row>
    <row r="415" spans="1:13" x14ac:dyDescent="0.25">
      <c r="A415" s="352">
        <v>414</v>
      </c>
      <c r="B415" s="622" t="s">
        <v>576</v>
      </c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352" t="s">
        <v>35</v>
      </c>
    </row>
    <row r="416" spans="1:13" x14ac:dyDescent="0.25">
      <c r="A416" s="352">
        <v>415</v>
      </c>
      <c r="B416" s="615" t="s">
        <v>584</v>
      </c>
      <c r="C416" s="837">
        <v>3957</v>
      </c>
      <c r="D416" s="837">
        <v>512</v>
      </c>
      <c r="E416" s="837">
        <v>1750</v>
      </c>
      <c r="F416" s="837">
        <v>2393</v>
      </c>
      <c r="G416" s="837"/>
      <c r="H416" s="837"/>
      <c r="I416" s="837"/>
      <c r="J416" s="837">
        <v>78</v>
      </c>
      <c r="K416" s="837">
        <v>3416</v>
      </c>
      <c r="L416" s="837">
        <v>463</v>
      </c>
      <c r="M416" s="352" t="s">
        <v>36</v>
      </c>
    </row>
    <row r="417" spans="1:13" x14ac:dyDescent="0.25">
      <c r="A417" s="352">
        <v>416</v>
      </c>
      <c r="B417" s="615" t="s">
        <v>585</v>
      </c>
      <c r="C417" s="837">
        <v>1880</v>
      </c>
      <c r="D417" s="837">
        <v>513</v>
      </c>
      <c r="E417" s="837">
        <v>353</v>
      </c>
      <c r="F417" s="837">
        <v>2559</v>
      </c>
      <c r="G417" s="837"/>
      <c r="H417" s="837"/>
      <c r="I417" s="837"/>
      <c r="J417" s="837">
        <v>131</v>
      </c>
      <c r="K417" s="837">
        <v>688</v>
      </c>
      <c r="L417" s="837">
        <v>1061</v>
      </c>
      <c r="M417" s="352" t="s">
        <v>36</v>
      </c>
    </row>
    <row r="418" spans="1:13" x14ac:dyDescent="0.25">
      <c r="A418" s="352">
        <v>417</v>
      </c>
      <c r="B418" s="615" t="s">
        <v>587</v>
      </c>
      <c r="C418" s="837">
        <v>1458</v>
      </c>
      <c r="D418" s="837">
        <v>719</v>
      </c>
      <c r="E418" s="837">
        <v>761</v>
      </c>
      <c r="F418" s="837">
        <v>903</v>
      </c>
      <c r="G418" s="837"/>
      <c r="H418" s="837"/>
      <c r="I418" s="837"/>
      <c r="J418" s="837">
        <v>385</v>
      </c>
      <c r="K418" s="837">
        <v>1058</v>
      </c>
      <c r="L418" s="837">
        <v>15</v>
      </c>
      <c r="M418" s="352" t="s">
        <v>36</v>
      </c>
    </row>
    <row r="419" spans="1:13" x14ac:dyDescent="0.25">
      <c r="A419" s="352">
        <v>418</v>
      </c>
      <c r="B419" s="615" t="s">
        <v>593</v>
      </c>
      <c r="C419" s="837">
        <v>1281</v>
      </c>
      <c r="D419" s="837">
        <v>562</v>
      </c>
      <c r="E419" s="837">
        <v>313</v>
      </c>
      <c r="F419" s="837">
        <v>871</v>
      </c>
      <c r="G419" s="837"/>
      <c r="H419" s="837"/>
      <c r="I419" s="837"/>
      <c r="J419" s="837">
        <v>233</v>
      </c>
      <c r="K419" s="837">
        <v>556</v>
      </c>
      <c r="L419" s="837">
        <v>492</v>
      </c>
      <c r="M419" s="352" t="s">
        <v>36</v>
      </c>
    </row>
    <row r="420" spans="1:13" x14ac:dyDescent="0.25">
      <c r="A420" s="352">
        <v>419</v>
      </c>
      <c r="B420" s="615" t="s">
        <v>586</v>
      </c>
      <c r="C420" s="837">
        <v>977</v>
      </c>
      <c r="D420" s="837">
        <v>601</v>
      </c>
      <c r="E420" s="837">
        <v>227</v>
      </c>
      <c r="F420" s="837">
        <v>1235</v>
      </c>
      <c r="G420" s="837"/>
      <c r="H420" s="837"/>
      <c r="I420" s="837"/>
      <c r="J420" s="837">
        <v>76</v>
      </c>
      <c r="K420" s="837">
        <v>377</v>
      </c>
      <c r="L420" s="837">
        <v>524</v>
      </c>
      <c r="M420" s="352" t="s">
        <v>36</v>
      </c>
    </row>
    <row r="421" spans="1:13" x14ac:dyDescent="0.25">
      <c r="A421" s="352">
        <v>420</v>
      </c>
      <c r="B421" s="615" t="s">
        <v>589</v>
      </c>
      <c r="C421" s="837">
        <v>570</v>
      </c>
      <c r="D421" s="837">
        <v>601</v>
      </c>
      <c r="E421" s="837">
        <v>121</v>
      </c>
      <c r="F421" s="837">
        <v>346</v>
      </c>
      <c r="G421" s="837"/>
      <c r="H421" s="837"/>
      <c r="I421" s="837"/>
      <c r="J421" s="837">
        <v>265</v>
      </c>
      <c r="K421" s="837">
        <v>202</v>
      </c>
      <c r="L421" s="837">
        <v>103</v>
      </c>
      <c r="M421" s="352" t="s">
        <v>36</v>
      </c>
    </row>
    <row r="422" spans="1:13" x14ac:dyDescent="0.25">
      <c r="A422" s="352">
        <v>421</v>
      </c>
      <c r="B422" s="615" t="s">
        <v>588</v>
      </c>
      <c r="C422" s="837">
        <v>293</v>
      </c>
      <c r="D422" s="837">
        <v>600</v>
      </c>
      <c r="E422" s="837">
        <v>113</v>
      </c>
      <c r="F422" s="837">
        <v>350</v>
      </c>
      <c r="G422" s="837"/>
      <c r="H422" s="837"/>
      <c r="I422" s="837"/>
      <c r="J422" s="837">
        <v>43</v>
      </c>
      <c r="K422" s="837">
        <v>188</v>
      </c>
      <c r="L422" s="837">
        <v>62</v>
      </c>
      <c r="M422" s="352" t="s">
        <v>36</v>
      </c>
    </row>
    <row r="423" spans="1:13" x14ac:dyDescent="0.25">
      <c r="A423" s="352">
        <v>422</v>
      </c>
      <c r="B423" s="615" t="s">
        <v>590</v>
      </c>
      <c r="C423" s="837">
        <v>112</v>
      </c>
      <c r="D423" s="837">
        <v>331</v>
      </c>
      <c r="E423" s="837">
        <v>10</v>
      </c>
      <c r="F423" s="837">
        <v>157</v>
      </c>
      <c r="G423" s="837"/>
      <c r="H423" s="837"/>
      <c r="I423" s="837"/>
      <c r="J423" s="837"/>
      <c r="K423" s="837">
        <v>32</v>
      </c>
      <c r="L423" s="837">
        <v>80</v>
      </c>
      <c r="M423" s="352" t="s">
        <v>36</v>
      </c>
    </row>
    <row r="424" spans="1:13" x14ac:dyDescent="0.25">
      <c r="A424" s="352">
        <v>423</v>
      </c>
      <c r="B424" s="615" t="s">
        <v>591</v>
      </c>
      <c r="C424" s="837">
        <v>79</v>
      </c>
      <c r="D424" s="837">
        <v>86</v>
      </c>
      <c r="E424" s="837">
        <v>5</v>
      </c>
      <c r="F424" s="837">
        <v>226</v>
      </c>
      <c r="G424" s="837"/>
      <c r="H424" s="837"/>
      <c r="I424" s="837"/>
      <c r="J424" s="837"/>
      <c r="K424" s="837">
        <v>60</v>
      </c>
      <c r="L424" s="837">
        <v>19</v>
      </c>
      <c r="M424" s="352" t="s">
        <v>36</v>
      </c>
    </row>
    <row r="425" spans="1:13" x14ac:dyDescent="0.25">
      <c r="A425" s="352">
        <v>424</v>
      </c>
      <c r="B425" s="615" t="s">
        <v>592</v>
      </c>
      <c r="C425" s="837">
        <v>37</v>
      </c>
      <c r="D425" s="837">
        <v>1025</v>
      </c>
      <c r="E425" s="837">
        <v>7</v>
      </c>
      <c r="F425" s="837">
        <v>47</v>
      </c>
      <c r="G425" s="837"/>
      <c r="H425" s="837"/>
      <c r="I425" s="837"/>
      <c r="J425" s="837">
        <v>29</v>
      </c>
      <c r="K425" s="837">
        <v>7</v>
      </c>
      <c r="L425" s="837">
        <v>1</v>
      </c>
      <c r="M425" s="352" t="s">
        <v>36</v>
      </c>
    </row>
    <row r="426" spans="1:13" x14ac:dyDescent="0.25">
      <c r="A426" s="352">
        <v>425</v>
      </c>
      <c r="B426" s="615" t="s">
        <v>594</v>
      </c>
      <c r="C426" s="837">
        <v>18</v>
      </c>
      <c r="D426" s="837">
        <v>100</v>
      </c>
      <c r="E426" s="837">
        <v>1</v>
      </c>
      <c r="F426" s="837">
        <v>15</v>
      </c>
      <c r="G426" s="837"/>
      <c r="H426" s="837"/>
      <c r="I426" s="837"/>
      <c r="J426" s="837">
        <v>2</v>
      </c>
      <c r="K426" s="837">
        <v>10</v>
      </c>
      <c r="L426" s="837">
        <v>6</v>
      </c>
      <c r="M426" s="352" t="s">
        <v>36</v>
      </c>
    </row>
  </sheetData>
  <sortState xmlns:xlrd2="http://schemas.microsoft.com/office/spreadsheetml/2017/richdata2" ref="B417:L426">
    <sortCondition descending="1" ref="C417:C426"/>
    <sortCondition descending="1" ref="E417:E426"/>
    <sortCondition descending="1" ref="K417:K4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F57E-8D22-485A-ACD7-4AD5243065AC}">
  <dimension ref="A1:L38"/>
  <sheetViews>
    <sheetView zoomScale="55" zoomScaleNormal="55" workbookViewId="0">
      <selection activeCell="B2" sqref="B2:B35"/>
    </sheetView>
  </sheetViews>
  <sheetFormatPr defaultRowHeight="14.5" x14ac:dyDescent="0.35"/>
  <cols>
    <col min="2" max="2" width="22.54296875" customWidth="1"/>
    <col min="3" max="3" width="18" customWidth="1"/>
    <col min="4" max="4" width="18.26953125" customWidth="1"/>
    <col min="5" max="5" width="21.1796875" customWidth="1"/>
    <col min="6" max="6" width="16.26953125" customWidth="1"/>
    <col min="7" max="7" width="23.26953125" customWidth="1"/>
    <col min="8" max="8" width="28.54296875" customWidth="1"/>
    <col min="9" max="9" width="25.7265625" customWidth="1"/>
    <col min="10" max="10" width="17.453125" customWidth="1"/>
    <col min="11" max="11" width="16.54296875" customWidth="1"/>
    <col min="12" max="12" width="17.81640625" customWidth="1"/>
  </cols>
  <sheetData>
    <row r="1" spans="1:12" ht="36.65" customHeight="1" x14ac:dyDescent="0.35">
      <c r="A1" s="1" t="s">
        <v>0</v>
      </c>
      <c r="B1" s="2" t="s">
        <v>1</v>
      </c>
      <c r="C1" s="11" t="s">
        <v>40</v>
      </c>
      <c r="D1" s="11" t="s">
        <v>41</v>
      </c>
      <c r="E1" s="11" t="s">
        <v>42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77">
        <v>102649</v>
      </c>
      <c r="D2" s="778">
        <v>763</v>
      </c>
      <c r="E2" s="770">
        <v>30661</v>
      </c>
      <c r="F2" s="766">
        <v>129727</v>
      </c>
      <c r="G2" s="766">
        <v>102575</v>
      </c>
      <c r="H2" s="766"/>
      <c r="I2" s="766">
        <v>74</v>
      </c>
      <c r="J2" s="766">
        <v>32280</v>
      </c>
      <c r="K2" s="766">
        <v>40192</v>
      </c>
      <c r="L2" s="766">
        <v>30177</v>
      </c>
    </row>
    <row r="3" spans="1:12" x14ac:dyDescent="0.35">
      <c r="A3" s="4">
        <v>2</v>
      </c>
      <c r="B3" s="9" t="s">
        <v>3</v>
      </c>
      <c r="C3" s="777">
        <v>66027</v>
      </c>
      <c r="D3" s="778">
        <v>793</v>
      </c>
      <c r="E3" s="770">
        <v>16655</v>
      </c>
      <c r="F3" s="766">
        <v>65725</v>
      </c>
      <c r="G3" s="766">
        <v>63631</v>
      </c>
      <c r="H3" s="766">
        <v>270</v>
      </c>
      <c r="I3" s="766">
        <v>2126</v>
      </c>
      <c r="J3" s="766">
        <v>34861</v>
      </c>
      <c r="K3" s="766">
        <v>21001</v>
      </c>
      <c r="L3" s="766">
        <v>10165</v>
      </c>
    </row>
    <row r="4" spans="1:12" x14ac:dyDescent="0.35">
      <c r="A4" s="4">
        <v>3</v>
      </c>
      <c r="B4" s="9" t="s">
        <v>4</v>
      </c>
      <c r="C4" s="777">
        <v>158863</v>
      </c>
      <c r="D4" s="778">
        <v>719</v>
      </c>
      <c r="E4" s="770">
        <v>58822</v>
      </c>
      <c r="F4" s="766">
        <v>122092</v>
      </c>
      <c r="G4" s="766">
        <v>157106</v>
      </c>
      <c r="H4" s="766"/>
      <c r="I4" s="766">
        <v>1757</v>
      </c>
      <c r="J4" s="766">
        <v>66435</v>
      </c>
      <c r="K4" s="766">
        <v>81764</v>
      </c>
      <c r="L4" s="766">
        <v>10664</v>
      </c>
    </row>
    <row r="5" spans="1:12" x14ac:dyDescent="0.35">
      <c r="A5" s="4">
        <v>4</v>
      </c>
      <c r="B5" s="9" t="s">
        <v>5</v>
      </c>
      <c r="C5" s="777">
        <v>7113</v>
      </c>
      <c r="D5" s="778">
        <v>745</v>
      </c>
      <c r="E5" s="770">
        <v>3086</v>
      </c>
      <c r="F5" s="766">
        <v>13828</v>
      </c>
      <c r="G5" s="766">
        <v>4364</v>
      </c>
      <c r="H5" s="766"/>
      <c r="I5" s="766">
        <v>2749</v>
      </c>
      <c r="J5" s="766">
        <v>1427</v>
      </c>
      <c r="K5" s="766">
        <v>4145</v>
      </c>
      <c r="L5" s="766">
        <v>1541</v>
      </c>
    </row>
    <row r="6" spans="1:12" x14ac:dyDescent="0.35">
      <c r="A6" s="4">
        <v>5</v>
      </c>
      <c r="B6" s="9" t="s">
        <v>6</v>
      </c>
      <c r="C6" s="777">
        <v>23</v>
      </c>
      <c r="D6" s="778">
        <v>500</v>
      </c>
      <c r="E6" s="770">
        <v>1</v>
      </c>
      <c r="F6" s="766">
        <v>212</v>
      </c>
      <c r="G6" s="766">
        <v>23</v>
      </c>
      <c r="H6" s="766"/>
      <c r="I6" s="766"/>
      <c r="J6" s="766">
        <v>19</v>
      </c>
      <c r="K6" s="766">
        <v>3</v>
      </c>
      <c r="L6" s="766">
        <v>1</v>
      </c>
    </row>
    <row r="7" spans="1:12" x14ac:dyDescent="0.35">
      <c r="A7" s="4">
        <v>6</v>
      </c>
      <c r="B7" s="9" t="s">
        <v>7</v>
      </c>
      <c r="C7" s="777">
        <v>2270</v>
      </c>
      <c r="D7" s="778">
        <v>614</v>
      </c>
      <c r="E7" s="770">
        <v>493</v>
      </c>
      <c r="F7" s="766">
        <v>5839</v>
      </c>
      <c r="G7" s="766">
        <v>2270</v>
      </c>
      <c r="H7" s="766"/>
      <c r="I7" s="766"/>
      <c r="J7" s="766">
        <v>864</v>
      </c>
      <c r="K7" s="766">
        <v>804</v>
      </c>
      <c r="L7" s="766">
        <v>602</v>
      </c>
    </row>
    <row r="8" spans="1:12" x14ac:dyDescent="0.35">
      <c r="A8" s="4">
        <v>7</v>
      </c>
      <c r="B8" s="9" t="s">
        <v>8</v>
      </c>
      <c r="C8" s="777">
        <v>10806</v>
      </c>
      <c r="D8" s="778">
        <v>726</v>
      </c>
      <c r="E8" s="770">
        <v>2835</v>
      </c>
      <c r="F8" s="766">
        <v>12831</v>
      </c>
      <c r="G8" s="766">
        <v>10806</v>
      </c>
      <c r="H8" s="766"/>
      <c r="I8" s="766"/>
      <c r="J8" s="766">
        <v>4580</v>
      </c>
      <c r="K8" s="766">
        <v>3906</v>
      </c>
      <c r="L8" s="766">
        <v>2320</v>
      </c>
    </row>
    <row r="9" spans="1:12" x14ac:dyDescent="0.35">
      <c r="A9" s="4">
        <v>8</v>
      </c>
      <c r="B9" s="9" t="s">
        <v>9</v>
      </c>
      <c r="C9" s="777">
        <v>769</v>
      </c>
      <c r="D9" s="778">
        <v>543</v>
      </c>
      <c r="E9" s="770">
        <v>136</v>
      </c>
      <c r="F9" s="766">
        <v>749</v>
      </c>
      <c r="G9" s="766">
        <v>769</v>
      </c>
      <c r="H9" s="766"/>
      <c r="I9" s="766"/>
      <c r="J9" s="766">
        <v>335</v>
      </c>
      <c r="K9" s="766">
        <v>251</v>
      </c>
      <c r="L9" s="766">
        <v>183</v>
      </c>
    </row>
    <row r="10" spans="1:12" x14ac:dyDescent="0.35">
      <c r="A10" s="4">
        <v>9</v>
      </c>
      <c r="B10" s="9" t="s">
        <v>10</v>
      </c>
      <c r="C10" s="777">
        <v>13125</v>
      </c>
      <c r="D10" s="778">
        <v>771</v>
      </c>
      <c r="E10" s="770">
        <v>4039</v>
      </c>
      <c r="F10" s="766">
        <v>20441</v>
      </c>
      <c r="G10" s="766">
        <v>13125</v>
      </c>
      <c r="H10" s="766"/>
      <c r="I10" s="766"/>
      <c r="J10" s="766">
        <v>3932</v>
      </c>
      <c r="K10" s="766">
        <v>5239</v>
      </c>
      <c r="L10" s="766">
        <v>3954</v>
      </c>
    </row>
    <row r="11" spans="1:12" x14ac:dyDescent="0.35">
      <c r="A11" s="4">
        <v>10</v>
      </c>
      <c r="B11" s="9" t="s">
        <v>11</v>
      </c>
      <c r="C11" s="777">
        <v>71192</v>
      </c>
      <c r="D11" s="778">
        <v>894</v>
      </c>
      <c r="E11" s="770">
        <v>33177</v>
      </c>
      <c r="F11" s="766">
        <v>116259</v>
      </c>
      <c r="G11" s="766">
        <v>70564</v>
      </c>
      <c r="H11" s="766">
        <v>20</v>
      </c>
      <c r="I11" s="766">
        <v>608</v>
      </c>
      <c r="J11" s="766">
        <v>11897</v>
      </c>
      <c r="K11" s="766">
        <v>37095</v>
      </c>
      <c r="L11" s="766">
        <v>22200</v>
      </c>
    </row>
    <row r="12" spans="1:12" s="108" customFormat="1" x14ac:dyDescent="0.35">
      <c r="A12" s="102">
        <v>11</v>
      </c>
      <c r="B12" s="103" t="s">
        <v>12</v>
      </c>
      <c r="C12" s="779"/>
      <c r="D12" s="780"/>
      <c r="E12" s="772"/>
      <c r="F12" s="768"/>
      <c r="G12" s="768"/>
      <c r="H12" s="768"/>
      <c r="I12" s="768"/>
      <c r="J12" s="768"/>
      <c r="K12" s="768"/>
      <c r="L12" s="768"/>
    </row>
    <row r="13" spans="1:12" x14ac:dyDescent="0.35">
      <c r="A13" s="4">
        <v>12</v>
      </c>
      <c r="B13" s="9" t="s">
        <v>14</v>
      </c>
      <c r="C13" s="777">
        <v>9470</v>
      </c>
      <c r="D13" s="778">
        <v>520</v>
      </c>
      <c r="E13" s="770">
        <v>2414</v>
      </c>
      <c r="F13" s="766">
        <v>19424</v>
      </c>
      <c r="G13" s="766">
        <v>6314</v>
      </c>
      <c r="H13" s="766">
        <v>203</v>
      </c>
      <c r="I13" s="766">
        <v>2953</v>
      </c>
      <c r="J13" s="766">
        <v>2440</v>
      </c>
      <c r="K13" s="766">
        <v>4647</v>
      </c>
      <c r="L13" s="766">
        <v>2383</v>
      </c>
    </row>
    <row r="14" spans="1:12" x14ac:dyDescent="0.35">
      <c r="A14" s="4">
        <v>13</v>
      </c>
      <c r="B14" s="9" t="s">
        <v>15</v>
      </c>
      <c r="C14" s="777">
        <v>7866</v>
      </c>
      <c r="D14" s="778">
        <v>736</v>
      </c>
      <c r="E14" s="770">
        <v>2232</v>
      </c>
      <c r="F14" s="766">
        <v>9426</v>
      </c>
      <c r="G14" s="766">
        <v>7423</v>
      </c>
      <c r="H14" s="766"/>
      <c r="I14" s="766">
        <v>443</v>
      </c>
      <c r="J14" s="766">
        <v>2781</v>
      </c>
      <c r="K14" s="766">
        <v>3034</v>
      </c>
      <c r="L14" s="766">
        <v>2052</v>
      </c>
    </row>
    <row r="15" spans="1:12" x14ac:dyDescent="0.35">
      <c r="A15" s="4">
        <v>14</v>
      </c>
      <c r="B15" s="9" t="s">
        <v>16</v>
      </c>
      <c r="C15" s="777">
        <v>7613</v>
      </c>
      <c r="D15" s="778">
        <v>587</v>
      </c>
      <c r="E15" s="770">
        <v>1810</v>
      </c>
      <c r="F15" s="766">
        <v>26503</v>
      </c>
      <c r="G15" s="766">
        <v>6622</v>
      </c>
      <c r="H15" s="766">
        <v>6</v>
      </c>
      <c r="I15" s="766">
        <v>985</v>
      </c>
      <c r="J15" s="766">
        <v>3193</v>
      </c>
      <c r="K15" s="766">
        <v>3081</v>
      </c>
      <c r="L15" s="766">
        <v>1338</v>
      </c>
    </row>
    <row r="16" spans="1:12" x14ac:dyDescent="0.35">
      <c r="A16" s="4">
        <v>15</v>
      </c>
      <c r="B16" s="9" t="s">
        <v>17</v>
      </c>
      <c r="C16" s="777">
        <v>5156</v>
      </c>
      <c r="D16" s="778">
        <v>514</v>
      </c>
      <c r="E16" s="770">
        <v>1121</v>
      </c>
      <c r="F16" s="766">
        <v>28262</v>
      </c>
      <c r="G16" s="766">
        <v>5516</v>
      </c>
      <c r="H16" s="766"/>
      <c r="I16" s="766"/>
      <c r="J16" s="766">
        <v>1913</v>
      </c>
      <c r="K16" s="766">
        <v>2180</v>
      </c>
      <c r="L16" s="766">
        <v>1063</v>
      </c>
    </row>
    <row r="17" spans="1:12" x14ac:dyDescent="0.35">
      <c r="A17" s="4">
        <v>16</v>
      </c>
      <c r="B17" s="9" t="s">
        <v>18</v>
      </c>
      <c r="C17" s="777">
        <v>54211</v>
      </c>
      <c r="D17" s="778">
        <v>825</v>
      </c>
      <c r="E17" s="770">
        <v>24803</v>
      </c>
      <c r="F17" s="766">
        <v>88924</v>
      </c>
      <c r="G17" s="766">
        <v>38132</v>
      </c>
      <c r="H17" s="766">
        <v>12313</v>
      </c>
      <c r="I17" s="766">
        <v>3766</v>
      </c>
      <c r="J17" s="766">
        <v>14880</v>
      </c>
      <c r="K17" s="766">
        <v>30060</v>
      </c>
      <c r="L17" s="766">
        <v>9272</v>
      </c>
    </row>
    <row r="18" spans="1:12" x14ac:dyDescent="0.35">
      <c r="A18" s="4">
        <v>17</v>
      </c>
      <c r="B18" s="9" t="s">
        <v>19</v>
      </c>
      <c r="C18" s="777">
        <v>14487</v>
      </c>
      <c r="D18" s="778">
        <v>625</v>
      </c>
      <c r="E18" s="770">
        <v>4345</v>
      </c>
      <c r="F18" s="766">
        <v>57987</v>
      </c>
      <c r="G18" s="766">
        <v>14473</v>
      </c>
      <c r="H18" s="766">
        <v>14</v>
      </c>
      <c r="I18" s="766"/>
      <c r="J18" s="766">
        <v>2498</v>
      </c>
      <c r="K18" s="766">
        <v>6948</v>
      </c>
      <c r="L18" s="766">
        <v>5041</v>
      </c>
    </row>
    <row r="19" spans="1:12" x14ac:dyDescent="0.35">
      <c r="A19" s="4">
        <v>18</v>
      </c>
      <c r="B19" s="9" t="s">
        <v>20</v>
      </c>
      <c r="C19" s="777">
        <v>8152</v>
      </c>
      <c r="D19" s="778">
        <v>466</v>
      </c>
      <c r="E19" s="770">
        <v>1352</v>
      </c>
      <c r="F19" s="766">
        <v>9669</v>
      </c>
      <c r="G19" s="766">
        <v>8152</v>
      </c>
      <c r="H19" s="766"/>
      <c r="I19" s="766"/>
      <c r="J19" s="766">
        <v>2929</v>
      </c>
      <c r="K19" s="766">
        <v>2901</v>
      </c>
      <c r="L19" s="766">
        <v>2321</v>
      </c>
    </row>
    <row r="20" spans="1:12" x14ac:dyDescent="0.35">
      <c r="A20" s="4">
        <v>19</v>
      </c>
      <c r="B20" s="9" t="s">
        <v>21</v>
      </c>
      <c r="C20" s="777">
        <v>53903</v>
      </c>
      <c r="D20" s="778">
        <v>646</v>
      </c>
      <c r="E20" s="770">
        <v>12863</v>
      </c>
      <c r="F20" s="766">
        <v>82911</v>
      </c>
      <c r="G20" s="766">
        <v>53530</v>
      </c>
      <c r="H20" s="766"/>
      <c r="I20" s="766">
        <v>373</v>
      </c>
      <c r="J20" s="766">
        <v>21079</v>
      </c>
      <c r="K20" s="766">
        <v>19921</v>
      </c>
      <c r="L20" s="766">
        <v>12903</v>
      </c>
    </row>
    <row r="21" spans="1:12" x14ac:dyDescent="0.35">
      <c r="A21" s="4">
        <v>20</v>
      </c>
      <c r="B21" s="9" t="s">
        <v>22</v>
      </c>
      <c r="C21" s="777">
        <v>11535</v>
      </c>
      <c r="D21" s="778">
        <v>517</v>
      </c>
      <c r="E21" s="770">
        <v>1845</v>
      </c>
      <c r="F21" s="766">
        <v>12429</v>
      </c>
      <c r="G21" s="766">
        <v>11535</v>
      </c>
      <c r="H21" s="766"/>
      <c r="I21" s="766"/>
      <c r="J21" s="766">
        <v>4995</v>
      </c>
      <c r="K21" s="766">
        <v>3566</v>
      </c>
      <c r="L21" s="766">
        <v>2974</v>
      </c>
    </row>
    <row r="22" spans="1:12" x14ac:dyDescent="0.35">
      <c r="A22" s="4">
        <v>21</v>
      </c>
      <c r="B22" s="9" t="s">
        <v>23</v>
      </c>
      <c r="C22" s="777">
        <v>1318</v>
      </c>
      <c r="D22" s="778">
        <v>524</v>
      </c>
      <c r="E22" s="770">
        <v>381</v>
      </c>
      <c r="F22" s="766">
        <v>1138</v>
      </c>
      <c r="G22" s="766">
        <v>1318</v>
      </c>
      <c r="H22" s="766"/>
      <c r="I22" s="766"/>
      <c r="J22" s="766">
        <v>216</v>
      </c>
      <c r="K22" s="766">
        <v>727</v>
      </c>
      <c r="L22" s="766">
        <v>374</v>
      </c>
    </row>
    <row r="23" spans="1:12" x14ac:dyDescent="0.35">
      <c r="A23" s="4">
        <v>22</v>
      </c>
      <c r="B23" s="9" t="s">
        <v>24</v>
      </c>
      <c r="C23" s="777">
        <v>587</v>
      </c>
      <c r="D23" s="778">
        <v>343</v>
      </c>
      <c r="E23" s="770">
        <v>58</v>
      </c>
      <c r="F23" s="766">
        <v>854</v>
      </c>
      <c r="G23" s="766">
        <v>587</v>
      </c>
      <c r="H23" s="766"/>
      <c r="I23" s="766"/>
      <c r="J23" s="766">
        <v>175</v>
      </c>
      <c r="K23" s="766">
        <v>168</v>
      </c>
      <c r="L23" s="766">
        <v>244</v>
      </c>
    </row>
    <row r="24" spans="1:12" x14ac:dyDescent="0.35">
      <c r="A24" s="4">
        <v>23</v>
      </c>
      <c r="B24" s="9" t="s">
        <v>25</v>
      </c>
      <c r="C24" s="777">
        <v>8296</v>
      </c>
      <c r="D24" s="778">
        <v>765</v>
      </c>
      <c r="E24" s="770">
        <v>2712</v>
      </c>
      <c r="F24" s="766">
        <v>7094</v>
      </c>
      <c r="G24" s="766">
        <v>8296</v>
      </c>
      <c r="H24" s="766"/>
      <c r="I24" s="766"/>
      <c r="J24" s="766">
        <v>1888</v>
      </c>
      <c r="K24" s="766">
        <v>3547</v>
      </c>
      <c r="L24" s="766">
        <v>2861</v>
      </c>
    </row>
    <row r="25" spans="1:12" x14ac:dyDescent="0.35">
      <c r="A25" s="4">
        <v>24</v>
      </c>
      <c r="B25" s="9" t="s">
        <v>26</v>
      </c>
      <c r="C25" s="777">
        <v>7806</v>
      </c>
      <c r="D25" s="778">
        <v>741</v>
      </c>
      <c r="E25" s="770">
        <v>2962</v>
      </c>
      <c r="F25" s="766">
        <v>4830</v>
      </c>
      <c r="G25" s="766">
        <v>7806</v>
      </c>
      <c r="H25" s="766"/>
      <c r="I25" s="766"/>
      <c r="J25" s="766">
        <v>1585</v>
      </c>
      <c r="K25" s="766">
        <v>3996</v>
      </c>
      <c r="L25" s="766">
        <v>2225</v>
      </c>
    </row>
    <row r="26" spans="1:12" x14ac:dyDescent="0.35">
      <c r="A26" s="4">
        <v>25</v>
      </c>
      <c r="B26" s="9" t="s">
        <v>27</v>
      </c>
      <c r="C26" s="777">
        <v>17884</v>
      </c>
      <c r="D26" s="778">
        <v>647</v>
      </c>
      <c r="E26" s="770">
        <v>4251</v>
      </c>
      <c r="F26" s="766">
        <v>19933</v>
      </c>
      <c r="G26" s="766">
        <v>16809</v>
      </c>
      <c r="H26" s="766">
        <v>292</v>
      </c>
      <c r="I26" s="766">
        <v>783</v>
      </c>
      <c r="J26" s="766">
        <v>7120</v>
      </c>
      <c r="K26" s="766">
        <v>6572</v>
      </c>
      <c r="L26" s="766">
        <v>4192</v>
      </c>
    </row>
    <row r="27" spans="1:12" x14ac:dyDescent="0.35">
      <c r="A27" s="4">
        <v>26</v>
      </c>
      <c r="B27" s="9" t="s">
        <v>28</v>
      </c>
      <c r="C27" s="777">
        <v>14494</v>
      </c>
      <c r="D27" s="778">
        <v>606</v>
      </c>
      <c r="E27" s="770">
        <v>2025</v>
      </c>
      <c r="F27" s="766">
        <v>14921</v>
      </c>
      <c r="G27" s="766">
        <v>14494</v>
      </c>
      <c r="H27" s="766"/>
      <c r="I27" s="766"/>
      <c r="J27" s="766">
        <v>9214</v>
      </c>
      <c r="K27" s="766">
        <v>3344</v>
      </c>
      <c r="L27" s="766">
        <v>1936</v>
      </c>
    </row>
    <row r="28" spans="1:12" x14ac:dyDescent="0.35">
      <c r="A28" s="4">
        <v>27</v>
      </c>
      <c r="B28" s="9" t="s">
        <v>29</v>
      </c>
      <c r="C28" s="777">
        <v>288990</v>
      </c>
      <c r="D28" s="778">
        <v>818</v>
      </c>
      <c r="E28" s="770">
        <v>100651</v>
      </c>
      <c r="F28" s="766">
        <v>182078</v>
      </c>
      <c r="G28" s="766">
        <v>288986</v>
      </c>
      <c r="H28" s="766"/>
      <c r="I28" s="766">
        <v>4</v>
      </c>
      <c r="J28" s="766">
        <v>60559</v>
      </c>
      <c r="K28" s="766">
        <v>123047</v>
      </c>
      <c r="L28" s="766">
        <v>105344</v>
      </c>
    </row>
    <row r="29" spans="1:12" x14ac:dyDescent="0.35">
      <c r="A29" s="4">
        <v>28</v>
      </c>
      <c r="B29" s="9" t="s">
        <v>30</v>
      </c>
      <c r="C29" s="777">
        <v>247730</v>
      </c>
      <c r="D29" s="778">
        <v>814</v>
      </c>
      <c r="E29" s="770">
        <v>99339</v>
      </c>
      <c r="F29" s="766">
        <v>257728</v>
      </c>
      <c r="G29" s="766">
        <v>243778</v>
      </c>
      <c r="H29" s="766"/>
      <c r="I29" s="766">
        <v>3952</v>
      </c>
      <c r="J29" s="766">
        <v>27669</v>
      </c>
      <c r="K29" s="766">
        <v>122068</v>
      </c>
      <c r="L29" s="766">
        <v>97992</v>
      </c>
    </row>
    <row r="30" spans="1:12" x14ac:dyDescent="0.35">
      <c r="A30" s="4">
        <v>29</v>
      </c>
      <c r="B30" s="9" t="s">
        <v>31</v>
      </c>
      <c r="C30" s="777">
        <v>149692</v>
      </c>
      <c r="D30" s="778">
        <v>813</v>
      </c>
      <c r="E30" s="770">
        <v>57141</v>
      </c>
      <c r="F30" s="766">
        <v>140401</v>
      </c>
      <c r="G30" s="766">
        <v>149692</v>
      </c>
      <c r="H30" s="766"/>
      <c r="I30" s="766"/>
      <c r="J30" s="766">
        <v>17981</v>
      </c>
      <c r="K30" s="766">
        <v>70306</v>
      </c>
      <c r="L30" s="766">
        <v>61406</v>
      </c>
    </row>
    <row r="31" spans="1:12" x14ac:dyDescent="0.35">
      <c r="A31" s="4">
        <v>30</v>
      </c>
      <c r="B31" s="9" t="s">
        <v>32</v>
      </c>
      <c r="C31" s="777">
        <v>255779</v>
      </c>
      <c r="D31" s="778">
        <v>817</v>
      </c>
      <c r="E31" s="770">
        <v>91808</v>
      </c>
      <c r="F31" s="766">
        <v>165530</v>
      </c>
      <c r="G31" s="766">
        <v>255779</v>
      </c>
      <c r="H31" s="766"/>
      <c r="I31" s="766"/>
      <c r="J31" s="766">
        <v>42231</v>
      </c>
      <c r="K31" s="766">
        <v>112372</v>
      </c>
      <c r="L31" s="766">
        <v>101176</v>
      </c>
    </row>
    <row r="32" spans="1:12" x14ac:dyDescent="0.35">
      <c r="A32" s="4">
        <v>31</v>
      </c>
      <c r="B32" s="9" t="s">
        <v>33</v>
      </c>
      <c r="C32" s="777">
        <v>28298</v>
      </c>
      <c r="D32" s="778">
        <v>649</v>
      </c>
      <c r="E32" s="770">
        <v>8646</v>
      </c>
      <c r="F32" s="766">
        <v>33430</v>
      </c>
      <c r="G32" s="766">
        <v>25042</v>
      </c>
      <c r="H32" s="766">
        <v>2053</v>
      </c>
      <c r="I32" s="766">
        <v>1203</v>
      </c>
      <c r="J32" s="766">
        <v>6225</v>
      </c>
      <c r="K32" s="766">
        <v>13329</v>
      </c>
      <c r="L32" s="766">
        <v>8714</v>
      </c>
    </row>
    <row r="33" spans="1:12" x14ac:dyDescent="0.35">
      <c r="A33" s="4">
        <v>32</v>
      </c>
      <c r="B33" s="9" t="s">
        <v>34</v>
      </c>
      <c r="C33" s="777">
        <v>32598</v>
      </c>
      <c r="D33" s="778">
        <v>683</v>
      </c>
      <c r="E33" s="770">
        <v>8737</v>
      </c>
      <c r="F33" s="766">
        <v>24031</v>
      </c>
      <c r="G33" s="766">
        <v>32598</v>
      </c>
      <c r="H33" s="766"/>
      <c r="I33" s="766"/>
      <c r="J33" s="766">
        <v>10382</v>
      </c>
      <c r="K33" s="766">
        <v>12796</v>
      </c>
      <c r="L33" s="766">
        <v>9419</v>
      </c>
    </row>
    <row r="34" spans="1:12" x14ac:dyDescent="0.35">
      <c r="A34" s="4">
        <v>33</v>
      </c>
      <c r="B34" s="9" t="s">
        <v>35</v>
      </c>
      <c r="C34" s="777">
        <v>39922</v>
      </c>
      <c r="D34" s="778">
        <v>484</v>
      </c>
      <c r="E34" s="770">
        <v>8588</v>
      </c>
      <c r="F34" s="766">
        <v>30910</v>
      </c>
      <c r="G34" s="766">
        <v>34992</v>
      </c>
      <c r="H34" s="766"/>
      <c r="I34" s="766">
        <v>5000</v>
      </c>
      <c r="J34" s="766">
        <v>10599</v>
      </c>
      <c r="K34" s="766">
        <v>17740</v>
      </c>
      <c r="L34" s="766">
        <v>11583</v>
      </c>
    </row>
    <row r="35" spans="1:12" x14ac:dyDescent="0.35">
      <c r="A35" s="4">
        <v>34</v>
      </c>
      <c r="B35" s="9" t="s">
        <v>36</v>
      </c>
      <c r="C35" s="777">
        <v>10662</v>
      </c>
      <c r="D35" s="778">
        <v>658</v>
      </c>
      <c r="E35" s="770">
        <v>3338</v>
      </c>
      <c r="F35" s="766">
        <v>9102</v>
      </c>
      <c r="G35" s="766">
        <v>10662</v>
      </c>
      <c r="H35" s="766"/>
      <c r="I35" s="766"/>
      <c r="J35" s="766">
        <v>1252</v>
      </c>
      <c r="K35" s="766">
        <v>5073</v>
      </c>
      <c r="L35" s="766">
        <v>4337</v>
      </c>
    </row>
    <row r="36" spans="1:12" ht="15" x14ac:dyDescent="0.35">
      <c r="A36" s="123"/>
      <c r="B36" s="126" t="s">
        <v>105</v>
      </c>
      <c r="C36" s="781">
        <f>SUM(C2:C35)</f>
        <v>1709286</v>
      </c>
      <c r="D36" s="781">
        <f t="shared" ref="D36:L36" si="0">SUM(D2:D35)</f>
        <v>21866</v>
      </c>
      <c r="E36" s="781">
        <f t="shared" si="0"/>
        <v>593327</v>
      </c>
      <c r="F36" s="781">
        <f t="shared" si="0"/>
        <v>1715218</v>
      </c>
      <c r="G36" s="781">
        <f t="shared" si="0"/>
        <v>1667769</v>
      </c>
      <c r="H36" s="781">
        <f t="shared" si="0"/>
        <v>15171</v>
      </c>
      <c r="I36" s="781">
        <f t="shared" si="0"/>
        <v>26776</v>
      </c>
      <c r="J36" s="781">
        <f t="shared" si="0"/>
        <v>410434</v>
      </c>
      <c r="K36" s="781">
        <f t="shared" si="0"/>
        <v>765823</v>
      </c>
      <c r="L36" s="781">
        <f t="shared" si="0"/>
        <v>532957</v>
      </c>
    </row>
    <row r="38" spans="1:12" x14ac:dyDescent="0.35">
      <c r="L38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D788-DF6D-4D3D-8103-4FFDDF80E2EF}">
  <dimension ref="A1:N426"/>
  <sheetViews>
    <sheetView zoomScale="70" zoomScaleNormal="70" workbookViewId="0">
      <pane ySplit="1" topLeftCell="A404" activePane="bottomLeft" state="frozen"/>
      <selection pane="bottomLeft" activeCell="M2" sqref="M2:M426"/>
    </sheetView>
  </sheetViews>
  <sheetFormatPr defaultRowHeight="14.5" x14ac:dyDescent="0.35"/>
  <cols>
    <col min="2" max="2" width="26.81640625" style="28" customWidth="1"/>
    <col min="3" max="3" width="19.26953125" customWidth="1"/>
    <col min="4" max="4" width="16.7265625" customWidth="1"/>
    <col min="5" max="5" width="15.1796875" customWidth="1"/>
    <col min="6" max="6" width="17.7265625" customWidth="1"/>
    <col min="7" max="7" width="24.7265625" customWidth="1"/>
    <col min="8" max="8" width="31.453125" customWidth="1"/>
    <col min="9" max="9" width="24.1796875" customWidth="1"/>
    <col min="10" max="10" width="11.1796875" customWidth="1"/>
    <col min="11" max="11" width="10.26953125" customWidth="1"/>
    <col min="12" max="12" width="11.81640625" customWidth="1"/>
    <col min="13" max="13" width="16" customWidth="1"/>
    <col min="14" max="14" width="17.81640625" customWidth="1"/>
  </cols>
  <sheetData>
    <row r="1" spans="1:14" x14ac:dyDescent="0.35">
      <c r="A1" s="352" t="s">
        <v>0</v>
      </c>
      <c r="B1" s="590" t="s">
        <v>162</v>
      </c>
      <c r="C1" s="352" t="s">
        <v>40</v>
      </c>
      <c r="D1" s="352" t="s">
        <v>41</v>
      </c>
      <c r="E1" s="352" t="s">
        <v>42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s="352" t="s">
        <v>1</v>
      </c>
    </row>
    <row r="2" spans="1:14" x14ac:dyDescent="0.35">
      <c r="A2" s="352">
        <v>1</v>
      </c>
      <c r="B2" s="683" t="s">
        <v>606</v>
      </c>
      <c r="C2" s="641">
        <v>20130</v>
      </c>
      <c r="D2" s="642">
        <v>906</v>
      </c>
      <c r="E2" s="641">
        <v>8989</v>
      </c>
      <c r="F2" s="641">
        <v>21468</v>
      </c>
      <c r="G2" s="642"/>
      <c r="H2" s="642"/>
      <c r="I2" s="642"/>
      <c r="J2" s="641">
        <v>4590</v>
      </c>
      <c r="K2" s="644">
        <v>9920</v>
      </c>
      <c r="L2" s="641">
        <v>5620</v>
      </c>
      <c r="M2" s="352" t="s">
        <v>2</v>
      </c>
      <c r="N2" s="132" t="s">
        <v>2</v>
      </c>
    </row>
    <row r="3" spans="1:14" x14ac:dyDescent="0.35">
      <c r="A3" s="352">
        <v>2</v>
      </c>
      <c r="B3" s="683" t="s">
        <v>597</v>
      </c>
      <c r="C3" s="641">
        <v>13533</v>
      </c>
      <c r="D3" s="642">
        <v>756</v>
      </c>
      <c r="E3" s="641">
        <v>3406</v>
      </c>
      <c r="F3" s="641">
        <v>15478</v>
      </c>
      <c r="G3" s="642"/>
      <c r="H3" s="642"/>
      <c r="I3" s="642"/>
      <c r="J3" s="641">
        <v>3368</v>
      </c>
      <c r="K3" s="644">
        <v>4503</v>
      </c>
      <c r="L3" s="641">
        <v>5662</v>
      </c>
      <c r="M3" s="352" t="s">
        <v>2</v>
      </c>
      <c r="N3" s="176" t="s">
        <v>3</v>
      </c>
    </row>
    <row r="4" spans="1:14" x14ac:dyDescent="0.35">
      <c r="A4" s="352">
        <v>3</v>
      </c>
      <c r="B4" s="683" t="s">
        <v>602</v>
      </c>
      <c r="C4" s="641">
        <v>12757</v>
      </c>
      <c r="D4" s="642">
        <v>794</v>
      </c>
      <c r="E4" s="641">
        <v>4641</v>
      </c>
      <c r="F4" s="641">
        <v>11650</v>
      </c>
      <c r="G4" s="642"/>
      <c r="H4" s="642"/>
      <c r="I4" s="642"/>
      <c r="J4" s="641">
        <v>2956</v>
      </c>
      <c r="K4" s="644">
        <v>5849</v>
      </c>
      <c r="L4" s="641">
        <v>3952</v>
      </c>
      <c r="M4" s="352" t="s">
        <v>2</v>
      </c>
      <c r="N4" s="177" t="s">
        <v>4</v>
      </c>
    </row>
    <row r="5" spans="1:14" x14ac:dyDescent="0.35">
      <c r="A5" s="352">
        <v>4</v>
      </c>
      <c r="B5" s="683" t="s">
        <v>596</v>
      </c>
      <c r="C5" s="641">
        <f>10308+74</f>
        <v>10382</v>
      </c>
      <c r="D5" s="642">
        <f>702+827</f>
        <v>1529</v>
      </c>
      <c r="E5" s="641">
        <f>3138+61</f>
        <v>3199</v>
      </c>
      <c r="F5" s="641">
        <f>12489+59</f>
        <v>12548</v>
      </c>
      <c r="G5" s="642"/>
      <c r="H5" s="642"/>
      <c r="I5" s="642"/>
      <c r="J5" s="641">
        <v>2355</v>
      </c>
      <c r="K5" s="644">
        <f>4469+74</f>
        <v>4543</v>
      </c>
      <c r="L5" s="641">
        <v>3484</v>
      </c>
      <c r="M5" s="352" t="s">
        <v>2</v>
      </c>
      <c r="N5" s="174" t="s">
        <v>5</v>
      </c>
    </row>
    <row r="6" spans="1:14" x14ac:dyDescent="0.35">
      <c r="A6" s="352">
        <v>5</v>
      </c>
      <c r="B6" s="683" t="s">
        <v>600</v>
      </c>
      <c r="C6" s="641">
        <v>9143</v>
      </c>
      <c r="D6" s="642">
        <v>708</v>
      </c>
      <c r="E6" s="641">
        <v>2611</v>
      </c>
      <c r="F6" s="641">
        <v>18587</v>
      </c>
      <c r="G6" s="642"/>
      <c r="H6" s="642"/>
      <c r="I6" s="642"/>
      <c r="J6" s="641">
        <v>3177</v>
      </c>
      <c r="K6" s="641">
        <v>3690</v>
      </c>
      <c r="L6" s="641">
        <v>2276</v>
      </c>
      <c r="M6" s="352" t="s">
        <v>2</v>
      </c>
      <c r="N6" s="175" t="s">
        <v>6</v>
      </c>
    </row>
    <row r="7" spans="1:14" x14ac:dyDescent="0.35">
      <c r="A7" s="352">
        <v>6</v>
      </c>
      <c r="B7" s="683" t="s">
        <v>598</v>
      </c>
      <c r="C7" s="641">
        <v>7301</v>
      </c>
      <c r="D7" s="642">
        <v>653</v>
      </c>
      <c r="E7" s="641">
        <v>1810</v>
      </c>
      <c r="F7" s="641">
        <v>11030</v>
      </c>
      <c r="G7" s="642"/>
      <c r="H7" s="642"/>
      <c r="I7" s="642"/>
      <c r="J7" s="641">
        <v>2840</v>
      </c>
      <c r="K7" s="644">
        <v>2772</v>
      </c>
      <c r="L7" s="641">
        <v>1689</v>
      </c>
      <c r="M7" s="352" t="s">
        <v>2</v>
      </c>
      <c r="N7" s="160" t="s">
        <v>7</v>
      </c>
    </row>
    <row r="8" spans="1:14" x14ac:dyDescent="0.35">
      <c r="A8" s="352">
        <v>7</v>
      </c>
      <c r="B8" s="683" t="s">
        <v>611</v>
      </c>
      <c r="C8" s="641">
        <v>5849</v>
      </c>
      <c r="D8" s="642">
        <v>553</v>
      </c>
      <c r="E8" s="641">
        <v>1017</v>
      </c>
      <c r="F8" s="641">
        <v>9181</v>
      </c>
      <c r="G8" s="642"/>
      <c r="H8" s="642"/>
      <c r="I8" s="642"/>
      <c r="J8" s="641">
        <v>2146</v>
      </c>
      <c r="K8" s="641">
        <v>1840</v>
      </c>
      <c r="L8" s="641">
        <v>1863</v>
      </c>
      <c r="M8" s="352" t="s">
        <v>2</v>
      </c>
      <c r="N8" s="150" t="s">
        <v>8</v>
      </c>
    </row>
    <row r="9" spans="1:14" x14ac:dyDescent="0.35">
      <c r="A9" s="352">
        <v>8</v>
      </c>
      <c r="B9" s="683" t="s">
        <v>607</v>
      </c>
      <c r="C9" s="641">
        <v>4508</v>
      </c>
      <c r="D9" s="642">
        <v>804</v>
      </c>
      <c r="E9" s="642">
        <v>635</v>
      </c>
      <c r="F9" s="641">
        <v>4195</v>
      </c>
      <c r="G9" s="642"/>
      <c r="H9" s="642"/>
      <c r="I9" s="642"/>
      <c r="J9" s="641">
        <v>3323</v>
      </c>
      <c r="K9" s="642">
        <v>790</v>
      </c>
      <c r="L9" s="642">
        <v>395</v>
      </c>
      <c r="M9" s="352" t="s">
        <v>2</v>
      </c>
      <c r="N9" s="149" t="s">
        <v>603</v>
      </c>
    </row>
    <row r="10" spans="1:14" x14ac:dyDescent="0.35">
      <c r="A10" s="352">
        <v>9</v>
      </c>
      <c r="B10" s="683" t="s">
        <v>613</v>
      </c>
      <c r="C10" s="641">
        <v>3816</v>
      </c>
      <c r="D10" s="642">
        <v>685</v>
      </c>
      <c r="E10" s="641">
        <v>1627</v>
      </c>
      <c r="F10" s="641">
        <v>5223</v>
      </c>
      <c r="G10" s="642"/>
      <c r="H10" s="642"/>
      <c r="I10" s="642"/>
      <c r="J10" s="642">
        <v>200</v>
      </c>
      <c r="K10" s="644">
        <v>2374</v>
      </c>
      <c r="L10" s="641">
        <v>1242</v>
      </c>
      <c r="M10" s="352" t="s">
        <v>2</v>
      </c>
      <c r="N10" s="178" t="s">
        <v>10</v>
      </c>
    </row>
    <row r="11" spans="1:14" x14ac:dyDescent="0.35">
      <c r="A11" s="352">
        <v>10</v>
      </c>
      <c r="B11" s="683" t="s">
        <v>595</v>
      </c>
      <c r="C11" s="641">
        <v>3395</v>
      </c>
      <c r="D11" s="641">
        <v>1022</v>
      </c>
      <c r="E11" s="642">
        <v>321</v>
      </c>
      <c r="F11" s="641">
        <v>3637</v>
      </c>
      <c r="G11" s="642"/>
      <c r="H11" s="642"/>
      <c r="I11" s="642"/>
      <c r="J11" s="641">
        <v>2834</v>
      </c>
      <c r="K11" s="643">
        <v>314</v>
      </c>
      <c r="L11" s="642">
        <v>247</v>
      </c>
      <c r="M11" s="352" t="s">
        <v>2</v>
      </c>
      <c r="N11" s="179" t="s">
        <v>11</v>
      </c>
    </row>
    <row r="12" spans="1:14" x14ac:dyDescent="0.35">
      <c r="A12" s="352">
        <v>11</v>
      </c>
      <c r="B12" s="683" t="s">
        <v>612</v>
      </c>
      <c r="C12" s="641">
        <v>1924</v>
      </c>
      <c r="D12" s="642">
        <v>503</v>
      </c>
      <c r="E12" s="642">
        <v>186</v>
      </c>
      <c r="F12" s="641">
        <v>1405</v>
      </c>
      <c r="G12" s="642"/>
      <c r="H12" s="642"/>
      <c r="I12" s="642"/>
      <c r="J12" s="642">
        <v>745</v>
      </c>
      <c r="K12" s="643">
        <v>370</v>
      </c>
      <c r="L12" s="642">
        <v>809</v>
      </c>
      <c r="M12" s="352" t="s">
        <v>2</v>
      </c>
      <c r="N12" s="142" t="s">
        <v>14</v>
      </c>
    </row>
    <row r="13" spans="1:14" x14ac:dyDescent="0.35">
      <c r="A13" s="352">
        <v>12</v>
      </c>
      <c r="B13" s="683" t="s">
        <v>605</v>
      </c>
      <c r="C13" s="641">
        <v>1770</v>
      </c>
      <c r="D13" s="642">
        <v>655</v>
      </c>
      <c r="E13" s="642">
        <v>480</v>
      </c>
      <c r="F13" s="641">
        <v>3568</v>
      </c>
      <c r="G13" s="642"/>
      <c r="H13" s="642"/>
      <c r="I13" s="642"/>
      <c r="J13" s="642">
        <v>489</v>
      </c>
      <c r="K13" s="643">
        <v>732</v>
      </c>
      <c r="L13" s="642">
        <v>549</v>
      </c>
      <c r="M13" s="352" t="s">
        <v>2</v>
      </c>
      <c r="N13" s="150" t="s">
        <v>15</v>
      </c>
    </row>
    <row r="14" spans="1:14" x14ac:dyDescent="0.35">
      <c r="A14" s="352">
        <v>13</v>
      </c>
      <c r="B14" s="683" t="s">
        <v>615</v>
      </c>
      <c r="C14" s="641">
        <v>1566</v>
      </c>
      <c r="D14" s="642">
        <v>490</v>
      </c>
      <c r="E14" s="642">
        <v>247</v>
      </c>
      <c r="F14" s="641">
        <v>2845</v>
      </c>
      <c r="G14" s="642"/>
      <c r="H14" s="642"/>
      <c r="I14" s="642"/>
      <c r="J14" s="642">
        <v>738</v>
      </c>
      <c r="K14" s="643">
        <v>504</v>
      </c>
      <c r="L14" s="642">
        <v>324</v>
      </c>
      <c r="M14" s="352" t="s">
        <v>2</v>
      </c>
      <c r="N14" s="179" t="s">
        <v>16</v>
      </c>
    </row>
    <row r="15" spans="1:14" x14ac:dyDescent="0.35">
      <c r="A15" s="352">
        <v>14</v>
      </c>
      <c r="B15" s="683" t="s">
        <v>608</v>
      </c>
      <c r="C15" s="641">
        <v>1292</v>
      </c>
      <c r="D15" s="642">
        <v>732</v>
      </c>
      <c r="E15" s="642">
        <v>124</v>
      </c>
      <c r="F15" s="642">
        <v>749</v>
      </c>
      <c r="G15" s="642"/>
      <c r="H15" s="642"/>
      <c r="I15" s="642"/>
      <c r="J15" s="642">
        <v>512</v>
      </c>
      <c r="K15" s="642">
        <v>169</v>
      </c>
      <c r="L15" s="642">
        <v>61</v>
      </c>
      <c r="M15" s="352" t="s">
        <v>2</v>
      </c>
      <c r="N15" s="160" t="s">
        <v>610</v>
      </c>
    </row>
    <row r="16" spans="1:14" x14ac:dyDescent="0.35">
      <c r="A16" s="352">
        <v>15</v>
      </c>
      <c r="B16" s="684" t="s">
        <v>619</v>
      </c>
      <c r="C16" s="641">
        <v>1147</v>
      </c>
      <c r="D16" s="642">
        <v>854</v>
      </c>
      <c r="E16" s="642">
        <v>333</v>
      </c>
      <c r="F16" s="641">
        <v>1593</v>
      </c>
      <c r="G16" s="642"/>
      <c r="H16" s="642"/>
      <c r="I16" s="642"/>
      <c r="J16" s="642">
        <v>579</v>
      </c>
      <c r="K16" s="643">
        <v>390</v>
      </c>
      <c r="L16" s="642">
        <v>178</v>
      </c>
      <c r="M16" s="352" t="s">
        <v>2</v>
      </c>
      <c r="N16" s="175" t="s">
        <v>18</v>
      </c>
    </row>
    <row r="17" spans="1:14" x14ac:dyDescent="0.35">
      <c r="A17" s="352">
        <v>16</v>
      </c>
      <c r="B17" s="683" t="s">
        <v>609</v>
      </c>
      <c r="C17" s="642">
        <v>972</v>
      </c>
      <c r="D17" s="642">
        <v>674</v>
      </c>
      <c r="E17" s="642">
        <v>248</v>
      </c>
      <c r="F17" s="641">
        <v>1479</v>
      </c>
      <c r="G17" s="642"/>
      <c r="H17" s="642"/>
      <c r="I17" s="642"/>
      <c r="J17" s="642">
        <v>293</v>
      </c>
      <c r="K17" s="642">
        <v>368</v>
      </c>
      <c r="L17" s="642">
        <v>311</v>
      </c>
      <c r="M17" s="352" t="s">
        <v>2</v>
      </c>
      <c r="N17" s="180" t="s">
        <v>19</v>
      </c>
    </row>
    <row r="18" spans="1:14" x14ac:dyDescent="0.35">
      <c r="A18" s="352">
        <v>17</v>
      </c>
      <c r="B18" s="683" t="s">
        <v>186</v>
      </c>
      <c r="C18" s="642">
        <v>822</v>
      </c>
      <c r="D18" s="642">
        <v>616</v>
      </c>
      <c r="E18" s="642">
        <v>148</v>
      </c>
      <c r="F18" s="641">
        <v>1287</v>
      </c>
      <c r="G18" s="642"/>
      <c r="H18" s="642"/>
      <c r="I18" s="642"/>
      <c r="J18" s="642">
        <v>342</v>
      </c>
      <c r="K18" s="643">
        <v>240</v>
      </c>
      <c r="L18" s="642">
        <v>240</v>
      </c>
      <c r="M18" s="352" t="s">
        <v>2</v>
      </c>
      <c r="N18" s="142" t="s">
        <v>614</v>
      </c>
    </row>
    <row r="19" spans="1:14" x14ac:dyDescent="0.35">
      <c r="A19" s="352">
        <v>18</v>
      </c>
      <c r="B19" s="683" t="s">
        <v>618</v>
      </c>
      <c r="C19" s="642">
        <v>737</v>
      </c>
      <c r="D19" s="642">
        <v>955</v>
      </c>
      <c r="E19" s="642">
        <v>189</v>
      </c>
      <c r="F19" s="641">
        <v>1122</v>
      </c>
      <c r="G19" s="642"/>
      <c r="H19" s="642"/>
      <c r="I19" s="642"/>
      <c r="J19" s="642">
        <v>159</v>
      </c>
      <c r="K19" s="643">
        <v>198</v>
      </c>
      <c r="L19" s="642">
        <v>380</v>
      </c>
      <c r="M19" s="352" t="s">
        <v>2</v>
      </c>
      <c r="N19" s="179" t="s">
        <v>616</v>
      </c>
    </row>
    <row r="20" spans="1:14" x14ac:dyDescent="0.35">
      <c r="A20" s="352">
        <v>19</v>
      </c>
      <c r="B20" s="683" t="s">
        <v>617</v>
      </c>
      <c r="C20" s="642">
        <v>699</v>
      </c>
      <c r="D20" s="642">
        <v>868</v>
      </c>
      <c r="E20" s="642">
        <v>213</v>
      </c>
      <c r="F20" s="641">
        <v>1310</v>
      </c>
      <c r="G20" s="642"/>
      <c r="H20" s="642"/>
      <c r="I20" s="642"/>
      <c r="J20" s="642">
        <v>324</v>
      </c>
      <c r="K20" s="643">
        <v>245</v>
      </c>
      <c r="L20" s="642">
        <v>130</v>
      </c>
      <c r="M20" s="352" t="s">
        <v>2</v>
      </c>
      <c r="N20" s="181" t="s">
        <v>22</v>
      </c>
    </row>
    <row r="21" spans="1:14" x14ac:dyDescent="0.35">
      <c r="A21" s="352">
        <v>20</v>
      </c>
      <c r="B21" s="683" t="s">
        <v>599</v>
      </c>
      <c r="C21" s="642">
        <v>525</v>
      </c>
      <c r="D21" s="642">
        <v>626</v>
      </c>
      <c r="E21" s="642">
        <v>123</v>
      </c>
      <c r="F21" s="642">
        <v>838</v>
      </c>
      <c r="G21" s="642"/>
      <c r="H21" s="642"/>
      <c r="I21" s="642"/>
      <c r="J21" s="642">
        <v>205</v>
      </c>
      <c r="K21" s="642">
        <v>196</v>
      </c>
      <c r="L21" s="642">
        <v>124</v>
      </c>
      <c r="M21" s="352" t="s">
        <v>2</v>
      </c>
      <c r="N21" s="142" t="s">
        <v>24</v>
      </c>
    </row>
    <row r="22" spans="1:14" x14ac:dyDescent="0.35">
      <c r="A22" s="352">
        <v>21</v>
      </c>
      <c r="B22" s="683" t="s">
        <v>604</v>
      </c>
      <c r="C22" s="642">
        <v>244</v>
      </c>
      <c r="D22" s="642">
        <v>503</v>
      </c>
      <c r="E22" s="642">
        <v>65</v>
      </c>
      <c r="F22" s="642">
        <v>435</v>
      </c>
      <c r="G22" s="642"/>
      <c r="H22" s="642"/>
      <c r="I22" s="642"/>
      <c r="J22" s="642">
        <v>50</v>
      </c>
      <c r="K22" s="642">
        <v>130</v>
      </c>
      <c r="L22" s="642">
        <v>64</v>
      </c>
      <c r="M22" s="352" t="s">
        <v>2</v>
      </c>
      <c r="N22" s="169" t="s">
        <v>25</v>
      </c>
    </row>
    <row r="23" spans="1:14" x14ac:dyDescent="0.35">
      <c r="A23" s="352">
        <v>22</v>
      </c>
      <c r="B23" s="683" t="s">
        <v>601</v>
      </c>
      <c r="C23" s="642">
        <v>137</v>
      </c>
      <c r="D23" s="642">
        <v>886</v>
      </c>
      <c r="E23" s="642">
        <v>48</v>
      </c>
      <c r="F23" s="642">
        <v>158</v>
      </c>
      <c r="G23" s="642"/>
      <c r="H23" s="642"/>
      <c r="I23" s="642"/>
      <c r="J23" s="642">
        <v>55</v>
      </c>
      <c r="K23" s="643">
        <v>54</v>
      </c>
      <c r="L23" s="642">
        <v>28</v>
      </c>
      <c r="M23" s="352" t="s">
        <v>2</v>
      </c>
      <c r="N23" s="160" t="s">
        <v>26</v>
      </c>
    </row>
    <row r="24" spans="1:14" x14ac:dyDescent="0.35">
      <c r="A24" s="352">
        <v>23</v>
      </c>
      <c r="B24" s="685" t="s">
        <v>189</v>
      </c>
      <c r="C24" s="645">
        <f>7075+120</f>
        <v>7195</v>
      </c>
      <c r="D24" s="646">
        <f>710+1283</f>
        <v>1993</v>
      </c>
      <c r="E24" s="645">
        <f>1726+154</f>
        <v>1880</v>
      </c>
      <c r="F24" s="645">
        <f>9313+96</f>
        <v>9409</v>
      </c>
      <c r="G24" s="646"/>
      <c r="H24" s="646"/>
      <c r="I24" s="646"/>
      <c r="J24" s="645">
        <v>3368</v>
      </c>
      <c r="K24" s="645">
        <f>2431+120</f>
        <v>2551</v>
      </c>
      <c r="L24" s="645">
        <v>1276</v>
      </c>
      <c r="M24" s="352" t="s">
        <v>3</v>
      </c>
      <c r="N24" s="182" t="s">
        <v>27</v>
      </c>
    </row>
    <row r="25" spans="1:14" x14ac:dyDescent="0.35">
      <c r="A25" s="352">
        <v>24</v>
      </c>
      <c r="B25" s="685" t="s">
        <v>205</v>
      </c>
      <c r="C25" s="645">
        <v>7653</v>
      </c>
      <c r="D25" s="646">
        <v>527</v>
      </c>
      <c r="E25" s="645">
        <v>1566</v>
      </c>
      <c r="F25" s="645">
        <v>4900</v>
      </c>
      <c r="G25" s="646"/>
      <c r="H25" s="646"/>
      <c r="I25" s="646"/>
      <c r="J25" s="645">
        <v>3110</v>
      </c>
      <c r="K25" s="645">
        <v>2973</v>
      </c>
      <c r="L25" s="645">
        <v>1570</v>
      </c>
      <c r="M25" s="352" t="s">
        <v>3</v>
      </c>
      <c r="N25" s="180" t="s">
        <v>28</v>
      </c>
    </row>
    <row r="26" spans="1:14" x14ac:dyDescent="0.35">
      <c r="A26" s="352">
        <v>25</v>
      </c>
      <c r="B26" s="685" t="s">
        <v>197</v>
      </c>
      <c r="C26" s="645">
        <v>7361</v>
      </c>
      <c r="D26" s="646">
        <v>936</v>
      </c>
      <c r="E26" s="646">
        <v>840</v>
      </c>
      <c r="F26" s="645">
        <v>3315</v>
      </c>
      <c r="G26" s="646"/>
      <c r="H26" s="646"/>
      <c r="I26" s="646"/>
      <c r="J26" s="645">
        <v>5873</v>
      </c>
      <c r="K26" s="646">
        <v>898</v>
      </c>
      <c r="L26" s="646">
        <v>590</v>
      </c>
      <c r="M26" s="352" t="s">
        <v>3</v>
      </c>
      <c r="N26" s="99" t="s">
        <v>29</v>
      </c>
    </row>
    <row r="27" spans="1:14" x14ac:dyDescent="0.35">
      <c r="A27" s="352">
        <v>26</v>
      </c>
      <c r="B27" s="685" t="s">
        <v>190</v>
      </c>
      <c r="C27" s="645">
        <f>2616+2066</f>
        <v>4682</v>
      </c>
      <c r="D27" s="646">
        <f>558+1546</f>
        <v>2104</v>
      </c>
      <c r="E27" s="646">
        <f>695+3194</f>
        <v>3889</v>
      </c>
      <c r="F27" s="645">
        <f>2186+1653</f>
        <v>3839</v>
      </c>
      <c r="G27" s="646"/>
      <c r="H27" s="646"/>
      <c r="I27" s="646"/>
      <c r="J27" s="646">
        <v>841</v>
      </c>
      <c r="K27" s="645">
        <f>1246+2066</f>
        <v>3312</v>
      </c>
      <c r="L27" s="646">
        <v>529</v>
      </c>
      <c r="M27" s="352" t="s">
        <v>3</v>
      </c>
      <c r="N27" s="163" t="s">
        <v>30</v>
      </c>
    </row>
    <row r="28" spans="1:14" x14ac:dyDescent="0.35">
      <c r="A28" s="352">
        <v>27</v>
      </c>
      <c r="B28" s="685" t="s">
        <v>200</v>
      </c>
      <c r="C28" s="645">
        <v>4612</v>
      </c>
      <c r="D28" s="646">
        <v>742</v>
      </c>
      <c r="E28" s="646">
        <v>490</v>
      </c>
      <c r="F28" s="645">
        <v>3702</v>
      </c>
      <c r="G28" s="646"/>
      <c r="H28" s="646"/>
      <c r="I28" s="646"/>
      <c r="J28" s="645">
        <v>3528</v>
      </c>
      <c r="K28" s="646">
        <v>660</v>
      </c>
      <c r="L28" s="646">
        <v>424</v>
      </c>
      <c r="M28" s="352" t="s">
        <v>3</v>
      </c>
      <c r="N28" s="186" t="s">
        <v>31</v>
      </c>
    </row>
    <row r="29" spans="1:14" x14ac:dyDescent="0.35">
      <c r="A29" s="352">
        <v>28</v>
      </c>
      <c r="B29" s="685" t="s">
        <v>192</v>
      </c>
      <c r="C29" s="645">
        <v>4484</v>
      </c>
      <c r="D29" s="646">
        <v>683</v>
      </c>
      <c r="E29" s="646">
        <v>884</v>
      </c>
      <c r="F29" s="645">
        <v>2954</v>
      </c>
      <c r="G29" s="646"/>
      <c r="H29" s="646"/>
      <c r="I29" s="646"/>
      <c r="J29" s="645">
        <v>2567</v>
      </c>
      <c r="K29" s="645">
        <v>1295</v>
      </c>
      <c r="L29" s="646">
        <v>622</v>
      </c>
      <c r="M29" s="352" t="s">
        <v>3</v>
      </c>
      <c r="N29" s="142" t="s">
        <v>32</v>
      </c>
    </row>
    <row r="30" spans="1:14" x14ac:dyDescent="0.35">
      <c r="A30" s="352">
        <v>29</v>
      </c>
      <c r="B30" s="685" t="s">
        <v>191</v>
      </c>
      <c r="C30" s="645">
        <f>4334+60</f>
        <v>4394</v>
      </c>
      <c r="D30" s="646">
        <f>516+1582</f>
        <v>2098</v>
      </c>
      <c r="E30" s="645">
        <f>1378+87</f>
        <v>1465</v>
      </c>
      <c r="F30" s="645">
        <f>6151+343</f>
        <v>6494</v>
      </c>
      <c r="G30" s="646"/>
      <c r="H30" s="646"/>
      <c r="I30" s="646"/>
      <c r="J30" s="646">
        <f>382+5</f>
        <v>387</v>
      </c>
      <c r="K30" s="645">
        <f>2669+55</f>
        <v>2724</v>
      </c>
      <c r="L30" s="645">
        <v>1283</v>
      </c>
      <c r="M30" s="352" t="s">
        <v>3</v>
      </c>
      <c r="N30" s="179" t="s">
        <v>33</v>
      </c>
    </row>
    <row r="31" spans="1:14" x14ac:dyDescent="0.35">
      <c r="A31" s="352">
        <v>30</v>
      </c>
      <c r="B31" s="685" t="s">
        <v>206</v>
      </c>
      <c r="C31" s="645">
        <v>4172</v>
      </c>
      <c r="D31" s="646">
        <v>716</v>
      </c>
      <c r="E31" s="645">
        <v>1520</v>
      </c>
      <c r="F31" s="645">
        <v>3783</v>
      </c>
      <c r="G31" s="646"/>
      <c r="H31" s="646"/>
      <c r="I31" s="646"/>
      <c r="J31" s="645">
        <v>1092</v>
      </c>
      <c r="K31" s="645">
        <v>2122</v>
      </c>
      <c r="L31" s="646">
        <v>958</v>
      </c>
      <c r="M31" s="352" t="s">
        <v>3</v>
      </c>
      <c r="N31" s="149" t="s">
        <v>34</v>
      </c>
    </row>
    <row r="32" spans="1:14" x14ac:dyDescent="0.35">
      <c r="A32" s="352">
        <v>31</v>
      </c>
      <c r="B32" s="685" t="s">
        <v>201</v>
      </c>
      <c r="C32" s="645">
        <v>3722</v>
      </c>
      <c r="D32" s="646">
        <v>881</v>
      </c>
      <c r="E32" s="646">
        <v>581</v>
      </c>
      <c r="F32" s="645">
        <v>6182</v>
      </c>
      <c r="G32" s="646"/>
      <c r="H32" s="646"/>
      <c r="I32" s="646"/>
      <c r="J32" s="645">
        <v>2505</v>
      </c>
      <c r="K32" s="646">
        <v>659</v>
      </c>
      <c r="L32" s="646">
        <v>558</v>
      </c>
      <c r="M32" s="352" t="s">
        <v>3</v>
      </c>
      <c r="N32" s="150" t="s">
        <v>35</v>
      </c>
    </row>
    <row r="33" spans="1:14" x14ac:dyDescent="0.35">
      <c r="A33" s="352">
        <v>32</v>
      </c>
      <c r="B33" s="685" t="s">
        <v>194</v>
      </c>
      <c r="C33" s="645">
        <v>3352</v>
      </c>
      <c r="D33" s="646">
        <v>850</v>
      </c>
      <c r="E33" s="646">
        <v>343</v>
      </c>
      <c r="F33" s="645">
        <v>3697</v>
      </c>
      <c r="G33" s="646"/>
      <c r="H33" s="646"/>
      <c r="I33" s="646"/>
      <c r="J33" s="645">
        <v>2565</v>
      </c>
      <c r="K33" s="646">
        <v>404</v>
      </c>
      <c r="L33" s="646">
        <v>383</v>
      </c>
      <c r="M33" s="352" t="s">
        <v>3</v>
      </c>
      <c r="N33" s="142" t="s">
        <v>36</v>
      </c>
    </row>
    <row r="34" spans="1:14" x14ac:dyDescent="0.35">
      <c r="A34" s="352">
        <v>33</v>
      </c>
      <c r="B34" s="685" t="s">
        <v>195</v>
      </c>
      <c r="C34" s="645">
        <v>3017</v>
      </c>
      <c r="D34" s="646">
        <v>974</v>
      </c>
      <c r="E34" s="646">
        <v>540</v>
      </c>
      <c r="F34" s="645">
        <v>3900</v>
      </c>
      <c r="G34" s="646"/>
      <c r="H34" s="646"/>
      <c r="I34" s="646"/>
      <c r="J34" s="645">
        <v>2242</v>
      </c>
      <c r="K34" s="646">
        <v>554</v>
      </c>
      <c r="L34" s="646">
        <v>221</v>
      </c>
      <c r="M34" s="352" t="s">
        <v>3</v>
      </c>
    </row>
    <row r="35" spans="1:14" x14ac:dyDescent="0.35">
      <c r="A35" s="352">
        <v>34</v>
      </c>
      <c r="B35" s="685" t="s">
        <v>208</v>
      </c>
      <c r="C35" s="645">
        <v>2063</v>
      </c>
      <c r="D35" s="646">
        <v>663</v>
      </c>
      <c r="E35" s="646">
        <v>93</v>
      </c>
      <c r="F35" s="645">
        <v>2250</v>
      </c>
      <c r="G35" s="646"/>
      <c r="H35" s="646"/>
      <c r="I35" s="646"/>
      <c r="J35" s="645">
        <v>1782</v>
      </c>
      <c r="K35" s="646">
        <v>141</v>
      </c>
      <c r="L35" s="646">
        <v>140</v>
      </c>
      <c r="M35" s="352" t="s">
        <v>3</v>
      </c>
    </row>
    <row r="36" spans="1:14" x14ac:dyDescent="0.35">
      <c r="A36" s="352">
        <v>35</v>
      </c>
      <c r="B36" s="685" t="s">
        <v>213</v>
      </c>
      <c r="C36" s="645">
        <v>1314</v>
      </c>
      <c r="D36" s="645">
        <v>1111</v>
      </c>
      <c r="E36" s="646">
        <v>732</v>
      </c>
      <c r="F36" s="645">
        <v>2571</v>
      </c>
      <c r="G36" s="646"/>
      <c r="H36" s="646"/>
      <c r="I36" s="646"/>
      <c r="J36" s="646">
        <v>252</v>
      </c>
      <c r="K36" s="646">
        <v>659</v>
      </c>
      <c r="L36" s="646">
        <v>403</v>
      </c>
      <c r="M36" s="352" t="s">
        <v>3</v>
      </c>
    </row>
    <row r="37" spans="1:14" x14ac:dyDescent="0.35">
      <c r="A37" s="352">
        <v>36</v>
      </c>
      <c r="B37" s="685" t="s">
        <v>198</v>
      </c>
      <c r="C37" s="645">
        <v>1296</v>
      </c>
      <c r="D37" s="646">
        <v>832</v>
      </c>
      <c r="E37" s="646">
        <v>172</v>
      </c>
      <c r="F37" s="645">
        <v>1167</v>
      </c>
      <c r="G37" s="646"/>
      <c r="H37" s="646"/>
      <c r="I37" s="646"/>
      <c r="J37" s="646">
        <v>900</v>
      </c>
      <c r="K37" s="646">
        <v>206</v>
      </c>
      <c r="L37" s="646">
        <v>190</v>
      </c>
      <c r="M37" s="352" t="s">
        <v>3</v>
      </c>
    </row>
    <row r="38" spans="1:14" x14ac:dyDescent="0.35">
      <c r="A38" s="352">
        <v>37</v>
      </c>
      <c r="B38" s="685" t="s">
        <v>196</v>
      </c>
      <c r="C38" s="645">
        <v>1270</v>
      </c>
      <c r="D38" s="646">
        <v>968</v>
      </c>
      <c r="E38" s="646">
        <v>221</v>
      </c>
      <c r="F38" s="645">
        <v>1392</v>
      </c>
      <c r="G38" s="646"/>
      <c r="H38" s="646"/>
      <c r="I38" s="646"/>
      <c r="J38" s="646">
        <v>843</v>
      </c>
      <c r="K38" s="646">
        <v>228</v>
      </c>
      <c r="L38" s="646">
        <v>199</v>
      </c>
      <c r="M38" s="352" t="s">
        <v>3</v>
      </c>
    </row>
    <row r="39" spans="1:14" x14ac:dyDescent="0.35">
      <c r="A39" s="352">
        <v>38</v>
      </c>
      <c r="B39" s="685" t="s">
        <v>211</v>
      </c>
      <c r="C39" s="645">
        <f>1051+150</f>
        <v>1201</v>
      </c>
      <c r="D39" s="646">
        <f>912+194</f>
        <v>1106</v>
      </c>
      <c r="E39" s="646">
        <f>421+194</f>
        <v>615</v>
      </c>
      <c r="F39" s="645">
        <f>3290+120</f>
        <v>3410</v>
      </c>
      <c r="G39" s="646"/>
      <c r="H39" s="646"/>
      <c r="I39" s="646"/>
      <c r="J39" s="646">
        <v>373</v>
      </c>
      <c r="K39" s="646">
        <f>462+150</f>
        <v>612</v>
      </c>
      <c r="L39" s="646">
        <v>216</v>
      </c>
      <c r="M39" s="352" t="s">
        <v>3</v>
      </c>
    </row>
    <row r="40" spans="1:14" x14ac:dyDescent="0.35">
      <c r="A40" s="352">
        <v>39</v>
      </c>
      <c r="B40" s="685" t="s">
        <v>212</v>
      </c>
      <c r="C40" s="646">
        <v>960</v>
      </c>
      <c r="D40" s="646">
        <v>881</v>
      </c>
      <c r="E40" s="646">
        <v>167</v>
      </c>
      <c r="F40" s="646">
        <v>961</v>
      </c>
      <c r="G40" s="646"/>
      <c r="H40" s="646"/>
      <c r="I40" s="646"/>
      <c r="J40" s="646">
        <v>660</v>
      </c>
      <c r="K40" s="646">
        <v>189</v>
      </c>
      <c r="L40" s="646">
        <v>111</v>
      </c>
      <c r="M40" s="352" t="s">
        <v>3</v>
      </c>
    </row>
    <row r="41" spans="1:14" x14ac:dyDescent="0.35">
      <c r="A41" s="352">
        <v>40</v>
      </c>
      <c r="B41" s="685" t="s">
        <v>193</v>
      </c>
      <c r="C41" s="646">
        <v>680</v>
      </c>
      <c r="D41" s="646">
        <v>886</v>
      </c>
      <c r="E41" s="646">
        <v>104</v>
      </c>
      <c r="F41" s="645">
        <v>1090</v>
      </c>
      <c r="G41" s="646"/>
      <c r="H41" s="646"/>
      <c r="I41" s="646"/>
      <c r="J41" s="646">
        <v>523</v>
      </c>
      <c r="K41" s="646">
        <v>117</v>
      </c>
      <c r="L41" s="646">
        <v>40</v>
      </c>
      <c r="M41" s="352" t="s">
        <v>3</v>
      </c>
    </row>
    <row r="42" spans="1:14" x14ac:dyDescent="0.35">
      <c r="A42" s="352">
        <v>41</v>
      </c>
      <c r="B42" s="685" t="s">
        <v>202</v>
      </c>
      <c r="C42" s="646">
        <v>468</v>
      </c>
      <c r="D42" s="646">
        <v>679</v>
      </c>
      <c r="E42" s="646">
        <v>114</v>
      </c>
      <c r="F42" s="646">
        <v>432</v>
      </c>
      <c r="G42" s="646"/>
      <c r="H42" s="646"/>
      <c r="I42" s="646"/>
      <c r="J42" s="646">
        <v>248</v>
      </c>
      <c r="K42" s="646">
        <v>168</v>
      </c>
      <c r="L42" s="646">
        <v>52</v>
      </c>
      <c r="M42" s="352" t="s">
        <v>3</v>
      </c>
    </row>
    <row r="43" spans="1:14" x14ac:dyDescent="0.35">
      <c r="A43" s="352">
        <v>42</v>
      </c>
      <c r="B43" s="685" t="s">
        <v>203</v>
      </c>
      <c r="C43" s="646">
        <v>465</v>
      </c>
      <c r="D43" s="645">
        <v>1061</v>
      </c>
      <c r="E43" s="646">
        <v>138</v>
      </c>
      <c r="F43" s="646">
        <v>302</v>
      </c>
      <c r="G43" s="646"/>
      <c r="H43" s="646"/>
      <c r="I43" s="646"/>
      <c r="J43" s="646">
        <v>294</v>
      </c>
      <c r="K43" s="646">
        <v>130</v>
      </c>
      <c r="L43" s="646">
        <v>41</v>
      </c>
      <c r="M43" s="352" t="s">
        <v>3</v>
      </c>
    </row>
    <row r="44" spans="1:14" x14ac:dyDescent="0.35">
      <c r="A44" s="352">
        <v>43</v>
      </c>
      <c r="B44" s="685" t="s">
        <v>199</v>
      </c>
      <c r="C44" s="646">
        <v>337</v>
      </c>
      <c r="D44" s="646">
        <v>956</v>
      </c>
      <c r="E44" s="646">
        <v>31</v>
      </c>
      <c r="F44" s="646">
        <v>532</v>
      </c>
      <c r="G44" s="646"/>
      <c r="H44" s="646"/>
      <c r="I44" s="646"/>
      <c r="J44" s="646">
        <v>272</v>
      </c>
      <c r="K44" s="646">
        <v>32</v>
      </c>
      <c r="L44" s="646">
        <v>33</v>
      </c>
      <c r="M44" s="352" t="s">
        <v>3</v>
      </c>
    </row>
    <row r="45" spans="1:14" x14ac:dyDescent="0.35">
      <c r="A45" s="352">
        <v>44</v>
      </c>
      <c r="B45" s="685" t="s">
        <v>204</v>
      </c>
      <c r="C45" s="646">
        <v>329</v>
      </c>
      <c r="D45" s="646">
        <v>735</v>
      </c>
      <c r="E45" s="646">
        <v>77</v>
      </c>
      <c r="F45" s="646">
        <v>188</v>
      </c>
      <c r="G45" s="646"/>
      <c r="H45" s="646"/>
      <c r="I45" s="646"/>
      <c r="J45" s="646">
        <v>189</v>
      </c>
      <c r="K45" s="646">
        <v>105</v>
      </c>
      <c r="L45" s="646">
        <v>35</v>
      </c>
      <c r="M45" s="352" t="s">
        <v>3</v>
      </c>
    </row>
    <row r="46" spans="1:14" x14ac:dyDescent="0.35">
      <c r="A46" s="352">
        <v>45</v>
      </c>
      <c r="B46" s="685" t="s">
        <v>210</v>
      </c>
      <c r="C46" s="646">
        <v>280</v>
      </c>
      <c r="D46" s="646">
        <v>714</v>
      </c>
      <c r="E46" s="646">
        <v>91</v>
      </c>
      <c r="F46" s="646">
        <v>831</v>
      </c>
      <c r="G46" s="646"/>
      <c r="H46" s="646"/>
      <c r="I46" s="646"/>
      <c r="J46" s="646">
        <v>34</v>
      </c>
      <c r="K46" s="646">
        <v>127</v>
      </c>
      <c r="L46" s="646">
        <v>119</v>
      </c>
      <c r="M46" s="352" t="s">
        <v>3</v>
      </c>
    </row>
    <row r="47" spans="1:14" x14ac:dyDescent="0.35">
      <c r="A47" s="352">
        <v>46</v>
      </c>
      <c r="B47" s="685" t="s">
        <v>212</v>
      </c>
      <c r="C47" s="646">
        <v>270</v>
      </c>
      <c r="D47" s="646">
        <v>785</v>
      </c>
      <c r="E47" s="646">
        <v>30</v>
      </c>
      <c r="F47" s="646">
        <v>220</v>
      </c>
      <c r="G47" s="646"/>
      <c r="H47" s="646"/>
      <c r="I47" s="646"/>
      <c r="J47" s="646">
        <v>169</v>
      </c>
      <c r="K47" s="646">
        <v>38</v>
      </c>
      <c r="L47" s="646">
        <v>63</v>
      </c>
      <c r="M47" s="352" t="s">
        <v>3</v>
      </c>
    </row>
    <row r="48" spans="1:14" x14ac:dyDescent="0.35">
      <c r="A48" s="352">
        <v>47</v>
      </c>
      <c r="B48" s="685" t="s">
        <v>1319</v>
      </c>
      <c r="C48" s="646">
        <v>265</v>
      </c>
      <c r="D48" s="646">
        <v>825</v>
      </c>
      <c r="E48" s="646">
        <v>51</v>
      </c>
      <c r="F48" s="646">
        <v>292</v>
      </c>
      <c r="G48" s="646"/>
      <c r="H48" s="646"/>
      <c r="I48" s="646"/>
      <c r="J48" s="646">
        <v>131</v>
      </c>
      <c r="K48" s="646">
        <v>62</v>
      </c>
      <c r="L48" s="646">
        <v>72</v>
      </c>
      <c r="M48" s="352" t="s">
        <v>3</v>
      </c>
    </row>
    <row r="49" spans="1:13" x14ac:dyDescent="0.35">
      <c r="A49" s="352">
        <v>48</v>
      </c>
      <c r="B49" s="685" t="s">
        <v>207</v>
      </c>
      <c r="C49" s="646">
        <v>185</v>
      </c>
      <c r="D49" s="646">
        <v>629</v>
      </c>
      <c r="E49" s="646">
        <v>21</v>
      </c>
      <c r="F49" s="646">
        <v>124</v>
      </c>
      <c r="G49" s="646"/>
      <c r="H49" s="646"/>
      <c r="I49" s="646"/>
      <c r="J49" s="646">
        <v>113</v>
      </c>
      <c r="K49" s="646">
        <v>34</v>
      </c>
      <c r="L49" s="646">
        <v>38</v>
      </c>
      <c r="M49" s="352" t="s">
        <v>3</v>
      </c>
    </row>
    <row r="50" spans="1:13" x14ac:dyDescent="0.35">
      <c r="A50" s="352">
        <v>49</v>
      </c>
      <c r="B50" s="686" t="s">
        <v>216</v>
      </c>
      <c r="C50" s="647">
        <v>3859</v>
      </c>
      <c r="D50" s="648">
        <v>702</v>
      </c>
      <c r="E50" s="647">
        <v>1077</v>
      </c>
      <c r="F50" s="647">
        <v>2592</v>
      </c>
      <c r="G50" s="649"/>
      <c r="H50" s="649"/>
      <c r="I50" s="649"/>
      <c r="J50" s="647">
        <v>1927</v>
      </c>
      <c r="K50" s="647">
        <v>1533</v>
      </c>
      <c r="L50" s="649">
        <v>399</v>
      </c>
      <c r="M50" s="352" t="s">
        <v>4</v>
      </c>
    </row>
    <row r="51" spans="1:13" x14ac:dyDescent="0.35">
      <c r="A51" s="352">
        <v>50</v>
      </c>
      <c r="B51" s="686" t="s">
        <v>221</v>
      </c>
      <c r="C51" s="647">
        <v>32533</v>
      </c>
      <c r="D51" s="648">
        <v>709</v>
      </c>
      <c r="E51" s="647">
        <v>11410</v>
      </c>
      <c r="F51" s="647">
        <v>12650</v>
      </c>
      <c r="G51" s="649"/>
      <c r="H51" s="649"/>
      <c r="I51" s="649"/>
      <c r="J51" s="647">
        <v>12652</v>
      </c>
      <c r="K51" s="647">
        <v>16083</v>
      </c>
      <c r="L51" s="647">
        <v>3798</v>
      </c>
      <c r="M51" s="352" t="s">
        <v>4</v>
      </c>
    </row>
    <row r="52" spans="1:13" x14ac:dyDescent="0.35">
      <c r="A52" s="352">
        <v>51</v>
      </c>
      <c r="B52" s="686" t="s">
        <v>225</v>
      </c>
      <c r="C52" s="647">
        <v>27484</v>
      </c>
      <c r="D52" s="648">
        <v>726</v>
      </c>
      <c r="E52" s="647">
        <v>12713</v>
      </c>
      <c r="F52" s="647">
        <v>19505</v>
      </c>
      <c r="G52" s="649"/>
      <c r="H52" s="649"/>
      <c r="I52" s="649"/>
      <c r="J52" s="647">
        <v>8660</v>
      </c>
      <c r="K52" s="647">
        <v>17512</v>
      </c>
      <c r="L52" s="647">
        <v>1312</v>
      </c>
      <c r="M52" s="352" t="s">
        <v>4</v>
      </c>
    </row>
    <row r="53" spans="1:13" x14ac:dyDescent="0.35">
      <c r="A53" s="352">
        <v>52</v>
      </c>
      <c r="B53" s="686" t="s">
        <v>228</v>
      </c>
      <c r="C53" s="647">
        <v>20787</v>
      </c>
      <c r="D53" s="648">
        <v>670</v>
      </c>
      <c r="E53" s="647">
        <v>6634</v>
      </c>
      <c r="F53" s="647">
        <v>8083</v>
      </c>
      <c r="G53" s="649"/>
      <c r="H53" s="649"/>
      <c r="I53" s="649"/>
      <c r="J53" s="647">
        <v>9587</v>
      </c>
      <c r="K53" s="647">
        <v>9901</v>
      </c>
      <c r="L53" s="647">
        <v>1299</v>
      </c>
      <c r="M53" s="352" t="s">
        <v>4</v>
      </c>
    </row>
    <row r="54" spans="1:13" x14ac:dyDescent="0.35">
      <c r="A54" s="352">
        <v>53</v>
      </c>
      <c r="B54" s="686" t="s">
        <v>224</v>
      </c>
      <c r="C54" s="647">
        <v>11118</v>
      </c>
      <c r="D54" s="648">
        <v>666</v>
      </c>
      <c r="E54" s="647">
        <v>3343</v>
      </c>
      <c r="F54" s="647">
        <v>9667</v>
      </c>
      <c r="G54" s="649"/>
      <c r="H54" s="649"/>
      <c r="I54" s="649"/>
      <c r="J54" s="647">
        <v>5739</v>
      </c>
      <c r="K54" s="647">
        <v>5022</v>
      </c>
      <c r="L54" s="649">
        <v>357</v>
      </c>
      <c r="M54" s="352" t="s">
        <v>4</v>
      </c>
    </row>
    <row r="55" spans="1:13" x14ac:dyDescent="0.35">
      <c r="A55" s="352">
        <v>54</v>
      </c>
      <c r="B55" s="686" t="s">
        <v>223</v>
      </c>
      <c r="C55" s="647">
        <f>10340+258</f>
        <v>10598</v>
      </c>
      <c r="D55" s="648">
        <f>730+1473</f>
        <v>2203</v>
      </c>
      <c r="E55" s="647">
        <f>3647+380</f>
        <v>4027</v>
      </c>
      <c r="F55" s="647">
        <f>10259+206</f>
        <v>10465</v>
      </c>
      <c r="G55" s="649"/>
      <c r="H55" s="649"/>
      <c r="I55" s="649"/>
      <c r="J55" s="647">
        <v>4591</v>
      </c>
      <c r="K55" s="647">
        <f>4999+258</f>
        <v>5257</v>
      </c>
      <c r="L55" s="649">
        <v>750</v>
      </c>
      <c r="M55" s="352" t="s">
        <v>4</v>
      </c>
    </row>
    <row r="56" spans="1:13" x14ac:dyDescent="0.35">
      <c r="A56" s="352">
        <v>55</v>
      </c>
      <c r="B56" s="686" t="s">
        <v>220</v>
      </c>
      <c r="C56" s="647">
        <v>9209</v>
      </c>
      <c r="D56" s="648">
        <v>699</v>
      </c>
      <c r="E56" s="647">
        <v>3223</v>
      </c>
      <c r="F56" s="647">
        <v>12401</v>
      </c>
      <c r="G56" s="649"/>
      <c r="H56" s="649"/>
      <c r="I56" s="649"/>
      <c r="J56" s="647">
        <v>3852</v>
      </c>
      <c r="K56" s="647">
        <v>4614</v>
      </c>
      <c r="L56" s="649">
        <v>743</v>
      </c>
      <c r="M56" s="352" t="s">
        <v>4</v>
      </c>
    </row>
    <row r="57" spans="1:13" x14ac:dyDescent="0.35">
      <c r="A57" s="352">
        <v>56</v>
      </c>
      <c r="B57" s="686" t="s">
        <v>218</v>
      </c>
      <c r="C57" s="647">
        <f>6400+1499</f>
        <v>7899</v>
      </c>
      <c r="D57" s="648">
        <f>708+1359</f>
        <v>2067</v>
      </c>
      <c r="E57" s="647">
        <f>2185+2037</f>
        <v>4222</v>
      </c>
      <c r="F57" s="647">
        <f>5341+1199</f>
        <v>6540</v>
      </c>
      <c r="G57" s="649"/>
      <c r="H57" s="649"/>
      <c r="I57" s="649"/>
      <c r="J57" s="647">
        <v>2973</v>
      </c>
      <c r="K57" s="647">
        <f>3086+1499</f>
        <v>4585</v>
      </c>
      <c r="L57" s="649">
        <v>341</v>
      </c>
      <c r="M57" s="352" t="s">
        <v>4</v>
      </c>
    </row>
    <row r="58" spans="1:13" x14ac:dyDescent="0.35">
      <c r="A58" s="352">
        <v>57</v>
      </c>
      <c r="B58" s="686" t="s">
        <v>217</v>
      </c>
      <c r="C58" s="647">
        <v>6486</v>
      </c>
      <c r="D58" s="648">
        <v>706</v>
      </c>
      <c r="E58" s="647">
        <v>2753</v>
      </c>
      <c r="F58" s="647">
        <v>7070</v>
      </c>
      <c r="G58" s="649"/>
      <c r="H58" s="649"/>
      <c r="I58" s="649"/>
      <c r="J58" s="647">
        <v>2267</v>
      </c>
      <c r="K58" s="647">
        <v>3901</v>
      </c>
      <c r="L58" s="649">
        <v>318</v>
      </c>
      <c r="M58" s="352" t="s">
        <v>4</v>
      </c>
    </row>
    <row r="59" spans="1:13" x14ac:dyDescent="0.35">
      <c r="A59" s="352">
        <v>58</v>
      </c>
      <c r="B59" s="686" t="s">
        <v>219</v>
      </c>
      <c r="C59" s="647">
        <v>6352</v>
      </c>
      <c r="D59" s="648">
        <v>700</v>
      </c>
      <c r="E59" s="647">
        <v>1904</v>
      </c>
      <c r="F59" s="647">
        <v>4751</v>
      </c>
      <c r="G59" s="649"/>
      <c r="H59" s="649"/>
      <c r="I59" s="649"/>
      <c r="J59" s="647">
        <v>3231</v>
      </c>
      <c r="K59" s="647">
        <v>2721</v>
      </c>
      <c r="L59" s="649">
        <v>400</v>
      </c>
      <c r="M59" s="352" t="s">
        <v>4</v>
      </c>
    </row>
    <row r="60" spans="1:13" x14ac:dyDescent="0.35">
      <c r="A60" s="352">
        <v>59</v>
      </c>
      <c r="B60" s="686" t="s">
        <v>231</v>
      </c>
      <c r="C60" s="647">
        <v>5369</v>
      </c>
      <c r="D60" s="648">
        <v>706</v>
      </c>
      <c r="E60" s="647">
        <v>1714</v>
      </c>
      <c r="F60" s="647">
        <v>4420</v>
      </c>
      <c r="G60" s="649"/>
      <c r="H60" s="649"/>
      <c r="I60" s="649"/>
      <c r="J60" s="647">
        <v>2759</v>
      </c>
      <c r="K60" s="647">
        <v>2427</v>
      </c>
      <c r="L60" s="649">
        <v>183</v>
      </c>
      <c r="M60" s="352" t="s">
        <v>4</v>
      </c>
    </row>
    <row r="61" spans="1:13" x14ac:dyDescent="0.35">
      <c r="A61" s="352">
        <v>60</v>
      </c>
      <c r="B61" s="686" t="s">
        <v>227</v>
      </c>
      <c r="C61" s="647">
        <v>4439</v>
      </c>
      <c r="D61" s="648">
        <v>697</v>
      </c>
      <c r="E61" s="647">
        <v>1613</v>
      </c>
      <c r="F61" s="647">
        <v>7764</v>
      </c>
      <c r="G61" s="649"/>
      <c r="H61" s="649"/>
      <c r="I61" s="649"/>
      <c r="J61" s="647">
        <v>1919</v>
      </c>
      <c r="K61" s="647">
        <v>2313</v>
      </c>
      <c r="L61" s="649">
        <v>207</v>
      </c>
      <c r="M61" s="352" t="s">
        <v>4</v>
      </c>
    </row>
    <row r="62" spans="1:13" x14ac:dyDescent="0.35">
      <c r="A62" s="352">
        <v>61</v>
      </c>
      <c r="B62" s="686" t="s">
        <v>226</v>
      </c>
      <c r="C62" s="647">
        <v>3846</v>
      </c>
      <c r="D62" s="648">
        <v>786</v>
      </c>
      <c r="E62" s="647">
        <v>1210</v>
      </c>
      <c r="F62" s="647">
        <v>5179</v>
      </c>
      <c r="G62" s="649"/>
      <c r="H62" s="649"/>
      <c r="I62" s="649"/>
      <c r="J62" s="647">
        <v>2168</v>
      </c>
      <c r="K62" s="647">
        <v>1541</v>
      </c>
      <c r="L62" s="649">
        <v>137</v>
      </c>
      <c r="M62" s="352" t="s">
        <v>4</v>
      </c>
    </row>
    <row r="63" spans="1:13" x14ac:dyDescent="0.35">
      <c r="A63" s="352">
        <v>62</v>
      </c>
      <c r="B63" s="686" t="s">
        <v>234</v>
      </c>
      <c r="C63" s="647">
        <v>3444</v>
      </c>
      <c r="D63" s="648">
        <v>701</v>
      </c>
      <c r="E63" s="647">
        <v>1165</v>
      </c>
      <c r="F63" s="647">
        <v>7556</v>
      </c>
      <c r="G63" s="649"/>
      <c r="H63" s="649"/>
      <c r="I63" s="649"/>
      <c r="J63" s="647">
        <v>1640</v>
      </c>
      <c r="K63" s="647">
        <v>1661</v>
      </c>
      <c r="L63" s="649">
        <v>143</v>
      </c>
      <c r="M63" s="352" t="s">
        <v>4</v>
      </c>
    </row>
    <row r="64" spans="1:13" x14ac:dyDescent="0.35">
      <c r="A64" s="352">
        <v>63</v>
      </c>
      <c r="B64" s="686" t="s">
        <v>222</v>
      </c>
      <c r="C64" s="647">
        <v>2195</v>
      </c>
      <c r="D64" s="648">
        <v>709</v>
      </c>
      <c r="E64" s="649">
        <v>773</v>
      </c>
      <c r="F64" s="647">
        <v>1160</v>
      </c>
      <c r="G64" s="649"/>
      <c r="H64" s="649"/>
      <c r="I64" s="649"/>
      <c r="J64" s="649">
        <v>950</v>
      </c>
      <c r="K64" s="647">
        <v>1090</v>
      </c>
      <c r="L64" s="649">
        <v>155</v>
      </c>
      <c r="M64" s="352" t="s">
        <v>4</v>
      </c>
    </row>
    <row r="65" spans="1:13" x14ac:dyDescent="0.35">
      <c r="A65" s="352">
        <v>64</v>
      </c>
      <c r="B65" s="686" t="s">
        <v>229</v>
      </c>
      <c r="C65" s="647">
        <v>2118</v>
      </c>
      <c r="D65" s="648">
        <v>639</v>
      </c>
      <c r="E65" s="649">
        <v>675</v>
      </c>
      <c r="F65" s="647">
        <v>2052</v>
      </c>
      <c r="G65" s="649"/>
      <c r="H65" s="649"/>
      <c r="I65" s="649"/>
      <c r="J65" s="649">
        <v>987</v>
      </c>
      <c r="K65" s="647">
        <v>1056</v>
      </c>
      <c r="L65" s="649">
        <v>75</v>
      </c>
      <c r="M65" s="352" t="s">
        <v>4</v>
      </c>
    </row>
    <row r="66" spans="1:13" x14ac:dyDescent="0.35">
      <c r="A66" s="352">
        <v>65</v>
      </c>
      <c r="B66" s="686" t="s">
        <v>230</v>
      </c>
      <c r="C66" s="649">
        <v>913</v>
      </c>
      <c r="D66" s="648">
        <v>684</v>
      </c>
      <c r="E66" s="649">
        <v>324</v>
      </c>
      <c r="F66" s="649">
        <v>534</v>
      </c>
      <c r="G66" s="649"/>
      <c r="H66" s="649"/>
      <c r="I66" s="649"/>
      <c r="J66" s="649">
        <v>406</v>
      </c>
      <c r="K66" s="649">
        <v>473</v>
      </c>
      <c r="L66" s="649">
        <v>34</v>
      </c>
      <c r="M66" s="352" t="s">
        <v>4</v>
      </c>
    </row>
    <row r="67" spans="1:13" x14ac:dyDescent="0.35">
      <c r="A67" s="352">
        <v>66</v>
      </c>
      <c r="B67" s="686" t="s">
        <v>233</v>
      </c>
      <c r="C67" s="649">
        <v>126</v>
      </c>
      <c r="D67" s="648">
        <v>471</v>
      </c>
      <c r="E67" s="649">
        <v>22</v>
      </c>
      <c r="F67" s="649">
        <v>968</v>
      </c>
      <c r="G67" s="649"/>
      <c r="H67" s="649"/>
      <c r="I67" s="649"/>
      <c r="J67" s="649">
        <v>66</v>
      </c>
      <c r="K67" s="649">
        <v>47</v>
      </c>
      <c r="L67" s="649">
        <v>13</v>
      </c>
      <c r="M67" s="352" t="s">
        <v>4</v>
      </c>
    </row>
    <row r="68" spans="1:13" x14ac:dyDescent="0.35">
      <c r="A68" s="352">
        <v>67</v>
      </c>
      <c r="B68" s="686" t="s">
        <v>232</v>
      </c>
      <c r="C68" s="649">
        <v>89</v>
      </c>
      <c r="D68" s="648">
        <v>705</v>
      </c>
      <c r="E68" s="649">
        <v>19</v>
      </c>
      <c r="F68" s="649">
        <v>140</v>
      </c>
      <c r="G68" s="649"/>
      <c r="H68" s="649"/>
      <c r="I68" s="649"/>
      <c r="J68" s="649">
        <v>61</v>
      </c>
      <c r="K68" s="649">
        <v>26</v>
      </c>
      <c r="L68" s="649">
        <v>2</v>
      </c>
      <c r="M68" s="352" t="s">
        <v>4</v>
      </c>
    </row>
    <row r="69" spans="1:13" x14ac:dyDescent="0.35">
      <c r="A69" s="352">
        <v>68</v>
      </c>
      <c r="B69" s="596" t="s">
        <v>235</v>
      </c>
      <c r="C69" s="650">
        <v>322</v>
      </c>
      <c r="D69" s="650">
        <v>210</v>
      </c>
      <c r="E69" s="650">
        <v>28</v>
      </c>
      <c r="F69" s="650">
        <v>5386</v>
      </c>
      <c r="G69" s="651"/>
      <c r="H69" s="651"/>
      <c r="I69" s="651"/>
      <c r="J69" s="650">
        <v>109</v>
      </c>
      <c r="K69" s="650">
        <v>133</v>
      </c>
      <c r="L69" s="650">
        <v>80</v>
      </c>
      <c r="M69" s="352" t="s">
        <v>5</v>
      </c>
    </row>
    <row r="70" spans="1:13" x14ac:dyDescent="0.35">
      <c r="A70" s="352">
        <v>69</v>
      </c>
      <c r="B70" s="596" t="s">
        <v>239</v>
      </c>
      <c r="C70" s="650">
        <f>262+2749</f>
        <v>3011</v>
      </c>
      <c r="D70" s="650">
        <f>215+871</f>
        <v>1086</v>
      </c>
      <c r="E70" s="650">
        <f>22+2395</f>
        <v>2417</v>
      </c>
      <c r="F70" s="650">
        <f>3078+2199</f>
        <v>5277</v>
      </c>
      <c r="G70" s="651"/>
      <c r="H70" s="651"/>
      <c r="I70" s="651"/>
      <c r="J70" s="650">
        <v>94</v>
      </c>
      <c r="K70" s="650">
        <f>102+2749</f>
        <v>2851</v>
      </c>
      <c r="L70" s="650">
        <v>66</v>
      </c>
      <c r="M70" s="352" t="s">
        <v>5</v>
      </c>
    </row>
    <row r="71" spans="1:13" x14ac:dyDescent="0.35">
      <c r="A71" s="352">
        <v>70</v>
      </c>
      <c r="B71" s="596" t="s">
        <v>244</v>
      </c>
      <c r="C71" s="650">
        <v>1870</v>
      </c>
      <c r="D71" s="650">
        <v>685</v>
      </c>
      <c r="E71" s="650">
        <v>286</v>
      </c>
      <c r="F71" s="650">
        <v>1027</v>
      </c>
      <c r="G71" s="651"/>
      <c r="H71" s="651"/>
      <c r="I71" s="651"/>
      <c r="J71" s="650">
        <v>450</v>
      </c>
      <c r="K71" s="650">
        <v>418</v>
      </c>
      <c r="L71" s="650">
        <v>1001</v>
      </c>
      <c r="M71" s="352" t="s">
        <v>5</v>
      </c>
    </row>
    <row r="72" spans="1:13" x14ac:dyDescent="0.35">
      <c r="A72" s="352">
        <v>71</v>
      </c>
      <c r="B72" s="596" t="s">
        <v>237</v>
      </c>
      <c r="C72" s="650">
        <v>706</v>
      </c>
      <c r="D72" s="650">
        <v>433</v>
      </c>
      <c r="E72" s="650">
        <v>59</v>
      </c>
      <c r="F72" s="650">
        <v>495</v>
      </c>
      <c r="G72" s="651"/>
      <c r="H72" s="651"/>
      <c r="I72" s="651"/>
      <c r="J72" s="652">
        <v>509</v>
      </c>
      <c r="K72" s="650">
        <v>135</v>
      </c>
      <c r="L72" s="650">
        <v>62</v>
      </c>
      <c r="M72" s="352" t="s">
        <v>5</v>
      </c>
    </row>
    <row r="73" spans="1:13" x14ac:dyDescent="0.35">
      <c r="A73" s="352">
        <v>72</v>
      </c>
      <c r="B73" s="596" t="s">
        <v>238</v>
      </c>
      <c r="C73" s="650">
        <v>648</v>
      </c>
      <c r="D73" s="650">
        <v>377</v>
      </c>
      <c r="E73" s="650">
        <v>123</v>
      </c>
      <c r="F73" s="650">
        <v>2664</v>
      </c>
      <c r="G73" s="651"/>
      <c r="H73" s="651"/>
      <c r="I73" s="651"/>
      <c r="J73" s="650">
        <v>158</v>
      </c>
      <c r="K73" s="650">
        <v>326</v>
      </c>
      <c r="L73" s="650">
        <v>164</v>
      </c>
      <c r="M73" s="352" t="s">
        <v>5</v>
      </c>
    </row>
    <row r="74" spans="1:13" x14ac:dyDescent="0.35">
      <c r="A74" s="352">
        <v>73</v>
      </c>
      <c r="B74" s="596" t="s">
        <v>241</v>
      </c>
      <c r="C74" s="650">
        <v>269</v>
      </c>
      <c r="D74" s="650">
        <v>628</v>
      </c>
      <c r="E74" s="650">
        <v>78</v>
      </c>
      <c r="F74" s="652">
        <v>487</v>
      </c>
      <c r="G74" s="651"/>
      <c r="H74" s="651"/>
      <c r="I74" s="651"/>
      <c r="J74" s="652">
        <v>62</v>
      </c>
      <c r="K74" s="650">
        <v>124</v>
      </c>
      <c r="L74" s="650">
        <v>83</v>
      </c>
      <c r="M74" s="352" t="s">
        <v>5</v>
      </c>
    </row>
    <row r="75" spans="1:13" x14ac:dyDescent="0.35">
      <c r="A75" s="352">
        <v>74</v>
      </c>
      <c r="B75" s="596" t="s">
        <v>236</v>
      </c>
      <c r="C75" s="650">
        <v>195</v>
      </c>
      <c r="D75" s="650">
        <v>598</v>
      </c>
      <c r="E75" s="650">
        <v>78</v>
      </c>
      <c r="F75" s="650">
        <v>492</v>
      </c>
      <c r="G75" s="651"/>
      <c r="H75" s="651"/>
      <c r="I75" s="651"/>
      <c r="J75" s="650"/>
      <c r="K75" s="650">
        <v>131</v>
      </c>
      <c r="L75" s="650">
        <v>64</v>
      </c>
      <c r="M75" s="352" t="s">
        <v>5</v>
      </c>
    </row>
    <row r="76" spans="1:13" x14ac:dyDescent="0.35">
      <c r="A76" s="352">
        <v>75</v>
      </c>
      <c r="B76" s="596" t="s">
        <v>243</v>
      </c>
      <c r="C76" s="650">
        <v>55</v>
      </c>
      <c r="D76" s="650">
        <v>733</v>
      </c>
      <c r="E76" s="650">
        <v>11</v>
      </c>
      <c r="F76" s="650">
        <v>118</v>
      </c>
      <c r="G76" s="651"/>
      <c r="H76" s="651"/>
      <c r="I76" s="651"/>
      <c r="J76" s="650">
        <v>25</v>
      </c>
      <c r="K76" s="650">
        <v>15</v>
      </c>
      <c r="L76" s="650">
        <v>14</v>
      </c>
      <c r="M76" s="352" t="s">
        <v>5</v>
      </c>
    </row>
    <row r="77" spans="1:13" x14ac:dyDescent="0.35">
      <c r="A77" s="352">
        <v>76</v>
      </c>
      <c r="B77" s="596" t="s">
        <v>242</v>
      </c>
      <c r="C77" s="650">
        <v>26</v>
      </c>
      <c r="D77" s="650">
        <v>575</v>
      </c>
      <c r="E77" s="650">
        <v>6</v>
      </c>
      <c r="F77" s="650">
        <v>45</v>
      </c>
      <c r="G77" s="651"/>
      <c r="H77" s="651"/>
      <c r="I77" s="651"/>
      <c r="J77" s="650">
        <v>8</v>
      </c>
      <c r="K77" s="650">
        <v>10</v>
      </c>
      <c r="L77" s="650">
        <v>8</v>
      </c>
      <c r="M77" s="352" t="s">
        <v>5</v>
      </c>
    </row>
    <row r="78" spans="1:13" x14ac:dyDescent="0.35">
      <c r="A78" s="352">
        <v>77</v>
      </c>
      <c r="B78" s="596" t="s">
        <v>245</v>
      </c>
      <c r="C78" s="650">
        <v>13</v>
      </c>
      <c r="D78" s="650"/>
      <c r="E78" s="650"/>
      <c r="F78" s="650">
        <v>36</v>
      </c>
      <c r="G78" s="651"/>
      <c r="H78" s="651"/>
      <c r="I78" s="651"/>
      <c r="J78" s="650">
        <v>13</v>
      </c>
      <c r="K78" s="650"/>
      <c r="L78" s="650"/>
      <c r="M78" s="352" t="s">
        <v>5</v>
      </c>
    </row>
    <row r="79" spans="1:13" x14ac:dyDescent="0.35">
      <c r="A79" s="352">
        <v>78</v>
      </c>
      <c r="B79" s="596" t="s">
        <v>240</v>
      </c>
      <c r="C79" s="650"/>
      <c r="D79" s="650"/>
      <c r="E79" s="650"/>
      <c r="F79" s="650"/>
      <c r="G79" s="651"/>
      <c r="H79" s="651"/>
      <c r="I79" s="651"/>
      <c r="J79" s="650"/>
      <c r="K79" s="650"/>
      <c r="L79" s="650"/>
      <c r="M79" s="352" t="s">
        <v>5</v>
      </c>
    </row>
    <row r="80" spans="1:13" x14ac:dyDescent="0.35">
      <c r="A80" s="352">
        <v>79</v>
      </c>
      <c r="B80" s="596" t="s">
        <v>246</v>
      </c>
      <c r="C80" s="650"/>
      <c r="D80" s="650"/>
      <c r="E80" s="650"/>
      <c r="F80" s="650"/>
      <c r="G80" s="651"/>
      <c r="H80" s="651"/>
      <c r="I80" s="651"/>
      <c r="J80" s="650"/>
      <c r="K80" s="650"/>
      <c r="L80" s="650"/>
      <c r="M80" s="352" t="s">
        <v>5</v>
      </c>
    </row>
    <row r="81" spans="1:13" x14ac:dyDescent="0.35">
      <c r="A81" s="352">
        <v>80</v>
      </c>
      <c r="B81" s="687" t="s">
        <v>247</v>
      </c>
      <c r="C81" s="653">
        <v>21</v>
      </c>
      <c r="D81" s="653">
        <v>1</v>
      </c>
      <c r="E81" s="653">
        <v>500</v>
      </c>
      <c r="F81" s="654">
        <v>210</v>
      </c>
      <c r="G81" s="654"/>
      <c r="H81" s="654"/>
      <c r="I81" s="654"/>
      <c r="J81" s="653">
        <v>17</v>
      </c>
      <c r="K81" s="653">
        <v>3</v>
      </c>
      <c r="L81" s="653">
        <v>1</v>
      </c>
      <c r="M81" s="352" t="s">
        <v>6</v>
      </c>
    </row>
    <row r="82" spans="1:13" x14ac:dyDescent="0.35">
      <c r="A82" s="352">
        <v>81</v>
      </c>
      <c r="B82" s="687" t="s">
        <v>248</v>
      </c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352" t="s">
        <v>6</v>
      </c>
    </row>
    <row r="83" spans="1:13" x14ac:dyDescent="0.35">
      <c r="A83" s="352">
        <v>82</v>
      </c>
      <c r="B83" s="687" t="s">
        <v>249</v>
      </c>
      <c r="C83" s="654">
        <v>2</v>
      </c>
      <c r="D83" s="653"/>
      <c r="E83" s="654"/>
      <c r="F83" s="654">
        <v>2</v>
      </c>
      <c r="G83" s="654"/>
      <c r="H83" s="654"/>
      <c r="I83" s="654"/>
      <c r="J83" s="653">
        <v>2</v>
      </c>
      <c r="K83" s="653"/>
      <c r="L83" s="653"/>
      <c r="M83" s="352" t="s">
        <v>6</v>
      </c>
    </row>
    <row r="84" spans="1:13" x14ac:dyDescent="0.35">
      <c r="A84" s="352">
        <v>83</v>
      </c>
      <c r="B84" s="609" t="s">
        <v>250</v>
      </c>
      <c r="C84" s="655">
        <v>58</v>
      </c>
      <c r="D84" s="655">
        <v>978</v>
      </c>
      <c r="E84" s="655">
        <v>31</v>
      </c>
      <c r="F84" s="655">
        <v>450</v>
      </c>
      <c r="G84" s="656"/>
      <c r="H84" s="656"/>
      <c r="I84" s="656"/>
      <c r="J84" s="655">
        <v>3</v>
      </c>
      <c r="K84" s="655">
        <v>32</v>
      </c>
      <c r="L84" s="655">
        <v>23</v>
      </c>
      <c r="M84" s="352" t="s">
        <v>7</v>
      </c>
    </row>
    <row r="85" spans="1:13" x14ac:dyDescent="0.35">
      <c r="A85" s="352">
        <v>84</v>
      </c>
      <c r="B85" s="609" t="s">
        <v>251</v>
      </c>
      <c r="C85" s="655">
        <v>784</v>
      </c>
      <c r="D85" s="655">
        <v>737</v>
      </c>
      <c r="E85" s="655">
        <v>196</v>
      </c>
      <c r="F85" s="657">
        <v>1077</v>
      </c>
      <c r="G85" s="656"/>
      <c r="H85" s="656"/>
      <c r="I85" s="656"/>
      <c r="J85" s="655">
        <v>280</v>
      </c>
      <c r="K85" s="655">
        <v>267</v>
      </c>
      <c r="L85" s="655">
        <v>237</v>
      </c>
      <c r="M85" s="352" t="s">
        <v>7</v>
      </c>
    </row>
    <row r="86" spans="1:13" x14ac:dyDescent="0.35">
      <c r="A86" s="352">
        <v>85</v>
      </c>
      <c r="B86" s="609" t="s">
        <v>256</v>
      </c>
      <c r="C86" s="655">
        <v>376</v>
      </c>
      <c r="D86" s="655">
        <v>237</v>
      </c>
      <c r="E86" s="655">
        <v>41</v>
      </c>
      <c r="F86" s="655">
        <v>190</v>
      </c>
      <c r="G86" s="656"/>
      <c r="H86" s="656"/>
      <c r="I86" s="656"/>
      <c r="J86" s="655">
        <v>121</v>
      </c>
      <c r="K86" s="655">
        <v>174</v>
      </c>
      <c r="L86" s="655">
        <v>83</v>
      </c>
      <c r="M86" s="352" t="s">
        <v>7</v>
      </c>
    </row>
    <row r="87" spans="1:13" x14ac:dyDescent="0.35">
      <c r="A87" s="352">
        <v>86</v>
      </c>
      <c r="B87" s="609" t="s">
        <v>257</v>
      </c>
      <c r="C87" s="655">
        <v>369</v>
      </c>
      <c r="D87" s="655">
        <v>756</v>
      </c>
      <c r="E87" s="655">
        <v>115</v>
      </c>
      <c r="F87" s="655">
        <v>690</v>
      </c>
      <c r="G87" s="656"/>
      <c r="H87" s="656"/>
      <c r="I87" s="656"/>
      <c r="J87" s="655">
        <v>61</v>
      </c>
      <c r="K87" s="655">
        <v>152</v>
      </c>
      <c r="L87" s="655">
        <v>156</v>
      </c>
      <c r="M87" s="352" t="s">
        <v>7</v>
      </c>
    </row>
    <row r="88" spans="1:13" x14ac:dyDescent="0.35">
      <c r="A88" s="352">
        <v>87</v>
      </c>
      <c r="B88" s="609" t="s">
        <v>258</v>
      </c>
      <c r="C88" s="655">
        <v>220</v>
      </c>
      <c r="D88" s="655">
        <v>480</v>
      </c>
      <c r="E88" s="655">
        <v>16</v>
      </c>
      <c r="F88" s="655">
        <v>440</v>
      </c>
      <c r="G88" s="656"/>
      <c r="H88" s="656"/>
      <c r="I88" s="656"/>
      <c r="J88" s="655">
        <v>162</v>
      </c>
      <c r="K88" s="655">
        <v>34</v>
      </c>
      <c r="L88" s="655">
        <v>24</v>
      </c>
      <c r="M88" s="352" t="s">
        <v>7</v>
      </c>
    </row>
    <row r="89" spans="1:13" x14ac:dyDescent="0.35">
      <c r="A89" s="352">
        <v>88</v>
      </c>
      <c r="B89" s="609" t="s">
        <v>254</v>
      </c>
      <c r="C89" s="655">
        <v>173</v>
      </c>
      <c r="D89" s="655">
        <v>647</v>
      </c>
      <c r="E89" s="655">
        <v>38</v>
      </c>
      <c r="F89" s="657">
        <v>2236</v>
      </c>
      <c r="G89" s="656"/>
      <c r="H89" s="656"/>
      <c r="I89" s="656"/>
      <c r="J89" s="655">
        <v>81</v>
      </c>
      <c r="K89" s="655">
        <v>58</v>
      </c>
      <c r="L89" s="655">
        <v>34</v>
      </c>
      <c r="M89" s="352" t="s">
        <v>7</v>
      </c>
    </row>
    <row r="90" spans="1:13" x14ac:dyDescent="0.35">
      <c r="A90" s="352">
        <v>89</v>
      </c>
      <c r="B90" s="609" t="s">
        <v>253</v>
      </c>
      <c r="C90" s="655">
        <v>159</v>
      </c>
      <c r="D90" s="655">
        <v>528</v>
      </c>
      <c r="E90" s="655">
        <v>17</v>
      </c>
      <c r="F90" s="655">
        <v>522</v>
      </c>
      <c r="G90" s="656"/>
      <c r="H90" s="656"/>
      <c r="I90" s="656"/>
      <c r="J90" s="655">
        <v>110</v>
      </c>
      <c r="K90" s="655">
        <v>32</v>
      </c>
      <c r="L90" s="655">
        <v>17</v>
      </c>
      <c r="M90" s="352" t="s">
        <v>7</v>
      </c>
    </row>
    <row r="91" spans="1:13" x14ac:dyDescent="0.35">
      <c r="A91" s="352">
        <v>90</v>
      </c>
      <c r="B91" s="609" t="s">
        <v>259</v>
      </c>
      <c r="C91" s="656">
        <v>88</v>
      </c>
      <c r="D91" s="655">
        <v>491</v>
      </c>
      <c r="E91" s="656">
        <v>19</v>
      </c>
      <c r="F91" s="656">
        <v>181</v>
      </c>
      <c r="G91" s="656"/>
      <c r="H91" s="656"/>
      <c r="I91" s="656"/>
      <c r="J91" s="655">
        <v>33</v>
      </c>
      <c r="K91" s="655">
        <v>38</v>
      </c>
      <c r="L91" s="655">
        <v>17</v>
      </c>
      <c r="M91" s="352" t="s">
        <v>7</v>
      </c>
    </row>
    <row r="92" spans="1:13" x14ac:dyDescent="0.35">
      <c r="A92" s="352">
        <v>91</v>
      </c>
      <c r="B92" s="609" t="s">
        <v>252</v>
      </c>
      <c r="C92" s="655">
        <v>41</v>
      </c>
      <c r="D92" s="657">
        <v>1154</v>
      </c>
      <c r="E92" s="655">
        <v>21</v>
      </c>
      <c r="F92" s="655">
        <v>53</v>
      </c>
      <c r="G92" s="656"/>
      <c r="H92" s="656"/>
      <c r="I92" s="656"/>
      <c r="J92" s="655">
        <v>13</v>
      </c>
      <c r="K92" s="655">
        <v>18</v>
      </c>
      <c r="L92" s="655">
        <v>10</v>
      </c>
      <c r="M92" s="352" t="s">
        <v>7</v>
      </c>
    </row>
    <row r="93" spans="1:13" x14ac:dyDescent="0.35">
      <c r="A93" s="352">
        <v>92</v>
      </c>
      <c r="B93" s="688" t="s">
        <v>255</v>
      </c>
      <c r="C93" s="656"/>
      <c r="D93" s="656"/>
      <c r="E93" s="656"/>
      <c r="F93" s="656"/>
      <c r="G93" s="656"/>
      <c r="H93" s="656"/>
      <c r="I93" s="656"/>
      <c r="J93" s="655"/>
      <c r="K93" s="655"/>
      <c r="L93" s="656"/>
      <c r="M93" s="352" t="s">
        <v>7</v>
      </c>
    </row>
    <row r="94" spans="1:13" x14ac:dyDescent="0.35">
      <c r="A94" s="352">
        <v>93</v>
      </c>
      <c r="B94" s="604" t="s">
        <v>260</v>
      </c>
      <c r="C94" s="658">
        <v>4511</v>
      </c>
      <c r="D94" s="658">
        <v>1040</v>
      </c>
      <c r="E94" s="658">
        <v>1576</v>
      </c>
      <c r="F94" s="658">
        <v>2869</v>
      </c>
      <c r="G94" s="659"/>
      <c r="H94" s="659"/>
      <c r="I94" s="659"/>
      <c r="J94" s="658">
        <v>2288</v>
      </c>
      <c r="K94" s="658">
        <v>1516</v>
      </c>
      <c r="L94" s="658">
        <v>707</v>
      </c>
      <c r="M94" s="352" t="s">
        <v>8</v>
      </c>
    </row>
    <row r="95" spans="1:13" x14ac:dyDescent="0.35">
      <c r="A95" s="352">
        <v>94</v>
      </c>
      <c r="B95" s="604" t="s">
        <v>270</v>
      </c>
      <c r="C95" s="658">
        <v>1688</v>
      </c>
      <c r="D95" s="658">
        <v>870</v>
      </c>
      <c r="E95" s="658">
        <v>513</v>
      </c>
      <c r="F95" s="658">
        <v>3820</v>
      </c>
      <c r="G95" s="659"/>
      <c r="H95" s="659"/>
      <c r="I95" s="659"/>
      <c r="J95" s="658">
        <v>781</v>
      </c>
      <c r="K95" s="658">
        <v>590</v>
      </c>
      <c r="L95" s="658">
        <v>317</v>
      </c>
      <c r="M95" s="352" t="s">
        <v>8</v>
      </c>
    </row>
    <row r="96" spans="1:13" x14ac:dyDescent="0.35">
      <c r="A96" s="352">
        <v>95</v>
      </c>
      <c r="B96" s="604" t="s">
        <v>262</v>
      </c>
      <c r="C96" s="658">
        <v>1207</v>
      </c>
      <c r="D96" s="658">
        <v>244</v>
      </c>
      <c r="E96" s="658">
        <v>179</v>
      </c>
      <c r="F96" s="658">
        <v>1402</v>
      </c>
      <c r="G96" s="659"/>
      <c r="H96" s="659"/>
      <c r="I96" s="659"/>
      <c r="J96" s="658">
        <v>24</v>
      </c>
      <c r="K96" s="658">
        <v>734</v>
      </c>
      <c r="L96" s="658">
        <v>449</v>
      </c>
      <c r="M96" s="352" t="s">
        <v>8</v>
      </c>
    </row>
    <row r="97" spans="1:13" x14ac:dyDescent="0.35">
      <c r="A97" s="352">
        <v>96</v>
      </c>
      <c r="B97" s="604" t="s">
        <v>261</v>
      </c>
      <c r="C97" s="658">
        <v>1019</v>
      </c>
      <c r="D97" s="658">
        <v>124</v>
      </c>
      <c r="E97" s="658">
        <v>35</v>
      </c>
      <c r="F97" s="658">
        <v>676</v>
      </c>
      <c r="G97" s="659"/>
      <c r="H97" s="659"/>
      <c r="I97" s="659"/>
      <c r="J97" s="658">
        <v>388</v>
      </c>
      <c r="K97" s="658">
        <v>279</v>
      </c>
      <c r="L97" s="658">
        <v>352</v>
      </c>
      <c r="M97" s="352" t="s">
        <v>8</v>
      </c>
    </row>
    <row r="98" spans="1:13" x14ac:dyDescent="0.35">
      <c r="A98" s="352">
        <v>97</v>
      </c>
      <c r="B98" s="604" t="s">
        <v>271</v>
      </c>
      <c r="C98" s="658">
        <v>836</v>
      </c>
      <c r="D98" s="658">
        <v>910</v>
      </c>
      <c r="E98" s="658">
        <v>293</v>
      </c>
      <c r="F98" s="658">
        <v>2021</v>
      </c>
      <c r="G98" s="659"/>
      <c r="H98" s="659"/>
      <c r="I98" s="659"/>
      <c r="J98" s="658">
        <v>367</v>
      </c>
      <c r="K98" s="658">
        <v>322</v>
      </c>
      <c r="L98" s="658">
        <v>147</v>
      </c>
      <c r="M98" s="352" t="s">
        <v>8</v>
      </c>
    </row>
    <row r="99" spans="1:13" x14ac:dyDescent="0.35">
      <c r="A99" s="352">
        <v>98</v>
      </c>
      <c r="B99" s="604" t="s">
        <v>272</v>
      </c>
      <c r="C99" s="658">
        <v>571</v>
      </c>
      <c r="D99" s="658">
        <v>1000</v>
      </c>
      <c r="E99" s="658">
        <v>65</v>
      </c>
      <c r="F99" s="658">
        <v>842</v>
      </c>
      <c r="G99" s="659"/>
      <c r="H99" s="659"/>
      <c r="I99" s="659"/>
      <c r="J99" s="658">
        <v>477</v>
      </c>
      <c r="K99" s="658">
        <v>65</v>
      </c>
      <c r="L99" s="658">
        <v>29</v>
      </c>
      <c r="M99" s="352" t="s">
        <v>8</v>
      </c>
    </row>
    <row r="100" spans="1:13" x14ac:dyDescent="0.35">
      <c r="A100" s="352">
        <v>99</v>
      </c>
      <c r="B100" s="604" t="s">
        <v>264</v>
      </c>
      <c r="C100" s="658">
        <v>434</v>
      </c>
      <c r="D100" s="658">
        <v>61</v>
      </c>
      <c r="E100" s="658">
        <v>13</v>
      </c>
      <c r="F100" s="658">
        <v>398</v>
      </c>
      <c r="G100" s="659"/>
      <c r="H100" s="659"/>
      <c r="I100" s="659"/>
      <c r="J100" s="658">
        <v>30</v>
      </c>
      <c r="K100" s="658">
        <v>211</v>
      </c>
      <c r="L100" s="658">
        <v>193</v>
      </c>
      <c r="M100" s="352" t="s">
        <v>8</v>
      </c>
    </row>
    <row r="101" spans="1:13" x14ac:dyDescent="0.35">
      <c r="A101" s="352">
        <v>100</v>
      </c>
      <c r="B101" s="604" t="s">
        <v>268</v>
      </c>
      <c r="C101" s="658">
        <v>158</v>
      </c>
      <c r="D101" s="658">
        <v>620</v>
      </c>
      <c r="E101" s="658">
        <v>52</v>
      </c>
      <c r="F101" s="658">
        <v>384</v>
      </c>
      <c r="G101" s="659"/>
      <c r="H101" s="659"/>
      <c r="I101" s="659"/>
      <c r="J101" s="658">
        <v>33</v>
      </c>
      <c r="K101" s="658">
        <v>83</v>
      </c>
      <c r="L101" s="658">
        <v>42</v>
      </c>
      <c r="M101" s="352" t="s">
        <v>8</v>
      </c>
    </row>
    <row r="102" spans="1:13" x14ac:dyDescent="0.35">
      <c r="A102" s="352">
        <v>101</v>
      </c>
      <c r="B102" s="604" t="s">
        <v>265</v>
      </c>
      <c r="C102" s="658">
        <v>128</v>
      </c>
      <c r="D102" s="658">
        <v>1277</v>
      </c>
      <c r="E102" s="658">
        <v>57</v>
      </c>
      <c r="F102" s="658">
        <v>128</v>
      </c>
      <c r="G102" s="659"/>
      <c r="H102" s="659"/>
      <c r="I102" s="659"/>
      <c r="J102" s="658">
        <v>56</v>
      </c>
      <c r="K102" s="658">
        <v>45</v>
      </c>
      <c r="L102" s="658">
        <v>28</v>
      </c>
      <c r="M102" s="352" t="s">
        <v>8</v>
      </c>
    </row>
    <row r="103" spans="1:13" x14ac:dyDescent="0.35">
      <c r="A103" s="352">
        <v>102</v>
      </c>
      <c r="B103" s="689" t="s">
        <v>267</v>
      </c>
      <c r="C103" s="658">
        <v>103</v>
      </c>
      <c r="D103" s="658">
        <v>1085</v>
      </c>
      <c r="E103" s="658">
        <v>35</v>
      </c>
      <c r="F103" s="658">
        <v>96</v>
      </c>
      <c r="G103" s="659"/>
      <c r="H103" s="659"/>
      <c r="I103" s="659"/>
      <c r="J103" s="658">
        <v>51</v>
      </c>
      <c r="K103" s="658">
        <v>32</v>
      </c>
      <c r="L103" s="658">
        <v>20</v>
      </c>
      <c r="M103" s="352" t="s">
        <v>8</v>
      </c>
    </row>
    <row r="104" spans="1:13" x14ac:dyDescent="0.35">
      <c r="A104" s="352">
        <v>103</v>
      </c>
      <c r="B104" s="604" t="s">
        <v>266</v>
      </c>
      <c r="C104" s="658">
        <v>68</v>
      </c>
      <c r="D104" s="659"/>
      <c r="E104" s="659"/>
      <c r="F104" s="658">
        <v>140</v>
      </c>
      <c r="G104" s="659"/>
      <c r="H104" s="659"/>
      <c r="I104" s="659"/>
      <c r="J104" s="658">
        <v>68</v>
      </c>
      <c r="K104" s="659"/>
      <c r="L104" s="659"/>
      <c r="M104" s="352" t="s">
        <v>8</v>
      </c>
    </row>
    <row r="105" spans="1:13" x14ac:dyDescent="0.35">
      <c r="A105" s="352">
        <v>104</v>
      </c>
      <c r="B105" s="604" t="s">
        <v>273</v>
      </c>
      <c r="C105" s="659">
        <v>59</v>
      </c>
      <c r="D105" s="658">
        <v>618</v>
      </c>
      <c r="E105" s="659">
        <v>17</v>
      </c>
      <c r="F105" s="659">
        <v>51</v>
      </c>
      <c r="G105" s="659"/>
      <c r="H105" s="659"/>
      <c r="I105" s="659"/>
      <c r="J105" s="659">
        <v>15</v>
      </c>
      <c r="K105" s="658">
        <v>27</v>
      </c>
      <c r="L105" s="658">
        <v>17</v>
      </c>
      <c r="M105" s="352" t="s">
        <v>8</v>
      </c>
    </row>
    <row r="106" spans="1:13" x14ac:dyDescent="0.35">
      <c r="A106" s="352">
        <v>105</v>
      </c>
      <c r="B106" s="604" t="s">
        <v>263</v>
      </c>
      <c r="C106" s="658">
        <v>24</v>
      </c>
      <c r="D106" s="658">
        <v>1000</v>
      </c>
      <c r="E106" s="658">
        <v>1</v>
      </c>
      <c r="F106" s="658">
        <v>4</v>
      </c>
      <c r="G106" s="659"/>
      <c r="H106" s="659"/>
      <c r="I106" s="659"/>
      <c r="J106" s="658">
        <v>2</v>
      </c>
      <c r="K106" s="658">
        <v>1</v>
      </c>
      <c r="L106" s="658">
        <v>21</v>
      </c>
      <c r="M106" s="352" t="s">
        <v>8</v>
      </c>
    </row>
    <row r="107" spans="1:13" x14ac:dyDescent="0.35">
      <c r="A107" s="352">
        <v>106</v>
      </c>
      <c r="B107" s="604" t="s">
        <v>269</v>
      </c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352" t="s">
        <v>8</v>
      </c>
    </row>
    <row r="108" spans="1:13" x14ac:dyDescent="0.35">
      <c r="A108" s="352">
        <v>107</v>
      </c>
      <c r="B108" s="602" t="s">
        <v>274</v>
      </c>
      <c r="C108" s="660">
        <v>485</v>
      </c>
      <c r="D108" s="660">
        <v>746</v>
      </c>
      <c r="E108" s="660">
        <v>102</v>
      </c>
      <c r="F108" s="660">
        <v>321</v>
      </c>
      <c r="G108" s="661"/>
      <c r="H108" s="661"/>
      <c r="I108" s="661"/>
      <c r="J108" s="660">
        <v>261</v>
      </c>
      <c r="K108" s="660">
        <v>137</v>
      </c>
      <c r="L108" s="660">
        <v>87</v>
      </c>
      <c r="M108" s="352" t="s">
        <v>9</v>
      </c>
    </row>
    <row r="109" spans="1:13" x14ac:dyDescent="0.35">
      <c r="A109" s="352">
        <v>108</v>
      </c>
      <c r="B109" s="602" t="s">
        <v>276</v>
      </c>
      <c r="C109" s="660">
        <v>130</v>
      </c>
      <c r="D109" s="660">
        <v>242</v>
      </c>
      <c r="E109" s="660">
        <v>10</v>
      </c>
      <c r="F109" s="660">
        <v>85</v>
      </c>
      <c r="G109" s="661"/>
      <c r="H109" s="661"/>
      <c r="I109" s="661"/>
      <c r="J109" s="660">
        <v>54</v>
      </c>
      <c r="K109" s="660">
        <v>43</v>
      </c>
      <c r="L109" s="660">
        <v>33</v>
      </c>
      <c r="M109" s="352" t="s">
        <v>9</v>
      </c>
    </row>
    <row r="110" spans="1:13" x14ac:dyDescent="0.35">
      <c r="A110" s="352">
        <v>109</v>
      </c>
      <c r="B110" s="602" t="s">
        <v>275</v>
      </c>
      <c r="C110" s="660">
        <v>106</v>
      </c>
      <c r="D110" s="660">
        <v>190</v>
      </c>
      <c r="E110" s="660">
        <v>9</v>
      </c>
      <c r="F110" s="660">
        <v>217</v>
      </c>
      <c r="G110" s="661"/>
      <c r="H110" s="661"/>
      <c r="I110" s="661"/>
      <c r="J110" s="660">
        <v>13</v>
      </c>
      <c r="K110" s="660">
        <v>47</v>
      </c>
      <c r="L110" s="660">
        <v>45</v>
      </c>
      <c r="M110" s="352" t="s">
        <v>9</v>
      </c>
    </row>
    <row r="111" spans="1:13" x14ac:dyDescent="0.35">
      <c r="A111" s="352">
        <v>110</v>
      </c>
      <c r="B111" s="602" t="s">
        <v>277</v>
      </c>
      <c r="C111" s="660">
        <v>26</v>
      </c>
      <c r="D111" s="660">
        <v>642</v>
      </c>
      <c r="E111" s="660">
        <v>7</v>
      </c>
      <c r="F111" s="660">
        <v>76</v>
      </c>
      <c r="G111" s="661"/>
      <c r="H111" s="661"/>
      <c r="I111" s="661"/>
      <c r="J111" s="660">
        <v>7</v>
      </c>
      <c r="K111" s="660">
        <v>11</v>
      </c>
      <c r="L111" s="660">
        <v>8</v>
      </c>
      <c r="M111" s="352" t="s">
        <v>9</v>
      </c>
    </row>
    <row r="112" spans="1:13" x14ac:dyDescent="0.35">
      <c r="A112" s="352">
        <v>111</v>
      </c>
      <c r="B112" s="602" t="s">
        <v>278</v>
      </c>
      <c r="C112" s="660">
        <v>24</v>
      </c>
      <c r="D112" s="660">
        <v>600</v>
      </c>
      <c r="E112" s="660">
        <v>8</v>
      </c>
      <c r="F112" s="660">
        <v>50</v>
      </c>
      <c r="G112" s="661"/>
      <c r="H112" s="661"/>
      <c r="I112" s="661"/>
      <c r="J112" s="660"/>
      <c r="K112" s="660">
        <v>14</v>
      </c>
      <c r="L112" s="660">
        <v>10</v>
      </c>
      <c r="M112" s="352" t="s">
        <v>9</v>
      </c>
    </row>
    <row r="113" spans="1:13" x14ac:dyDescent="0.35">
      <c r="A113" s="352">
        <v>112</v>
      </c>
      <c r="B113" s="602" t="s">
        <v>279</v>
      </c>
      <c r="C113" s="660"/>
      <c r="D113" s="660"/>
      <c r="E113" s="660"/>
      <c r="F113" s="660"/>
      <c r="G113" s="661"/>
      <c r="H113" s="661"/>
      <c r="I113" s="661"/>
      <c r="J113" s="660"/>
      <c r="K113" s="660"/>
      <c r="L113" s="660"/>
      <c r="M113" s="352" t="s">
        <v>9</v>
      </c>
    </row>
    <row r="114" spans="1:13" x14ac:dyDescent="0.35">
      <c r="A114" s="352">
        <v>113</v>
      </c>
      <c r="B114" s="602" t="s">
        <v>280</v>
      </c>
      <c r="C114" s="660"/>
      <c r="D114" s="661"/>
      <c r="E114" s="660"/>
      <c r="F114" s="660"/>
      <c r="G114" s="661"/>
      <c r="H114" s="661"/>
      <c r="I114" s="661"/>
      <c r="J114" s="660"/>
      <c r="K114" s="660"/>
      <c r="L114" s="660"/>
      <c r="M114" s="352" t="s">
        <v>9</v>
      </c>
    </row>
    <row r="115" spans="1:13" x14ac:dyDescent="0.35">
      <c r="A115" s="352">
        <v>114</v>
      </c>
      <c r="B115" s="690" t="s">
        <v>281</v>
      </c>
      <c r="C115" s="662">
        <v>2471</v>
      </c>
      <c r="D115" s="662">
        <v>857</v>
      </c>
      <c r="E115" s="662">
        <v>937</v>
      </c>
      <c r="F115" s="662">
        <v>2607</v>
      </c>
      <c r="G115" s="663"/>
      <c r="H115" s="663"/>
      <c r="I115" s="663"/>
      <c r="J115" s="662">
        <v>834</v>
      </c>
      <c r="K115" s="662">
        <v>1093</v>
      </c>
      <c r="L115" s="662">
        <v>544</v>
      </c>
      <c r="M115" s="352" t="s">
        <v>1341</v>
      </c>
    </row>
    <row r="116" spans="1:13" x14ac:dyDescent="0.35">
      <c r="A116" s="352">
        <v>115</v>
      </c>
      <c r="B116" s="690" t="s">
        <v>284</v>
      </c>
      <c r="C116" s="662">
        <v>4565</v>
      </c>
      <c r="D116" s="662">
        <v>626</v>
      </c>
      <c r="E116" s="662">
        <v>759</v>
      </c>
      <c r="F116" s="662">
        <v>8995</v>
      </c>
      <c r="G116" s="663"/>
      <c r="H116" s="663"/>
      <c r="I116" s="663"/>
      <c r="J116" s="662">
        <v>1400</v>
      </c>
      <c r="K116" s="662">
        <v>1213</v>
      </c>
      <c r="L116" s="662">
        <v>1952</v>
      </c>
      <c r="M116" s="352" t="s">
        <v>1341</v>
      </c>
    </row>
    <row r="117" spans="1:13" x14ac:dyDescent="0.35">
      <c r="A117" s="352">
        <v>116</v>
      </c>
      <c r="B117" s="690" t="s">
        <v>288</v>
      </c>
      <c r="C117" s="662">
        <v>2340</v>
      </c>
      <c r="D117" s="662">
        <v>900</v>
      </c>
      <c r="E117" s="662">
        <v>959</v>
      </c>
      <c r="F117" s="662">
        <v>2994</v>
      </c>
      <c r="G117" s="663"/>
      <c r="H117" s="663"/>
      <c r="I117" s="663"/>
      <c r="J117" s="662">
        <v>752</v>
      </c>
      <c r="K117" s="662">
        <v>1066</v>
      </c>
      <c r="L117" s="662">
        <v>522</v>
      </c>
      <c r="M117" s="352" t="s">
        <v>1341</v>
      </c>
    </row>
    <row r="118" spans="1:13" x14ac:dyDescent="0.35">
      <c r="A118" s="352">
        <v>117</v>
      </c>
      <c r="B118" s="690" t="s">
        <v>286</v>
      </c>
      <c r="C118" s="662">
        <v>1334</v>
      </c>
      <c r="D118" s="662">
        <v>620</v>
      </c>
      <c r="E118" s="662">
        <v>422</v>
      </c>
      <c r="F118" s="662">
        <v>1966</v>
      </c>
      <c r="G118" s="663"/>
      <c r="H118" s="663"/>
      <c r="I118" s="663"/>
      <c r="J118" s="662">
        <v>325</v>
      </c>
      <c r="K118" s="662">
        <v>681</v>
      </c>
      <c r="L118" s="662">
        <v>328</v>
      </c>
      <c r="M118" s="352" t="s">
        <v>1341</v>
      </c>
    </row>
    <row r="119" spans="1:13" x14ac:dyDescent="0.35">
      <c r="A119" s="352">
        <v>118</v>
      </c>
      <c r="B119" s="690" t="s">
        <v>287</v>
      </c>
      <c r="C119" s="662">
        <v>868</v>
      </c>
      <c r="D119" s="662">
        <v>823</v>
      </c>
      <c r="E119" s="662">
        <v>359</v>
      </c>
      <c r="F119" s="662">
        <v>1384</v>
      </c>
      <c r="G119" s="663"/>
      <c r="H119" s="663"/>
      <c r="I119" s="663"/>
      <c r="J119" s="662">
        <v>218</v>
      </c>
      <c r="K119" s="662">
        <v>436</v>
      </c>
      <c r="L119" s="662">
        <v>214</v>
      </c>
      <c r="M119" s="352" t="s">
        <v>1341</v>
      </c>
    </row>
    <row r="120" spans="1:13" x14ac:dyDescent="0.35">
      <c r="A120" s="352">
        <v>119</v>
      </c>
      <c r="B120" s="690" t="s">
        <v>283</v>
      </c>
      <c r="C120" s="662">
        <v>591</v>
      </c>
      <c r="D120" s="662">
        <v>726</v>
      </c>
      <c r="E120" s="662">
        <v>215</v>
      </c>
      <c r="F120" s="662">
        <v>800</v>
      </c>
      <c r="G120" s="663"/>
      <c r="H120" s="663"/>
      <c r="I120" s="663"/>
      <c r="J120" s="662">
        <v>127</v>
      </c>
      <c r="K120" s="662">
        <v>296</v>
      </c>
      <c r="L120" s="662">
        <v>168</v>
      </c>
      <c r="M120" s="352" t="s">
        <v>1341</v>
      </c>
    </row>
    <row r="121" spans="1:13" x14ac:dyDescent="0.35">
      <c r="A121" s="352">
        <v>120</v>
      </c>
      <c r="B121" s="690" t="s">
        <v>290</v>
      </c>
      <c r="C121" s="663">
        <v>441</v>
      </c>
      <c r="D121" s="663">
        <v>849</v>
      </c>
      <c r="E121" s="663">
        <v>228</v>
      </c>
      <c r="F121" s="662">
        <v>700</v>
      </c>
      <c r="G121" s="663"/>
      <c r="H121" s="663"/>
      <c r="I121" s="663"/>
      <c r="J121" s="662">
        <v>50</v>
      </c>
      <c r="K121" s="663">
        <v>269</v>
      </c>
      <c r="L121" s="663">
        <v>122</v>
      </c>
      <c r="M121" s="352" t="s">
        <v>1341</v>
      </c>
    </row>
    <row r="122" spans="1:13" x14ac:dyDescent="0.35">
      <c r="A122" s="352">
        <v>121</v>
      </c>
      <c r="B122" s="690" t="s">
        <v>285</v>
      </c>
      <c r="C122" s="662">
        <v>392</v>
      </c>
      <c r="D122" s="662">
        <v>893</v>
      </c>
      <c r="E122" s="662">
        <v>109</v>
      </c>
      <c r="F122" s="662">
        <v>745</v>
      </c>
      <c r="G122" s="663"/>
      <c r="H122" s="663"/>
      <c r="I122" s="663"/>
      <c r="J122" s="662">
        <v>203</v>
      </c>
      <c r="K122" s="662">
        <v>122</v>
      </c>
      <c r="L122" s="662">
        <v>67</v>
      </c>
      <c r="M122" s="352" t="s">
        <v>1341</v>
      </c>
    </row>
    <row r="123" spans="1:13" x14ac:dyDescent="0.35">
      <c r="A123" s="352">
        <v>122</v>
      </c>
      <c r="B123" s="690" t="s">
        <v>1320</v>
      </c>
      <c r="C123" s="662">
        <v>99</v>
      </c>
      <c r="D123" s="662">
        <v>825</v>
      </c>
      <c r="E123" s="662">
        <v>45</v>
      </c>
      <c r="F123" s="662">
        <v>210</v>
      </c>
      <c r="G123" s="663"/>
      <c r="H123" s="663"/>
      <c r="I123" s="663"/>
      <c r="J123" s="662">
        <v>17</v>
      </c>
      <c r="K123" s="662">
        <v>55</v>
      </c>
      <c r="L123" s="662">
        <v>27</v>
      </c>
      <c r="M123" s="352" t="s">
        <v>1341</v>
      </c>
    </row>
    <row r="124" spans="1:13" x14ac:dyDescent="0.35">
      <c r="A124" s="352">
        <v>123</v>
      </c>
      <c r="B124" s="690" t="s">
        <v>289</v>
      </c>
      <c r="C124" s="662">
        <v>24</v>
      </c>
      <c r="D124" s="662">
        <v>571</v>
      </c>
      <c r="E124" s="662">
        <v>5</v>
      </c>
      <c r="F124" s="662">
        <v>40</v>
      </c>
      <c r="G124" s="663"/>
      <c r="H124" s="663"/>
      <c r="I124" s="663"/>
      <c r="J124" s="662">
        <v>6</v>
      </c>
      <c r="K124" s="662">
        <v>10</v>
      </c>
      <c r="L124" s="662">
        <v>8</v>
      </c>
      <c r="M124" s="352" t="s">
        <v>1341</v>
      </c>
    </row>
    <row r="125" spans="1:13" x14ac:dyDescent="0.35">
      <c r="A125" s="352">
        <v>124</v>
      </c>
      <c r="B125" s="691" t="s">
        <v>292</v>
      </c>
      <c r="C125" s="640">
        <v>15054</v>
      </c>
      <c r="D125" s="640">
        <v>1292</v>
      </c>
      <c r="E125" s="640">
        <v>10620</v>
      </c>
      <c r="F125" s="640">
        <v>18411</v>
      </c>
      <c r="G125" s="664"/>
      <c r="H125" s="664"/>
      <c r="I125" s="664"/>
      <c r="J125" s="640">
        <v>2276</v>
      </c>
      <c r="K125" s="640">
        <v>8223</v>
      </c>
      <c r="L125" s="640">
        <v>4555</v>
      </c>
      <c r="M125" s="352" t="s">
        <v>1342</v>
      </c>
    </row>
    <row r="126" spans="1:13" x14ac:dyDescent="0.35">
      <c r="A126" s="352">
        <v>125</v>
      </c>
      <c r="B126" s="691" t="s">
        <v>293</v>
      </c>
      <c r="C126" s="640">
        <f>14555+20</f>
        <v>14575</v>
      </c>
      <c r="D126" s="288">
        <f>941+1185</f>
        <v>2126</v>
      </c>
      <c r="E126" s="640">
        <f>6853+24</f>
        <v>6877</v>
      </c>
      <c r="F126" s="640">
        <f>13093+38</f>
        <v>13131</v>
      </c>
      <c r="G126" s="664"/>
      <c r="H126" s="664"/>
      <c r="I126" s="664"/>
      <c r="J126" s="640">
        <v>2920</v>
      </c>
      <c r="K126" s="640">
        <f>7279+20</f>
        <v>7299</v>
      </c>
      <c r="L126" s="640">
        <v>4356</v>
      </c>
      <c r="M126" s="352" t="s">
        <v>1342</v>
      </c>
    </row>
    <row r="127" spans="1:13" x14ac:dyDescent="0.35">
      <c r="A127" s="352">
        <v>126</v>
      </c>
      <c r="B127" s="691" t="s">
        <v>300</v>
      </c>
      <c r="C127" s="640">
        <f>13846+358</f>
        <v>14204</v>
      </c>
      <c r="D127" s="288">
        <f>622+1147</f>
        <v>1769</v>
      </c>
      <c r="E127" s="640">
        <f>4773+388</f>
        <v>5161</v>
      </c>
      <c r="F127" s="640">
        <f>17981+286</f>
        <v>18267</v>
      </c>
      <c r="G127" s="664"/>
      <c r="H127" s="664"/>
      <c r="I127" s="664"/>
      <c r="J127" s="640">
        <f>1734+14</f>
        <v>1748</v>
      </c>
      <c r="K127" s="640">
        <f>7668+338</f>
        <v>8006</v>
      </c>
      <c r="L127" s="640">
        <f>4444+6</f>
        <v>4450</v>
      </c>
      <c r="M127" s="352" t="s">
        <v>1342</v>
      </c>
    </row>
    <row r="128" spans="1:13" x14ac:dyDescent="0.35">
      <c r="A128" s="352">
        <v>127</v>
      </c>
      <c r="B128" s="691" t="s">
        <v>295</v>
      </c>
      <c r="C128" s="640">
        <v>10922</v>
      </c>
      <c r="D128" s="288">
        <v>694</v>
      </c>
      <c r="E128" s="640">
        <v>3530</v>
      </c>
      <c r="F128" s="640">
        <v>23925</v>
      </c>
      <c r="G128" s="664"/>
      <c r="H128" s="664"/>
      <c r="I128" s="664"/>
      <c r="J128" s="640">
        <v>2196</v>
      </c>
      <c r="K128" s="640">
        <v>5086</v>
      </c>
      <c r="L128" s="640">
        <v>3640</v>
      </c>
      <c r="M128" s="352" t="s">
        <v>1342</v>
      </c>
    </row>
    <row r="129" spans="1:13" x14ac:dyDescent="0.35">
      <c r="A129" s="352">
        <v>128</v>
      </c>
      <c r="B129" s="691" t="s">
        <v>294</v>
      </c>
      <c r="C129" s="640">
        <v>5210</v>
      </c>
      <c r="D129" s="288">
        <v>744</v>
      </c>
      <c r="E129" s="640">
        <v>2044</v>
      </c>
      <c r="F129" s="640">
        <v>22009</v>
      </c>
      <c r="G129" s="664"/>
      <c r="H129" s="664"/>
      <c r="I129" s="664"/>
      <c r="J129" s="640">
        <v>1099</v>
      </c>
      <c r="K129" s="640">
        <v>2746</v>
      </c>
      <c r="L129" s="640">
        <v>1365</v>
      </c>
      <c r="M129" s="352" t="s">
        <v>1342</v>
      </c>
    </row>
    <row r="130" spans="1:13" x14ac:dyDescent="0.35">
      <c r="A130" s="352">
        <v>129</v>
      </c>
      <c r="B130" s="691" t="s">
        <v>302</v>
      </c>
      <c r="C130" s="640">
        <v>5060</v>
      </c>
      <c r="D130" s="288">
        <v>889</v>
      </c>
      <c r="E130" s="640">
        <v>2246</v>
      </c>
      <c r="F130" s="640">
        <v>4389</v>
      </c>
      <c r="G130" s="664"/>
      <c r="H130" s="664"/>
      <c r="I130" s="664"/>
      <c r="J130" s="288">
        <v>547</v>
      </c>
      <c r="K130" s="640">
        <v>2527</v>
      </c>
      <c r="L130" s="640">
        <v>1986</v>
      </c>
      <c r="M130" s="352" t="s">
        <v>1342</v>
      </c>
    </row>
    <row r="131" spans="1:13" x14ac:dyDescent="0.35">
      <c r="A131" s="352">
        <v>130</v>
      </c>
      <c r="B131" s="691" t="s">
        <v>297</v>
      </c>
      <c r="C131" s="640">
        <f>1554+250</f>
        <v>1804</v>
      </c>
      <c r="D131" s="288">
        <f>771+1146</f>
        <v>1917</v>
      </c>
      <c r="E131" s="288">
        <f>578+287</f>
        <v>865</v>
      </c>
      <c r="F131" s="640">
        <f>2220+200</f>
        <v>2420</v>
      </c>
      <c r="G131" s="664"/>
      <c r="H131" s="664"/>
      <c r="I131" s="664"/>
      <c r="J131" s="288">
        <v>312</v>
      </c>
      <c r="K131" s="288">
        <f>750+250</f>
        <v>1000</v>
      </c>
      <c r="L131" s="288">
        <v>492</v>
      </c>
      <c r="M131" s="352" t="s">
        <v>1342</v>
      </c>
    </row>
    <row r="132" spans="1:13" x14ac:dyDescent="0.35">
      <c r="A132" s="352">
        <v>131</v>
      </c>
      <c r="B132" s="691" t="s">
        <v>306</v>
      </c>
      <c r="C132" s="665">
        <v>1330</v>
      </c>
      <c r="D132" s="664">
        <v>919</v>
      </c>
      <c r="E132" s="664">
        <v>631</v>
      </c>
      <c r="F132" s="640">
        <v>1900</v>
      </c>
      <c r="G132" s="664"/>
      <c r="H132" s="664"/>
      <c r="I132" s="664"/>
      <c r="J132" s="664">
        <v>236</v>
      </c>
      <c r="K132" s="664">
        <v>687</v>
      </c>
      <c r="L132" s="664">
        <v>407</v>
      </c>
      <c r="M132" s="352" t="s">
        <v>1342</v>
      </c>
    </row>
    <row r="133" spans="1:13" x14ac:dyDescent="0.35">
      <c r="A133" s="352">
        <v>132</v>
      </c>
      <c r="B133" s="691" t="s">
        <v>298</v>
      </c>
      <c r="C133" s="640">
        <v>1231</v>
      </c>
      <c r="D133" s="288">
        <v>916</v>
      </c>
      <c r="E133" s="288">
        <v>490</v>
      </c>
      <c r="F133" s="640">
        <v>1759</v>
      </c>
      <c r="G133" s="664"/>
      <c r="H133" s="664"/>
      <c r="I133" s="664"/>
      <c r="J133" s="288">
        <v>280</v>
      </c>
      <c r="K133" s="288">
        <v>534</v>
      </c>
      <c r="L133" s="288">
        <v>417</v>
      </c>
      <c r="M133" s="352" t="s">
        <v>1342</v>
      </c>
    </row>
    <row r="134" spans="1:13" x14ac:dyDescent="0.35">
      <c r="A134" s="352">
        <v>133</v>
      </c>
      <c r="B134" s="691" t="s">
        <v>296</v>
      </c>
      <c r="C134" s="288">
        <v>712</v>
      </c>
      <c r="D134" s="288">
        <v>409</v>
      </c>
      <c r="E134" s="288">
        <v>152</v>
      </c>
      <c r="F134" s="640">
        <v>1424</v>
      </c>
      <c r="G134" s="664"/>
      <c r="H134" s="664"/>
      <c r="I134" s="664"/>
      <c r="J134" s="288">
        <v>109</v>
      </c>
      <c r="K134" s="288">
        <v>372</v>
      </c>
      <c r="L134" s="288">
        <v>231</v>
      </c>
      <c r="M134" s="352" t="s">
        <v>1342</v>
      </c>
    </row>
    <row r="135" spans="1:13" x14ac:dyDescent="0.35">
      <c r="A135" s="352">
        <v>134</v>
      </c>
      <c r="B135" s="691" t="s">
        <v>301</v>
      </c>
      <c r="C135" s="288">
        <v>546</v>
      </c>
      <c r="D135" s="640">
        <v>1000</v>
      </c>
      <c r="E135" s="288">
        <v>352</v>
      </c>
      <c r="F135" s="288">
        <v>704</v>
      </c>
      <c r="G135" s="664"/>
      <c r="H135" s="664"/>
      <c r="I135" s="664"/>
      <c r="J135" s="288">
        <v>21</v>
      </c>
      <c r="K135" s="288">
        <v>352</v>
      </c>
      <c r="L135" s="288">
        <v>173</v>
      </c>
      <c r="M135" s="352" t="s">
        <v>1342</v>
      </c>
    </row>
    <row r="136" spans="1:13" x14ac:dyDescent="0.35">
      <c r="A136" s="352">
        <v>135</v>
      </c>
      <c r="B136" s="691" t="s">
        <v>299</v>
      </c>
      <c r="C136" s="288">
        <v>206</v>
      </c>
      <c r="D136" s="640">
        <v>1044</v>
      </c>
      <c r="E136" s="288">
        <v>82</v>
      </c>
      <c r="F136" s="640">
        <v>2060</v>
      </c>
      <c r="G136" s="664"/>
      <c r="H136" s="664"/>
      <c r="I136" s="664"/>
      <c r="J136" s="288">
        <v>90</v>
      </c>
      <c r="K136" s="288">
        <v>78</v>
      </c>
      <c r="L136" s="288">
        <v>38</v>
      </c>
      <c r="M136" s="352" t="s">
        <v>1342</v>
      </c>
    </row>
    <row r="137" spans="1:13" x14ac:dyDescent="0.35">
      <c r="A137" s="352">
        <v>136</v>
      </c>
      <c r="B137" s="691" t="s">
        <v>304</v>
      </c>
      <c r="C137" s="288">
        <v>167</v>
      </c>
      <c r="D137" s="288">
        <v>533</v>
      </c>
      <c r="E137" s="288">
        <v>55</v>
      </c>
      <c r="F137" s="640">
        <v>1443</v>
      </c>
      <c r="G137" s="664"/>
      <c r="H137" s="664"/>
      <c r="I137" s="664"/>
      <c r="J137" s="288">
        <v>17</v>
      </c>
      <c r="K137" s="288">
        <v>103</v>
      </c>
      <c r="L137" s="288">
        <v>47</v>
      </c>
      <c r="M137" s="352" t="s">
        <v>1342</v>
      </c>
    </row>
    <row r="138" spans="1:13" x14ac:dyDescent="0.35">
      <c r="A138" s="352">
        <v>137</v>
      </c>
      <c r="B138" s="691" t="s">
        <v>305</v>
      </c>
      <c r="C138" s="288">
        <v>98</v>
      </c>
      <c r="D138" s="288">
        <v>941</v>
      </c>
      <c r="E138" s="288">
        <v>55</v>
      </c>
      <c r="F138" s="640">
        <v>4130</v>
      </c>
      <c r="G138" s="664"/>
      <c r="H138" s="664"/>
      <c r="I138" s="664"/>
      <c r="J138" s="288">
        <v>13</v>
      </c>
      <c r="K138" s="288">
        <v>58</v>
      </c>
      <c r="L138" s="288">
        <v>27</v>
      </c>
      <c r="M138" s="352" t="s">
        <v>1342</v>
      </c>
    </row>
    <row r="139" spans="1:13" x14ac:dyDescent="0.35">
      <c r="A139" s="352">
        <v>138</v>
      </c>
      <c r="B139" s="691" t="s">
        <v>303</v>
      </c>
      <c r="C139" s="288">
        <v>73</v>
      </c>
      <c r="D139" s="288">
        <v>771</v>
      </c>
      <c r="E139" s="288">
        <v>19</v>
      </c>
      <c r="F139" s="288">
        <v>811</v>
      </c>
      <c r="G139" s="664"/>
      <c r="H139" s="664"/>
      <c r="I139" s="664"/>
      <c r="J139" s="288">
        <v>33</v>
      </c>
      <c r="K139" s="288">
        <v>24</v>
      </c>
      <c r="L139" s="288">
        <v>16</v>
      </c>
      <c r="M139" s="352" t="s">
        <v>1342</v>
      </c>
    </row>
    <row r="140" spans="1:13" x14ac:dyDescent="0.35">
      <c r="A140" s="352">
        <v>139</v>
      </c>
      <c r="B140" s="600" t="s">
        <v>307</v>
      </c>
      <c r="C140" s="623">
        <f>50+302</f>
        <v>352</v>
      </c>
      <c r="D140" s="623">
        <f>800+501</f>
        <v>1301</v>
      </c>
      <c r="E140" s="623">
        <f>14+142</f>
        <v>156</v>
      </c>
      <c r="F140" s="638">
        <f>23+241</f>
        <v>264</v>
      </c>
      <c r="G140" s="624"/>
      <c r="H140" s="624"/>
      <c r="I140" s="624"/>
      <c r="J140" s="623">
        <f>22+17</f>
        <v>39</v>
      </c>
      <c r="K140" s="623">
        <f>18+284</f>
        <v>302</v>
      </c>
      <c r="L140" s="623">
        <v>10</v>
      </c>
      <c r="M140" s="352" t="s">
        <v>14</v>
      </c>
    </row>
    <row r="141" spans="1:13" x14ac:dyDescent="0.35">
      <c r="A141" s="352">
        <v>140</v>
      </c>
      <c r="B141" s="600" t="s">
        <v>327</v>
      </c>
      <c r="C141" s="638">
        <v>2572</v>
      </c>
      <c r="D141" s="624">
        <v>244</v>
      </c>
      <c r="E141" s="624">
        <v>205</v>
      </c>
      <c r="F141" s="639">
        <v>8574</v>
      </c>
      <c r="G141" s="624"/>
      <c r="H141" s="624"/>
      <c r="I141" s="624"/>
      <c r="J141" s="623">
        <v>342</v>
      </c>
      <c r="K141" s="623">
        <v>914</v>
      </c>
      <c r="L141" s="638">
        <v>1316</v>
      </c>
      <c r="M141" s="352" t="s">
        <v>14</v>
      </c>
    </row>
    <row r="142" spans="1:13" x14ac:dyDescent="0.35">
      <c r="A142" s="352">
        <v>141</v>
      </c>
      <c r="B142" s="600" t="s">
        <v>309</v>
      </c>
      <c r="C142" s="623">
        <f>380+1591</f>
        <v>1971</v>
      </c>
      <c r="D142" s="623">
        <f>371+186</f>
        <v>557</v>
      </c>
      <c r="E142" s="623">
        <f>35+240</f>
        <v>275</v>
      </c>
      <c r="F142" s="639">
        <f>1521+1273</f>
        <v>2794</v>
      </c>
      <c r="G142" s="624"/>
      <c r="H142" s="624"/>
      <c r="I142" s="624"/>
      <c r="J142" s="623">
        <f>172+287</f>
        <v>459</v>
      </c>
      <c r="K142" s="623">
        <f>94+1292</f>
        <v>1386</v>
      </c>
      <c r="L142" s="623">
        <f>114+12</f>
        <v>126</v>
      </c>
      <c r="M142" s="352" t="s">
        <v>14</v>
      </c>
    </row>
    <row r="143" spans="1:13" x14ac:dyDescent="0.35">
      <c r="A143" s="352">
        <v>142</v>
      </c>
      <c r="B143" s="600" t="s">
        <v>330</v>
      </c>
      <c r="C143" s="639">
        <v>1137</v>
      </c>
      <c r="D143" s="624">
        <v>653</v>
      </c>
      <c r="E143" s="624">
        <v>309</v>
      </c>
      <c r="F143" s="639">
        <v>3169</v>
      </c>
      <c r="G143" s="624"/>
      <c r="H143" s="624"/>
      <c r="I143" s="624"/>
      <c r="J143" s="623">
        <v>168</v>
      </c>
      <c r="K143" s="623">
        <v>474</v>
      </c>
      <c r="L143" s="624">
        <v>496</v>
      </c>
      <c r="M143" s="352" t="s">
        <v>14</v>
      </c>
    </row>
    <row r="144" spans="1:13" x14ac:dyDescent="0.35">
      <c r="A144" s="352">
        <v>143</v>
      </c>
      <c r="B144" s="600" t="s">
        <v>311</v>
      </c>
      <c r="C144" s="623">
        <f>130+616</f>
        <v>746</v>
      </c>
      <c r="D144" s="624">
        <f>842+793</f>
        <v>1635</v>
      </c>
      <c r="E144" s="624">
        <f>27+1369</f>
        <v>1396</v>
      </c>
      <c r="F144" s="624">
        <f>952+493</f>
        <v>1445</v>
      </c>
      <c r="G144" s="624"/>
      <c r="H144" s="624"/>
      <c r="I144" s="624"/>
      <c r="J144" s="623">
        <f>5+37</f>
        <v>42</v>
      </c>
      <c r="K144" s="623">
        <f>33+579</f>
        <v>612</v>
      </c>
      <c r="L144" s="623">
        <v>92</v>
      </c>
      <c r="M144" s="352" t="s">
        <v>14</v>
      </c>
    </row>
    <row r="145" spans="1:13" x14ac:dyDescent="0.35">
      <c r="A145" s="352">
        <v>144</v>
      </c>
      <c r="B145" s="600" t="s">
        <v>325</v>
      </c>
      <c r="C145" s="623">
        <v>721</v>
      </c>
      <c r="D145" s="624">
        <v>755</v>
      </c>
      <c r="E145" s="624">
        <v>117</v>
      </c>
      <c r="F145" s="639">
        <v>2345</v>
      </c>
      <c r="G145" s="624"/>
      <c r="H145" s="624"/>
      <c r="I145" s="624"/>
      <c r="J145" s="623">
        <v>468</v>
      </c>
      <c r="K145" s="623">
        <v>155</v>
      </c>
      <c r="L145" s="623">
        <v>98</v>
      </c>
      <c r="M145" s="352" t="s">
        <v>14</v>
      </c>
    </row>
    <row r="146" spans="1:13" x14ac:dyDescent="0.35">
      <c r="A146" s="352">
        <v>145</v>
      </c>
      <c r="B146" s="600" t="s">
        <v>329</v>
      </c>
      <c r="C146" s="623">
        <f>14+203+444</f>
        <v>661</v>
      </c>
      <c r="D146" s="624">
        <f>100+431+891</f>
        <v>1422</v>
      </c>
      <c r="E146" s="624">
        <f>0+87+391</f>
        <v>478</v>
      </c>
      <c r="F146" s="639">
        <f>19+162+353</f>
        <v>534</v>
      </c>
      <c r="G146" s="624"/>
      <c r="H146" s="624"/>
      <c r="I146" s="624"/>
      <c r="J146" s="623">
        <f>14+5</f>
        <v>19</v>
      </c>
      <c r="K146" s="623">
        <f>0+203+439</f>
        <v>642</v>
      </c>
      <c r="L146" s="624">
        <v>0</v>
      </c>
      <c r="M146" s="352" t="s">
        <v>14</v>
      </c>
    </row>
    <row r="147" spans="1:13" x14ac:dyDescent="0.35">
      <c r="A147" s="352">
        <v>146</v>
      </c>
      <c r="B147" s="600" t="s">
        <v>319</v>
      </c>
      <c r="C147" s="623">
        <v>482</v>
      </c>
      <c r="D147" s="624">
        <v>392</v>
      </c>
      <c r="E147" s="624">
        <v>27</v>
      </c>
      <c r="F147" s="624">
        <v>721</v>
      </c>
      <c r="G147" s="624"/>
      <c r="H147" s="624"/>
      <c r="I147" s="624"/>
      <c r="J147" s="623">
        <v>381</v>
      </c>
      <c r="K147" s="623">
        <v>69</v>
      </c>
      <c r="L147" s="623">
        <v>32</v>
      </c>
      <c r="M147" s="352" t="s">
        <v>14</v>
      </c>
    </row>
    <row r="148" spans="1:13" x14ac:dyDescent="0.35">
      <c r="A148" s="352">
        <v>147</v>
      </c>
      <c r="B148" s="600" t="s">
        <v>328</v>
      </c>
      <c r="C148" s="623">
        <v>400</v>
      </c>
      <c r="D148" s="624">
        <v>253</v>
      </c>
      <c r="E148" s="624">
        <v>4</v>
      </c>
      <c r="F148" s="639">
        <v>1045</v>
      </c>
      <c r="G148" s="624"/>
      <c r="H148" s="624"/>
      <c r="I148" s="624"/>
      <c r="J148" s="623">
        <v>251</v>
      </c>
      <c r="K148" s="623">
        <v>17</v>
      </c>
      <c r="L148" s="623">
        <v>132</v>
      </c>
      <c r="M148" s="352" t="s">
        <v>14</v>
      </c>
    </row>
    <row r="149" spans="1:13" x14ac:dyDescent="0.35">
      <c r="A149" s="352">
        <v>148</v>
      </c>
      <c r="B149" s="600" t="s">
        <v>326</v>
      </c>
      <c r="C149" s="623">
        <v>283</v>
      </c>
      <c r="D149" s="624">
        <v>325</v>
      </c>
      <c r="E149" s="624">
        <v>12</v>
      </c>
      <c r="F149" s="624">
        <v>335</v>
      </c>
      <c r="G149" s="624"/>
      <c r="H149" s="624"/>
      <c r="I149" s="624"/>
      <c r="J149" s="623">
        <v>221</v>
      </c>
      <c r="K149" s="623">
        <v>37</v>
      </c>
      <c r="L149" s="638">
        <v>25</v>
      </c>
      <c r="M149" s="352" t="s">
        <v>14</v>
      </c>
    </row>
    <row r="150" spans="1:13" x14ac:dyDescent="0.35">
      <c r="A150" s="352">
        <v>149</v>
      </c>
      <c r="B150" s="600" t="s">
        <v>323</v>
      </c>
      <c r="C150" s="623">
        <v>64</v>
      </c>
      <c r="D150" s="624">
        <v>332</v>
      </c>
      <c r="E150" s="624">
        <v>6</v>
      </c>
      <c r="F150" s="624">
        <v>331</v>
      </c>
      <c r="G150" s="624"/>
      <c r="H150" s="624"/>
      <c r="I150" s="624"/>
      <c r="J150" s="623">
        <v>27</v>
      </c>
      <c r="K150" s="623">
        <v>17</v>
      </c>
      <c r="L150" s="623">
        <v>20</v>
      </c>
      <c r="M150" s="352" t="s">
        <v>14</v>
      </c>
    </row>
    <row r="151" spans="1:13" x14ac:dyDescent="0.35">
      <c r="A151" s="352">
        <v>150</v>
      </c>
      <c r="B151" s="600" t="s">
        <v>321</v>
      </c>
      <c r="C151" s="623">
        <v>40</v>
      </c>
      <c r="D151" s="624">
        <v>31</v>
      </c>
      <c r="E151" s="624">
        <v>0</v>
      </c>
      <c r="F151" s="624">
        <v>80</v>
      </c>
      <c r="G151" s="624"/>
      <c r="H151" s="624"/>
      <c r="I151" s="624"/>
      <c r="J151" s="623"/>
      <c r="K151" s="623">
        <v>13</v>
      </c>
      <c r="L151" s="624">
        <v>27</v>
      </c>
      <c r="M151" s="352" t="s">
        <v>14</v>
      </c>
    </row>
    <row r="152" spans="1:13" x14ac:dyDescent="0.35">
      <c r="A152" s="352">
        <v>151</v>
      </c>
      <c r="B152" s="600" t="s">
        <v>313</v>
      </c>
      <c r="C152" s="623">
        <v>35</v>
      </c>
      <c r="D152" s="624">
        <v>472</v>
      </c>
      <c r="E152" s="624">
        <v>2</v>
      </c>
      <c r="F152" s="624">
        <v>277</v>
      </c>
      <c r="G152" s="624"/>
      <c r="H152" s="624"/>
      <c r="I152" s="624"/>
      <c r="J152" s="623">
        <v>24</v>
      </c>
      <c r="K152" s="623">
        <v>4</v>
      </c>
      <c r="L152" s="623">
        <v>7</v>
      </c>
      <c r="M152" s="352" t="s">
        <v>14</v>
      </c>
    </row>
    <row r="153" spans="1:13" x14ac:dyDescent="0.35">
      <c r="A153" s="352">
        <v>152</v>
      </c>
      <c r="B153" s="600" t="s">
        <v>324</v>
      </c>
      <c r="C153" s="623">
        <v>5</v>
      </c>
      <c r="D153" s="624">
        <v>200</v>
      </c>
      <c r="E153" s="624">
        <v>1</v>
      </c>
      <c r="F153" s="624">
        <v>12</v>
      </c>
      <c r="G153" s="624"/>
      <c r="H153" s="624"/>
      <c r="I153" s="624"/>
      <c r="J153" s="623"/>
      <c r="K153" s="623">
        <v>3</v>
      </c>
      <c r="L153" s="623">
        <v>2</v>
      </c>
      <c r="M153" s="352" t="s">
        <v>14</v>
      </c>
    </row>
    <row r="154" spans="1:13" x14ac:dyDescent="0.35">
      <c r="A154" s="352">
        <v>153</v>
      </c>
      <c r="B154" s="600" t="s">
        <v>308</v>
      </c>
      <c r="C154" s="624"/>
      <c r="D154" s="624"/>
      <c r="E154" s="624"/>
      <c r="F154" s="624"/>
      <c r="G154" s="624"/>
      <c r="H154" s="624"/>
      <c r="I154" s="624"/>
      <c r="J154" s="624"/>
      <c r="K154" s="624"/>
      <c r="L154" s="624"/>
      <c r="M154" s="352" t="s">
        <v>14</v>
      </c>
    </row>
    <row r="155" spans="1:13" x14ac:dyDescent="0.35">
      <c r="A155" s="352">
        <v>154</v>
      </c>
      <c r="B155" s="600" t="s">
        <v>310</v>
      </c>
      <c r="C155" s="624"/>
      <c r="D155" s="624"/>
      <c r="E155" s="624"/>
      <c r="F155" s="624"/>
      <c r="G155" s="624"/>
      <c r="H155" s="624"/>
      <c r="I155" s="624"/>
      <c r="J155" s="623"/>
      <c r="K155" s="624"/>
      <c r="L155" s="624"/>
      <c r="M155" s="352" t="s">
        <v>14</v>
      </c>
    </row>
    <row r="156" spans="1:13" x14ac:dyDescent="0.35">
      <c r="A156" s="352">
        <v>155</v>
      </c>
      <c r="B156" s="600" t="s">
        <v>312</v>
      </c>
      <c r="C156" s="624"/>
      <c r="D156" s="624"/>
      <c r="E156" s="624"/>
      <c r="F156" s="624"/>
      <c r="G156" s="624"/>
      <c r="H156" s="624"/>
      <c r="I156" s="624"/>
      <c r="J156" s="623"/>
      <c r="K156" s="623"/>
      <c r="L156" s="623"/>
      <c r="M156" s="352" t="s">
        <v>14</v>
      </c>
    </row>
    <row r="157" spans="1:13" x14ac:dyDescent="0.35">
      <c r="A157" s="352">
        <v>156</v>
      </c>
      <c r="B157" s="600" t="s">
        <v>314</v>
      </c>
      <c r="C157" s="623"/>
      <c r="D157" s="624"/>
      <c r="E157" s="624"/>
      <c r="F157" s="624"/>
      <c r="G157" s="624"/>
      <c r="H157" s="624"/>
      <c r="I157" s="624"/>
      <c r="J157" s="623"/>
      <c r="K157" s="623"/>
      <c r="L157" s="623"/>
      <c r="M157" s="352" t="s">
        <v>14</v>
      </c>
    </row>
    <row r="158" spans="1:13" x14ac:dyDescent="0.35">
      <c r="A158" s="352">
        <v>157</v>
      </c>
      <c r="B158" s="600" t="s">
        <v>315</v>
      </c>
      <c r="C158" s="623"/>
      <c r="D158" s="624"/>
      <c r="E158" s="624"/>
      <c r="F158" s="624"/>
      <c r="G158" s="624"/>
      <c r="H158" s="624"/>
      <c r="I158" s="624"/>
      <c r="J158" s="623"/>
      <c r="K158" s="623"/>
      <c r="L158" s="623"/>
      <c r="M158" s="352" t="s">
        <v>14</v>
      </c>
    </row>
    <row r="159" spans="1:13" x14ac:dyDescent="0.35">
      <c r="A159" s="352">
        <v>158</v>
      </c>
      <c r="B159" s="600" t="s">
        <v>316</v>
      </c>
      <c r="C159" s="623"/>
      <c r="D159" s="624"/>
      <c r="E159" s="624"/>
      <c r="F159" s="624"/>
      <c r="G159" s="624"/>
      <c r="H159" s="624"/>
      <c r="I159" s="624"/>
      <c r="J159" s="623"/>
      <c r="K159" s="623"/>
      <c r="L159" s="623"/>
      <c r="M159" s="352" t="s">
        <v>14</v>
      </c>
    </row>
    <row r="160" spans="1:13" x14ac:dyDescent="0.35">
      <c r="A160" s="352">
        <v>159</v>
      </c>
      <c r="B160" s="600" t="s">
        <v>317</v>
      </c>
      <c r="C160" s="623"/>
      <c r="D160" s="624"/>
      <c r="E160" s="624"/>
      <c r="F160" s="624"/>
      <c r="G160" s="624"/>
      <c r="H160" s="624"/>
      <c r="I160" s="624"/>
      <c r="J160" s="623"/>
      <c r="K160" s="623"/>
      <c r="L160" s="623"/>
      <c r="M160" s="352" t="s">
        <v>14</v>
      </c>
    </row>
    <row r="161" spans="1:13" x14ac:dyDescent="0.35">
      <c r="A161" s="352">
        <v>160</v>
      </c>
      <c r="B161" s="600" t="s">
        <v>318</v>
      </c>
      <c r="C161" s="623"/>
      <c r="D161" s="624"/>
      <c r="E161" s="624"/>
      <c r="F161" s="624"/>
      <c r="G161" s="624"/>
      <c r="H161" s="624"/>
      <c r="I161" s="624"/>
      <c r="J161" s="623"/>
      <c r="K161" s="623"/>
      <c r="L161" s="623"/>
      <c r="M161" s="352" t="s">
        <v>14</v>
      </c>
    </row>
    <row r="162" spans="1:13" x14ac:dyDescent="0.35">
      <c r="A162" s="352">
        <v>161</v>
      </c>
      <c r="B162" s="600" t="s">
        <v>320</v>
      </c>
      <c r="C162" s="623"/>
      <c r="D162" s="624"/>
      <c r="E162" s="624"/>
      <c r="F162" s="624"/>
      <c r="G162" s="624"/>
      <c r="H162" s="624"/>
      <c r="I162" s="624"/>
      <c r="J162" s="623"/>
      <c r="K162" s="623"/>
      <c r="L162" s="623"/>
      <c r="M162" s="352" t="s">
        <v>14</v>
      </c>
    </row>
    <row r="163" spans="1:13" x14ac:dyDescent="0.35">
      <c r="A163" s="352">
        <v>162</v>
      </c>
      <c r="B163" s="692" t="s">
        <v>322</v>
      </c>
      <c r="C163" s="623"/>
      <c r="D163" s="624"/>
      <c r="E163" s="624"/>
      <c r="F163" s="624"/>
      <c r="G163" s="624"/>
      <c r="H163" s="624"/>
      <c r="I163" s="624"/>
      <c r="J163" s="623"/>
      <c r="K163" s="623"/>
      <c r="L163" s="623"/>
      <c r="M163" s="352" t="s">
        <v>14</v>
      </c>
    </row>
    <row r="164" spans="1:13" x14ac:dyDescent="0.35">
      <c r="A164" s="352">
        <v>163</v>
      </c>
      <c r="B164" s="604" t="s">
        <v>331</v>
      </c>
      <c r="C164" s="666">
        <v>2459</v>
      </c>
      <c r="D164" s="667">
        <v>648</v>
      </c>
      <c r="E164" s="667">
        <v>525</v>
      </c>
      <c r="F164" s="666">
        <v>2523</v>
      </c>
      <c r="G164" s="668"/>
      <c r="H164" s="668"/>
      <c r="I164" s="668"/>
      <c r="J164" s="667">
        <v>894</v>
      </c>
      <c r="K164" s="667">
        <v>810</v>
      </c>
      <c r="L164" s="667">
        <v>755</v>
      </c>
      <c r="M164" s="352" t="s">
        <v>15</v>
      </c>
    </row>
    <row r="165" spans="1:13" x14ac:dyDescent="0.35">
      <c r="A165" s="352">
        <v>164</v>
      </c>
      <c r="B165" s="604" t="s">
        <v>332</v>
      </c>
      <c r="C165" s="666">
        <f>3306+443</f>
        <v>3749</v>
      </c>
      <c r="D165" s="667">
        <f>962+1064</f>
        <v>2026</v>
      </c>
      <c r="E165" s="666">
        <f>1028+471</f>
        <v>1499</v>
      </c>
      <c r="F165" s="666">
        <f>5347+265</f>
        <v>5612</v>
      </c>
      <c r="G165" s="668"/>
      <c r="H165" s="668"/>
      <c r="I165" s="668"/>
      <c r="J165" s="666">
        <v>1354</v>
      </c>
      <c r="K165" s="666">
        <f>1069+443</f>
        <v>1512</v>
      </c>
      <c r="L165" s="667">
        <v>883</v>
      </c>
      <c r="M165" s="352" t="s">
        <v>15</v>
      </c>
    </row>
    <row r="166" spans="1:13" x14ac:dyDescent="0.35">
      <c r="A166" s="352">
        <v>165</v>
      </c>
      <c r="B166" s="604" t="s">
        <v>333</v>
      </c>
      <c r="C166" s="666">
        <v>1536</v>
      </c>
      <c r="D166" s="667">
        <v>279</v>
      </c>
      <c r="E166" s="667">
        <v>188</v>
      </c>
      <c r="F166" s="666">
        <v>1240</v>
      </c>
      <c r="G166" s="668"/>
      <c r="H166" s="668"/>
      <c r="I166" s="668"/>
      <c r="J166" s="667">
        <v>468</v>
      </c>
      <c r="K166" s="667">
        <v>672</v>
      </c>
      <c r="L166" s="667">
        <v>396</v>
      </c>
      <c r="M166" s="352" t="s">
        <v>15</v>
      </c>
    </row>
    <row r="167" spans="1:13" x14ac:dyDescent="0.35">
      <c r="A167" s="352">
        <v>166</v>
      </c>
      <c r="B167" s="604" t="s">
        <v>335</v>
      </c>
      <c r="C167" s="667">
        <v>132</v>
      </c>
      <c r="D167" s="667">
        <v>571</v>
      </c>
      <c r="E167" s="667">
        <v>21</v>
      </c>
      <c r="F167" s="667">
        <v>316</v>
      </c>
      <c r="G167" s="668"/>
      <c r="H167" s="668"/>
      <c r="I167" s="668"/>
      <c r="J167" s="668">
        <v>65</v>
      </c>
      <c r="K167" s="668">
        <v>40</v>
      </c>
      <c r="L167" s="667">
        <v>18</v>
      </c>
      <c r="M167" s="352" t="s">
        <v>15</v>
      </c>
    </row>
    <row r="168" spans="1:13" x14ac:dyDescent="0.35">
      <c r="A168" s="352">
        <v>167</v>
      </c>
      <c r="B168" s="604" t="s">
        <v>334</v>
      </c>
      <c r="C168" s="667"/>
      <c r="D168" s="667"/>
      <c r="E168" s="667"/>
      <c r="F168" s="667"/>
      <c r="G168" s="668"/>
      <c r="H168" s="668"/>
      <c r="I168" s="668"/>
      <c r="J168" s="667"/>
      <c r="K168" s="667"/>
      <c r="L168" s="667"/>
      <c r="M168" s="352" t="s">
        <v>15</v>
      </c>
    </row>
    <row r="169" spans="1:13" x14ac:dyDescent="0.35">
      <c r="A169" s="352">
        <v>168</v>
      </c>
      <c r="B169" s="604" t="s">
        <v>336</v>
      </c>
      <c r="C169" s="667"/>
      <c r="D169" s="667"/>
      <c r="E169" s="667"/>
      <c r="F169" s="667"/>
      <c r="G169" s="668"/>
      <c r="H169" s="668"/>
      <c r="I169" s="668"/>
      <c r="J169" s="667"/>
      <c r="K169" s="667"/>
      <c r="L169" s="667"/>
      <c r="M169" s="352" t="s">
        <v>15</v>
      </c>
    </row>
    <row r="170" spans="1:13" x14ac:dyDescent="0.35">
      <c r="A170" s="352">
        <v>169</v>
      </c>
      <c r="B170" s="691" t="s">
        <v>337</v>
      </c>
      <c r="C170" s="382">
        <v>182</v>
      </c>
      <c r="D170" s="382">
        <v>161</v>
      </c>
      <c r="E170" s="382">
        <v>7</v>
      </c>
      <c r="F170" s="382">
        <v>3525</v>
      </c>
      <c r="G170" s="669"/>
      <c r="H170" s="669"/>
      <c r="I170" s="669"/>
      <c r="J170" s="382">
        <v>91</v>
      </c>
      <c r="K170" s="382">
        <v>45</v>
      </c>
      <c r="L170" s="382">
        <v>46</v>
      </c>
      <c r="M170" s="352" t="s">
        <v>16</v>
      </c>
    </row>
    <row r="171" spans="1:13" x14ac:dyDescent="0.35">
      <c r="A171" s="352">
        <v>170</v>
      </c>
      <c r="B171" s="691" t="s">
        <v>341</v>
      </c>
      <c r="C171" s="382">
        <f>1043+190</f>
        <v>1233</v>
      </c>
      <c r="D171" s="382">
        <f>627+853</f>
        <v>1480</v>
      </c>
      <c r="E171" s="382">
        <f>300+112</f>
        <v>412</v>
      </c>
      <c r="F171" s="382">
        <f>2914+152</f>
        <v>3066</v>
      </c>
      <c r="G171" s="669"/>
      <c r="H171" s="669"/>
      <c r="I171" s="669"/>
      <c r="J171" s="382">
        <v>334</v>
      </c>
      <c r="K171" s="382">
        <f>479+131</f>
        <v>610</v>
      </c>
      <c r="L171" s="382">
        <f>231+59</f>
        <v>290</v>
      </c>
      <c r="M171" s="352" t="s">
        <v>16</v>
      </c>
    </row>
    <row r="172" spans="1:13" x14ac:dyDescent="0.35">
      <c r="A172" s="352">
        <v>171</v>
      </c>
      <c r="B172" s="691" t="s">
        <v>354</v>
      </c>
      <c r="C172" s="382">
        <v>1196</v>
      </c>
      <c r="D172" s="382">
        <v>477</v>
      </c>
      <c r="E172" s="382">
        <v>266</v>
      </c>
      <c r="F172" s="382">
        <v>2606</v>
      </c>
      <c r="G172" s="669"/>
      <c r="H172" s="669"/>
      <c r="I172" s="669"/>
      <c r="J172" s="382">
        <v>292</v>
      </c>
      <c r="K172" s="382">
        <v>558</v>
      </c>
      <c r="L172" s="382">
        <v>346</v>
      </c>
      <c r="M172" s="352" t="s">
        <v>16</v>
      </c>
    </row>
    <row r="173" spans="1:13" x14ac:dyDescent="0.35">
      <c r="A173" s="352">
        <v>172</v>
      </c>
      <c r="B173" s="691" t="s">
        <v>353</v>
      </c>
      <c r="C173" s="382">
        <v>610</v>
      </c>
      <c r="D173" s="382">
        <v>914</v>
      </c>
      <c r="E173" s="382">
        <v>103</v>
      </c>
      <c r="F173" s="382">
        <v>3530</v>
      </c>
      <c r="G173" s="669"/>
      <c r="H173" s="669"/>
      <c r="I173" s="669"/>
      <c r="J173" s="382">
        <v>446</v>
      </c>
      <c r="K173" s="382">
        <v>113</v>
      </c>
      <c r="L173" s="382">
        <v>51</v>
      </c>
      <c r="M173" s="352" t="s">
        <v>16</v>
      </c>
    </row>
    <row r="174" spans="1:13" x14ac:dyDescent="0.35">
      <c r="A174" s="352">
        <v>173</v>
      </c>
      <c r="B174" s="691" t="s">
        <v>338</v>
      </c>
      <c r="C174" s="382">
        <f>376+192</f>
        <v>568</v>
      </c>
      <c r="D174" s="382">
        <f>1437+604</f>
        <v>2041</v>
      </c>
      <c r="E174" s="382">
        <f>85+116</f>
        <v>201</v>
      </c>
      <c r="F174" s="382">
        <f>661+153</f>
        <v>814</v>
      </c>
      <c r="G174" s="669"/>
      <c r="H174" s="669"/>
      <c r="I174" s="669"/>
      <c r="J174" s="382">
        <v>275</v>
      </c>
      <c r="K174" s="382">
        <f>59+192</f>
        <v>251</v>
      </c>
      <c r="L174" s="382">
        <v>42</v>
      </c>
      <c r="M174" s="352" t="s">
        <v>16</v>
      </c>
    </row>
    <row r="175" spans="1:13" x14ac:dyDescent="0.35">
      <c r="A175" s="352">
        <v>174</v>
      </c>
      <c r="B175" s="691" t="s">
        <v>345</v>
      </c>
      <c r="C175" s="382">
        <f>152+401</f>
        <v>553</v>
      </c>
      <c r="D175" s="382">
        <f>553+529</f>
        <v>1082</v>
      </c>
      <c r="E175" s="382">
        <f>25+212</f>
        <v>237</v>
      </c>
      <c r="F175" s="382">
        <f>284+321</f>
        <v>605</v>
      </c>
      <c r="G175" s="669"/>
      <c r="H175" s="669"/>
      <c r="I175" s="669"/>
      <c r="J175" s="382">
        <v>75</v>
      </c>
      <c r="K175" s="382">
        <f>45+401</f>
        <v>446</v>
      </c>
      <c r="L175" s="382">
        <v>31</v>
      </c>
      <c r="M175" s="352" t="s">
        <v>16</v>
      </c>
    </row>
    <row r="176" spans="1:13" x14ac:dyDescent="0.35">
      <c r="A176" s="352">
        <v>175</v>
      </c>
      <c r="B176" s="691" t="s">
        <v>357</v>
      </c>
      <c r="C176" s="382">
        <f>542+6</f>
        <v>548</v>
      </c>
      <c r="D176" s="382">
        <f>132+200</f>
        <v>332</v>
      </c>
      <c r="E176" s="382">
        <f>13+1</f>
        <v>14</v>
      </c>
      <c r="F176" s="382">
        <f>181+61</f>
        <v>242</v>
      </c>
      <c r="G176" s="669"/>
      <c r="H176" s="669"/>
      <c r="I176" s="669"/>
      <c r="J176" s="382">
        <v>388</v>
      </c>
      <c r="K176" s="382">
        <f>100+3</f>
        <v>103</v>
      </c>
      <c r="L176" s="382">
        <f>54+3</f>
        <v>57</v>
      </c>
      <c r="M176" s="352" t="s">
        <v>16</v>
      </c>
    </row>
    <row r="177" spans="1:13" x14ac:dyDescent="0.35">
      <c r="A177" s="352">
        <v>176</v>
      </c>
      <c r="B177" s="691" t="s">
        <v>348</v>
      </c>
      <c r="C177" s="382">
        <v>504</v>
      </c>
      <c r="D177" s="382">
        <v>726</v>
      </c>
      <c r="E177" s="382">
        <v>154</v>
      </c>
      <c r="F177" s="382">
        <v>2052</v>
      </c>
      <c r="G177" s="669"/>
      <c r="H177" s="669"/>
      <c r="I177" s="669"/>
      <c r="J177" s="382">
        <v>184</v>
      </c>
      <c r="K177" s="382">
        <v>212</v>
      </c>
      <c r="L177" s="382">
        <v>108</v>
      </c>
      <c r="M177" s="352" t="s">
        <v>16</v>
      </c>
    </row>
    <row r="178" spans="1:13" x14ac:dyDescent="0.35">
      <c r="A178" s="352">
        <v>177</v>
      </c>
      <c r="B178" s="691" t="s">
        <v>346</v>
      </c>
      <c r="C178" s="382">
        <f>197+202</f>
        <v>399</v>
      </c>
      <c r="D178" s="382">
        <f>1234+601</f>
        <v>1835</v>
      </c>
      <c r="E178" s="382">
        <f>37+89</f>
        <v>126</v>
      </c>
      <c r="F178" s="382">
        <f>1015+162</f>
        <v>1177</v>
      </c>
      <c r="G178" s="669"/>
      <c r="H178" s="669"/>
      <c r="I178" s="669"/>
      <c r="J178" s="382">
        <f>149+54</f>
        <v>203</v>
      </c>
      <c r="K178" s="382">
        <f>30+148</f>
        <v>178</v>
      </c>
      <c r="L178" s="382">
        <v>17</v>
      </c>
      <c r="M178" s="352" t="s">
        <v>16</v>
      </c>
    </row>
    <row r="179" spans="1:13" x14ac:dyDescent="0.35">
      <c r="A179" s="352">
        <v>178</v>
      </c>
      <c r="B179" s="691" t="s">
        <v>350</v>
      </c>
      <c r="C179" s="382">
        <v>310</v>
      </c>
      <c r="D179" s="382">
        <v>889</v>
      </c>
      <c r="E179" s="382">
        <v>55</v>
      </c>
      <c r="F179" s="382">
        <v>759</v>
      </c>
      <c r="G179" s="669"/>
      <c r="H179" s="669"/>
      <c r="I179" s="669"/>
      <c r="J179" s="382">
        <v>214</v>
      </c>
      <c r="K179" s="382">
        <v>62</v>
      </c>
      <c r="L179" s="382">
        <v>34</v>
      </c>
      <c r="M179" s="352" t="s">
        <v>16</v>
      </c>
    </row>
    <row r="180" spans="1:13" x14ac:dyDescent="0.35">
      <c r="A180" s="352">
        <v>179</v>
      </c>
      <c r="B180" s="691" t="s">
        <v>352</v>
      </c>
      <c r="C180" s="382">
        <v>257</v>
      </c>
      <c r="D180" s="382">
        <v>223</v>
      </c>
      <c r="E180" s="382">
        <v>28</v>
      </c>
      <c r="F180" s="382">
        <v>3956</v>
      </c>
      <c r="G180" s="669"/>
      <c r="H180" s="669"/>
      <c r="I180" s="669"/>
      <c r="J180" s="382">
        <v>37</v>
      </c>
      <c r="K180" s="382">
        <v>123</v>
      </c>
      <c r="L180" s="382">
        <v>96</v>
      </c>
      <c r="M180" s="352" t="s">
        <v>16</v>
      </c>
    </row>
    <row r="181" spans="1:13" x14ac:dyDescent="0.35">
      <c r="A181" s="352">
        <v>180</v>
      </c>
      <c r="B181" s="691" t="s">
        <v>342</v>
      </c>
      <c r="C181" s="382">
        <v>234</v>
      </c>
      <c r="D181" s="382">
        <v>79</v>
      </c>
      <c r="E181" s="382">
        <v>4</v>
      </c>
      <c r="F181" s="382">
        <v>725</v>
      </c>
      <c r="G181" s="669"/>
      <c r="H181" s="669"/>
      <c r="I181" s="669"/>
      <c r="J181" s="382">
        <v>155</v>
      </c>
      <c r="K181" s="382">
        <v>52</v>
      </c>
      <c r="L181" s="382">
        <v>27</v>
      </c>
      <c r="M181" s="352" t="s">
        <v>16</v>
      </c>
    </row>
    <row r="182" spans="1:13" x14ac:dyDescent="0.35">
      <c r="A182" s="352">
        <v>181</v>
      </c>
      <c r="B182" s="691" t="s">
        <v>347</v>
      </c>
      <c r="C182" s="382">
        <v>216</v>
      </c>
      <c r="D182" s="382">
        <v>299</v>
      </c>
      <c r="E182" s="382">
        <v>31</v>
      </c>
      <c r="F182" s="382">
        <v>480</v>
      </c>
      <c r="G182" s="669"/>
      <c r="H182" s="669"/>
      <c r="I182" s="669"/>
      <c r="J182" s="382">
        <v>53</v>
      </c>
      <c r="K182" s="382">
        <v>104</v>
      </c>
      <c r="L182" s="382">
        <v>59</v>
      </c>
      <c r="M182" s="352" t="s">
        <v>16</v>
      </c>
    </row>
    <row r="183" spans="1:13" x14ac:dyDescent="0.35">
      <c r="A183" s="352">
        <v>182</v>
      </c>
      <c r="B183" s="691" t="s">
        <v>349</v>
      </c>
      <c r="C183" s="382">
        <v>215</v>
      </c>
      <c r="D183" s="382">
        <v>1093</v>
      </c>
      <c r="E183" s="382">
        <v>100</v>
      </c>
      <c r="F183" s="382">
        <v>2215</v>
      </c>
      <c r="G183" s="669"/>
      <c r="H183" s="669"/>
      <c r="I183" s="669"/>
      <c r="J183" s="382">
        <v>75</v>
      </c>
      <c r="K183" s="382">
        <v>91</v>
      </c>
      <c r="L183" s="382">
        <v>49</v>
      </c>
      <c r="M183" s="352" t="s">
        <v>16</v>
      </c>
    </row>
    <row r="184" spans="1:13" x14ac:dyDescent="0.35">
      <c r="A184" s="352">
        <v>183</v>
      </c>
      <c r="B184" s="691" t="s">
        <v>356</v>
      </c>
      <c r="C184" s="382">
        <v>145</v>
      </c>
      <c r="D184" s="382">
        <v>775</v>
      </c>
      <c r="E184" s="382">
        <v>8</v>
      </c>
      <c r="F184" s="382">
        <v>196</v>
      </c>
      <c r="G184" s="669"/>
      <c r="H184" s="669"/>
      <c r="I184" s="669"/>
      <c r="J184" s="382">
        <v>129</v>
      </c>
      <c r="K184" s="382">
        <v>11</v>
      </c>
      <c r="L184" s="382">
        <v>5</v>
      </c>
      <c r="M184" s="352" t="s">
        <v>16</v>
      </c>
    </row>
    <row r="185" spans="1:13" x14ac:dyDescent="0.35">
      <c r="A185" s="352">
        <v>184</v>
      </c>
      <c r="B185" s="691" t="s">
        <v>344</v>
      </c>
      <c r="C185" s="382">
        <v>118</v>
      </c>
      <c r="D185" s="382">
        <v>243</v>
      </c>
      <c r="E185" s="382">
        <v>9</v>
      </c>
      <c r="F185" s="382">
        <v>492</v>
      </c>
      <c r="G185" s="669"/>
      <c r="H185" s="669"/>
      <c r="I185" s="669"/>
      <c r="J185" s="382">
        <v>60</v>
      </c>
      <c r="K185" s="382">
        <v>39</v>
      </c>
      <c r="L185" s="382">
        <v>19</v>
      </c>
      <c r="M185" s="352" t="s">
        <v>16</v>
      </c>
    </row>
    <row r="186" spans="1:13" x14ac:dyDescent="0.35">
      <c r="A186" s="352">
        <v>185</v>
      </c>
      <c r="B186" s="691" t="s">
        <v>358</v>
      </c>
      <c r="C186" s="382">
        <v>113</v>
      </c>
      <c r="D186" s="382">
        <v>627</v>
      </c>
      <c r="E186" s="382">
        <v>15</v>
      </c>
      <c r="F186" s="382">
        <v>417</v>
      </c>
      <c r="G186" s="669"/>
      <c r="H186" s="669"/>
      <c r="I186" s="669"/>
      <c r="J186" s="382">
        <v>66</v>
      </c>
      <c r="K186" s="382">
        <v>24</v>
      </c>
      <c r="L186" s="382">
        <v>23</v>
      </c>
      <c r="M186" s="352" t="s">
        <v>16</v>
      </c>
    </row>
    <row r="187" spans="1:13" x14ac:dyDescent="0.35">
      <c r="A187" s="352">
        <v>186</v>
      </c>
      <c r="B187" s="691" t="s">
        <v>340</v>
      </c>
      <c r="C187" s="382">
        <v>63</v>
      </c>
      <c r="D187" s="382">
        <v>494</v>
      </c>
      <c r="E187" s="382">
        <v>9</v>
      </c>
      <c r="F187" s="382">
        <v>99</v>
      </c>
      <c r="G187" s="669"/>
      <c r="H187" s="669"/>
      <c r="I187" s="669"/>
      <c r="J187" s="382">
        <v>33</v>
      </c>
      <c r="K187" s="382">
        <v>18</v>
      </c>
      <c r="L187" s="382">
        <v>11</v>
      </c>
      <c r="M187" s="352" t="s">
        <v>16</v>
      </c>
    </row>
    <row r="188" spans="1:13" x14ac:dyDescent="0.35">
      <c r="A188" s="352">
        <v>187</v>
      </c>
      <c r="B188" s="691" t="s">
        <v>351</v>
      </c>
      <c r="C188" s="382">
        <v>56</v>
      </c>
      <c r="D188" s="382">
        <v>1050</v>
      </c>
      <c r="E188" s="382">
        <v>14</v>
      </c>
      <c r="F188" s="382">
        <v>85</v>
      </c>
      <c r="G188" s="669"/>
      <c r="H188" s="669"/>
      <c r="I188" s="669"/>
      <c r="J188" s="382">
        <v>35</v>
      </c>
      <c r="K188" s="382">
        <v>14</v>
      </c>
      <c r="L188" s="382">
        <v>7</v>
      </c>
      <c r="M188" s="352" t="s">
        <v>16</v>
      </c>
    </row>
    <row r="189" spans="1:13" x14ac:dyDescent="0.35">
      <c r="A189" s="352">
        <v>188</v>
      </c>
      <c r="B189" s="691" t="s">
        <v>339</v>
      </c>
      <c r="C189" s="382">
        <v>45</v>
      </c>
      <c r="D189" s="382">
        <v>412</v>
      </c>
      <c r="E189" s="382">
        <v>5</v>
      </c>
      <c r="F189" s="382">
        <v>70</v>
      </c>
      <c r="G189" s="669"/>
      <c r="H189" s="669"/>
      <c r="I189" s="669"/>
      <c r="J189" s="382">
        <v>19</v>
      </c>
      <c r="K189" s="382">
        <v>12</v>
      </c>
      <c r="L189" s="382">
        <v>14</v>
      </c>
      <c r="M189" s="352" t="s">
        <v>16</v>
      </c>
    </row>
    <row r="190" spans="1:13" x14ac:dyDescent="0.35">
      <c r="A190" s="352">
        <v>189</v>
      </c>
      <c r="B190" s="691" t="s">
        <v>343</v>
      </c>
      <c r="C190" s="382">
        <v>36</v>
      </c>
      <c r="D190" s="382">
        <v>845</v>
      </c>
      <c r="E190" s="382">
        <v>6</v>
      </c>
      <c r="F190" s="382">
        <v>75</v>
      </c>
      <c r="G190" s="669"/>
      <c r="H190" s="669"/>
      <c r="I190" s="669"/>
      <c r="J190" s="382">
        <v>26</v>
      </c>
      <c r="K190" s="382">
        <v>7</v>
      </c>
      <c r="L190" s="382">
        <v>3</v>
      </c>
      <c r="M190" s="352" t="s">
        <v>16</v>
      </c>
    </row>
    <row r="191" spans="1:13" x14ac:dyDescent="0.35">
      <c r="A191" s="352">
        <v>190</v>
      </c>
      <c r="B191" s="693" t="s">
        <v>355</v>
      </c>
      <c r="C191" s="382">
        <v>15</v>
      </c>
      <c r="D191" s="382">
        <v>680</v>
      </c>
      <c r="E191" s="382">
        <v>5</v>
      </c>
      <c r="F191" s="382">
        <v>193</v>
      </c>
      <c r="G191" s="669"/>
      <c r="H191" s="669"/>
      <c r="I191" s="669"/>
      <c r="J191" s="382">
        <v>4</v>
      </c>
      <c r="K191" s="382">
        <v>7</v>
      </c>
      <c r="L191" s="382">
        <v>3</v>
      </c>
      <c r="M191" s="352" t="s">
        <v>16</v>
      </c>
    </row>
    <row r="192" spans="1:13" x14ac:dyDescent="0.35">
      <c r="A192" s="352">
        <v>191</v>
      </c>
      <c r="B192" s="609" t="s">
        <v>359</v>
      </c>
      <c r="C192" s="657">
        <v>1403</v>
      </c>
      <c r="D192" s="655">
        <v>711</v>
      </c>
      <c r="E192" s="655">
        <v>327</v>
      </c>
      <c r="F192" s="657">
        <v>9212</v>
      </c>
      <c r="G192" s="656"/>
      <c r="H192" s="656"/>
      <c r="I192" s="656"/>
      <c r="J192" s="655">
        <v>664</v>
      </c>
      <c r="K192" s="655">
        <v>460</v>
      </c>
      <c r="L192" s="655">
        <v>279</v>
      </c>
      <c r="M192" s="352" t="s">
        <v>364</v>
      </c>
    </row>
    <row r="193" spans="1:13" x14ac:dyDescent="0.35">
      <c r="A193" s="352">
        <v>192</v>
      </c>
      <c r="B193" s="609" t="s">
        <v>362</v>
      </c>
      <c r="C193" s="657">
        <v>3598</v>
      </c>
      <c r="D193" s="655">
        <v>469</v>
      </c>
      <c r="E193" s="655">
        <v>787</v>
      </c>
      <c r="F193" s="657">
        <v>17988</v>
      </c>
      <c r="G193" s="656"/>
      <c r="H193" s="656"/>
      <c r="I193" s="656"/>
      <c r="J193" s="657">
        <v>1152</v>
      </c>
      <c r="K193" s="657">
        <v>1680</v>
      </c>
      <c r="L193" s="655">
        <v>766</v>
      </c>
      <c r="M193" s="352" t="s">
        <v>364</v>
      </c>
    </row>
    <row r="194" spans="1:13" x14ac:dyDescent="0.35">
      <c r="A194" s="352">
        <v>193</v>
      </c>
      <c r="B194" s="609" t="s">
        <v>361</v>
      </c>
      <c r="C194" s="655">
        <v>101</v>
      </c>
      <c r="D194" s="655">
        <v>188</v>
      </c>
      <c r="E194" s="655">
        <v>6</v>
      </c>
      <c r="F194" s="655">
        <v>401</v>
      </c>
      <c r="G194" s="656"/>
      <c r="H194" s="656"/>
      <c r="I194" s="656"/>
      <c r="J194" s="655">
        <v>57</v>
      </c>
      <c r="K194" s="655">
        <v>30</v>
      </c>
      <c r="L194" s="655">
        <v>14</v>
      </c>
      <c r="M194" s="352" t="s">
        <v>364</v>
      </c>
    </row>
    <row r="195" spans="1:13" x14ac:dyDescent="0.35">
      <c r="A195" s="352">
        <v>194</v>
      </c>
      <c r="B195" s="609" t="s">
        <v>360</v>
      </c>
      <c r="C195" s="655">
        <v>54</v>
      </c>
      <c r="D195" s="655">
        <v>82</v>
      </c>
      <c r="E195" s="655">
        <v>1</v>
      </c>
      <c r="F195" s="655">
        <v>661</v>
      </c>
      <c r="G195" s="656"/>
      <c r="H195" s="656"/>
      <c r="I195" s="656"/>
      <c r="J195" s="655">
        <v>40</v>
      </c>
      <c r="K195" s="655">
        <v>9</v>
      </c>
      <c r="L195" s="655">
        <v>4</v>
      </c>
      <c r="M195" s="352" t="s">
        <v>364</v>
      </c>
    </row>
    <row r="196" spans="1:13" x14ac:dyDescent="0.35">
      <c r="A196" s="352">
        <v>195</v>
      </c>
      <c r="B196" s="609" t="s">
        <v>363</v>
      </c>
      <c r="C196" s="656"/>
      <c r="D196" s="656"/>
      <c r="E196" s="655"/>
      <c r="F196" s="656"/>
      <c r="G196" s="656"/>
      <c r="H196" s="656"/>
      <c r="I196" s="656"/>
      <c r="J196" s="655"/>
      <c r="K196" s="656"/>
      <c r="L196" s="656"/>
      <c r="M196" s="352" t="s">
        <v>364</v>
      </c>
    </row>
    <row r="197" spans="1:13" x14ac:dyDescent="0.35">
      <c r="A197" s="352">
        <v>196</v>
      </c>
      <c r="B197" s="694" t="s">
        <v>365</v>
      </c>
      <c r="C197" s="653">
        <v>14</v>
      </c>
      <c r="D197" s="670"/>
      <c r="E197" s="670"/>
      <c r="F197" s="653">
        <v>18</v>
      </c>
      <c r="G197" s="670"/>
      <c r="H197" s="670"/>
      <c r="I197" s="670"/>
      <c r="J197" s="670"/>
      <c r="K197" s="653"/>
      <c r="L197" s="653">
        <v>14</v>
      </c>
      <c r="M197" s="352" t="s">
        <v>18</v>
      </c>
    </row>
    <row r="198" spans="1:13" x14ac:dyDescent="0.35">
      <c r="A198" s="352">
        <v>197</v>
      </c>
      <c r="B198" s="694" t="s">
        <v>383</v>
      </c>
      <c r="C198" s="653">
        <f>702+6928</f>
        <v>7630</v>
      </c>
      <c r="D198" s="653">
        <f>725+863</f>
        <v>1588</v>
      </c>
      <c r="E198" s="653">
        <f>249+5219</f>
        <v>5468</v>
      </c>
      <c r="F198" s="653">
        <f>691+5563</f>
        <v>6254</v>
      </c>
      <c r="G198" s="670"/>
      <c r="H198" s="670"/>
      <c r="I198" s="670"/>
      <c r="J198" s="653">
        <f>95+213</f>
        <v>308</v>
      </c>
      <c r="K198" s="653">
        <f>343+6049</f>
        <v>6392</v>
      </c>
      <c r="L198" s="653">
        <f>264+666</f>
        <v>930</v>
      </c>
      <c r="M198" s="352" t="s">
        <v>18</v>
      </c>
    </row>
    <row r="199" spans="1:13" x14ac:dyDescent="0.35">
      <c r="A199" s="352">
        <v>198</v>
      </c>
      <c r="B199" s="694" t="s">
        <v>368</v>
      </c>
      <c r="C199" s="653">
        <v>5481</v>
      </c>
      <c r="D199" s="653">
        <v>747</v>
      </c>
      <c r="E199" s="653">
        <v>1790</v>
      </c>
      <c r="F199" s="653">
        <v>15531</v>
      </c>
      <c r="G199" s="670"/>
      <c r="H199" s="670"/>
      <c r="I199" s="670"/>
      <c r="J199" s="653">
        <v>1937</v>
      </c>
      <c r="K199" s="653">
        <v>2397</v>
      </c>
      <c r="L199" s="653">
        <v>1147</v>
      </c>
      <c r="M199" s="352" t="s">
        <v>18</v>
      </c>
    </row>
    <row r="200" spans="1:13" x14ac:dyDescent="0.35">
      <c r="A200" s="352">
        <v>199</v>
      </c>
      <c r="B200" s="694" t="s">
        <v>1346</v>
      </c>
      <c r="C200" s="653">
        <v>5127</v>
      </c>
      <c r="D200" s="653">
        <v>679</v>
      </c>
      <c r="E200" s="653">
        <v>1204</v>
      </c>
      <c r="F200" s="653">
        <v>17300</v>
      </c>
      <c r="G200" s="670"/>
      <c r="H200" s="670"/>
      <c r="I200" s="670"/>
      <c r="J200" s="653">
        <v>2256</v>
      </c>
      <c r="K200" s="653">
        <v>1772</v>
      </c>
      <c r="L200" s="653">
        <v>1099</v>
      </c>
      <c r="M200" s="352" t="s">
        <v>18</v>
      </c>
    </row>
    <row r="201" spans="1:13" x14ac:dyDescent="0.35">
      <c r="A201" s="352">
        <v>200</v>
      </c>
      <c r="B201" s="694" t="s">
        <v>375</v>
      </c>
      <c r="C201" s="653">
        <f>4484+444</f>
        <v>4928</v>
      </c>
      <c r="D201" s="653">
        <f>733+915</f>
        <v>1648</v>
      </c>
      <c r="E201" s="653">
        <f>1485+274</f>
        <v>1759</v>
      </c>
      <c r="F201" s="653">
        <f>9247+365</f>
        <v>9612</v>
      </c>
      <c r="G201" s="670"/>
      <c r="H201" s="670"/>
      <c r="I201" s="670"/>
      <c r="J201" s="653">
        <f>1903+35</f>
        <v>1938</v>
      </c>
      <c r="K201" s="653">
        <f>2027+299</f>
        <v>2326</v>
      </c>
      <c r="L201" s="653">
        <f>554+110</f>
        <v>664</v>
      </c>
      <c r="M201" s="352" t="s">
        <v>18</v>
      </c>
    </row>
    <row r="202" spans="1:13" x14ac:dyDescent="0.35">
      <c r="A202" s="352">
        <v>201</v>
      </c>
      <c r="B202" s="694" t="s">
        <v>371</v>
      </c>
      <c r="C202" s="653">
        <f>1766+2519</f>
        <v>4285</v>
      </c>
      <c r="D202" s="653">
        <f>533+893</f>
        <v>1426</v>
      </c>
      <c r="E202" s="653">
        <f>271+2139</f>
        <v>2410</v>
      </c>
      <c r="F202" s="653">
        <f>1981+2003</f>
        <v>3984</v>
      </c>
      <c r="G202" s="670"/>
      <c r="H202" s="670"/>
      <c r="I202" s="670"/>
      <c r="J202" s="653">
        <f>631+9</f>
        <v>640</v>
      </c>
      <c r="K202" s="653">
        <f>509+2396</f>
        <v>2905</v>
      </c>
      <c r="L202" s="653">
        <f>626+114</f>
        <v>740</v>
      </c>
      <c r="M202" s="352" t="s">
        <v>18</v>
      </c>
    </row>
    <row r="203" spans="1:13" x14ac:dyDescent="0.35">
      <c r="A203" s="352">
        <v>202</v>
      </c>
      <c r="B203" s="694" t="s">
        <v>377</v>
      </c>
      <c r="C203" s="653">
        <v>4205</v>
      </c>
      <c r="D203" s="653">
        <v>697</v>
      </c>
      <c r="E203" s="653">
        <v>1704</v>
      </c>
      <c r="F203" s="653">
        <v>11292</v>
      </c>
      <c r="G203" s="670"/>
      <c r="H203" s="670"/>
      <c r="I203" s="670"/>
      <c r="J203" s="653">
        <v>654</v>
      </c>
      <c r="K203" s="653">
        <v>2443</v>
      </c>
      <c r="L203" s="653">
        <v>1107</v>
      </c>
      <c r="M203" s="352" t="s">
        <v>18</v>
      </c>
    </row>
    <row r="204" spans="1:13" x14ac:dyDescent="0.35">
      <c r="A204" s="352">
        <v>203</v>
      </c>
      <c r="B204" s="694" t="s">
        <v>378</v>
      </c>
      <c r="C204" s="653">
        <v>3631</v>
      </c>
      <c r="D204" s="653">
        <v>741</v>
      </c>
      <c r="E204" s="653">
        <v>979</v>
      </c>
      <c r="F204" s="653">
        <v>3408</v>
      </c>
      <c r="G204" s="670"/>
      <c r="H204" s="670"/>
      <c r="I204" s="670"/>
      <c r="J204" s="653">
        <v>2009</v>
      </c>
      <c r="K204" s="653">
        <v>1321</v>
      </c>
      <c r="L204" s="653">
        <v>301</v>
      </c>
      <c r="M204" s="352" t="s">
        <v>18</v>
      </c>
    </row>
    <row r="205" spans="1:13" x14ac:dyDescent="0.35">
      <c r="A205" s="352">
        <v>204</v>
      </c>
      <c r="B205" s="694" t="s">
        <v>381</v>
      </c>
      <c r="C205" s="653">
        <f>885+1574+983</f>
        <v>3442</v>
      </c>
      <c r="D205" s="653">
        <f>727+986+1338</f>
        <v>3051</v>
      </c>
      <c r="E205" s="653">
        <f>190+1551+1005</f>
        <v>2746</v>
      </c>
      <c r="F205" s="653">
        <f>2655+1245+1695</f>
        <v>5595</v>
      </c>
      <c r="G205" s="670"/>
      <c r="H205" s="670"/>
      <c r="I205" s="670"/>
      <c r="J205" s="653">
        <f>479+69</f>
        <v>548</v>
      </c>
      <c r="K205" s="653">
        <f>261+1574+751</f>
        <v>2586</v>
      </c>
      <c r="L205" s="653">
        <f>145+163</f>
        <v>308</v>
      </c>
      <c r="M205" s="352" t="s">
        <v>18</v>
      </c>
    </row>
    <row r="206" spans="1:13" x14ac:dyDescent="0.35">
      <c r="A206" s="352">
        <v>205</v>
      </c>
      <c r="B206" s="694" t="s">
        <v>374</v>
      </c>
      <c r="C206" s="653">
        <v>2619</v>
      </c>
      <c r="D206" s="653">
        <v>713</v>
      </c>
      <c r="E206" s="653">
        <v>778</v>
      </c>
      <c r="F206" s="653">
        <v>2671</v>
      </c>
      <c r="G206" s="670"/>
      <c r="H206" s="670"/>
      <c r="I206" s="670"/>
      <c r="J206" s="653">
        <v>639</v>
      </c>
      <c r="K206" s="653">
        <v>1090</v>
      </c>
      <c r="L206" s="653">
        <v>890</v>
      </c>
      <c r="M206" s="352" t="s">
        <v>18</v>
      </c>
    </row>
    <row r="207" spans="1:13" x14ac:dyDescent="0.35">
      <c r="A207" s="352">
        <v>206</v>
      </c>
      <c r="B207" s="694" t="s">
        <v>382</v>
      </c>
      <c r="C207" s="653">
        <f>95+2237</f>
        <v>2332</v>
      </c>
      <c r="D207" s="653">
        <f>713+1075</f>
        <v>1788</v>
      </c>
      <c r="E207" s="653">
        <f>8+2030</f>
        <v>2038</v>
      </c>
      <c r="F207" s="653">
        <f>486+1382</f>
        <v>1868</v>
      </c>
      <c r="G207" s="670"/>
      <c r="H207" s="670"/>
      <c r="I207" s="670"/>
      <c r="J207" s="653">
        <f>54+236</f>
        <v>290</v>
      </c>
      <c r="K207" s="653">
        <f>11+1889</f>
        <v>1900</v>
      </c>
      <c r="L207" s="653">
        <f>30+112</f>
        <v>142</v>
      </c>
      <c r="M207" s="352" t="s">
        <v>18</v>
      </c>
    </row>
    <row r="208" spans="1:13" x14ac:dyDescent="0.35">
      <c r="A208" s="352">
        <v>207</v>
      </c>
      <c r="B208" s="694" t="s">
        <v>380</v>
      </c>
      <c r="C208" s="653">
        <f>890+849+534</f>
        <v>2273</v>
      </c>
      <c r="D208" s="653">
        <f>664+911+1300</f>
        <v>2875</v>
      </c>
      <c r="E208" s="653">
        <f>276+753+597</f>
        <v>1626</v>
      </c>
      <c r="F208" s="653">
        <f>1780+674+551</f>
        <v>3005</v>
      </c>
      <c r="G208" s="670"/>
      <c r="H208" s="670"/>
      <c r="I208" s="670"/>
      <c r="J208" s="653">
        <f>375+2</f>
        <v>377</v>
      </c>
      <c r="K208" s="653">
        <f>416+826+459</f>
        <v>1701</v>
      </c>
      <c r="L208" s="653">
        <f>99+23+73</f>
        <v>195</v>
      </c>
      <c r="M208" s="352" t="s">
        <v>18</v>
      </c>
    </row>
    <row r="209" spans="1:13" x14ac:dyDescent="0.35">
      <c r="A209" s="352">
        <v>208</v>
      </c>
      <c r="B209" s="694" t="s">
        <v>372</v>
      </c>
      <c r="C209" s="653">
        <v>2134</v>
      </c>
      <c r="D209" s="653">
        <v>719</v>
      </c>
      <c r="E209" s="653">
        <v>564</v>
      </c>
      <c r="F209" s="653">
        <v>9713</v>
      </c>
      <c r="G209" s="670"/>
      <c r="H209" s="670"/>
      <c r="I209" s="670"/>
      <c r="J209" s="653">
        <v>1137</v>
      </c>
      <c r="K209" s="653">
        <v>785</v>
      </c>
      <c r="L209" s="653">
        <v>212</v>
      </c>
      <c r="M209" s="352" t="s">
        <v>18</v>
      </c>
    </row>
    <row r="210" spans="1:13" x14ac:dyDescent="0.35">
      <c r="A210" s="352">
        <v>209</v>
      </c>
      <c r="B210" s="694" t="s">
        <v>370</v>
      </c>
      <c r="C210" s="653">
        <v>1957</v>
      </c>
      <c r="D210" s="653">
        <v>859</v>
      </c>
      <c r="E210" s="653">
        <v>588</v>
      </c>
      <c r="F210" s="653">
        <v>5394</v>
      </c>
      <c r="G210" s="670"/>
      <c r="H210" s="670"/>
      <c r="I210" s="670"/>
      <c r="J210" s="653">
        <v>744</v>
      </c>
      <c r="K210" s="653">
        <v>685</v>
      </c>
      <c r="L210" s="653">
        <v>528</v>
      </c>
      <c r="M210" s="352" t="s">
        <v>18</v>
      </c>
    </row>
    <row r="211" spans="1:13" x14ac:dyDescent="0.35">
      <c r="A211" s="352">
        <v>210</v>
      </c>
      <c r="B211" s="694" t="s">
        <v>376</v>
      </c>
      <c r="C211" s="653">
        <v>1754</v>
      </c>
      <c r="D211" s="653">
        <v>658</v>
      </c>
      <c r="E211" s="653">
        <v>642</v>
      </c>
      <c r="F211" s="653">
        <v>2610</v>
      </c>
      <c r="G211" s="670"/>
      <c r="H211" s="670"/>
      <c r="I211" s="670"/>
      <c r="J211" s="653">
        <v>529</v>
      </c>
      <c r="K211" s="653">
        <v>976</v>
      </c>
      <c r="L211" s="653">
        <v>249</v>
      </c>
      <c r="M211" s="352" t="s">
        <v>18</v>
      </c>
    </row>
    <row r="212" spans="1:13" x14ac:dyDescent="0.35">
      <c r="A212" s="352">
        <v>211</v>
      </c>
      <c r="B212" s="694" t="s">
        <v>366</v>
      </c>
      <c r="C212" s="653">
        <f>1488+13</f>
        <v>1501</v>
      </c>
      <c r="D212" s="653">
        <f>616+1147</f>
        <v>1763</v>
      </c>
      <c r="E212" s="653">
        <f>259+13</f>
        <v>272</v>
      </c>
      <c r="F212" s="653">
        <f>1528+6</f>
        <v>1534</v>
      </c>
      <c r="G212" s="670"/>
      <c r="H212" s="670"/>
      <c r="I212" s="670"/>
      <c r="J212" s="653">
        <f>553+2</f>
        <v>555</v>
      </c>
      <c r="K212" s="653">
        <f>421+11</f>
        <v>432</v>
      </c>
      <c r="L212" s="653">
        <v>514</v>
      </c>
      <c r="M212" s="352" t="s">
        <v>18</v>
      </c>
    </row>
    <row r="213" spans="1:13" x14ac:dyDescent="0.35">
      <c r="A213" s="352">
        <v>212</v>
      </c>
      <c r="B213" s="694" t="s">
        <v>369</v>
      </c>
      <c r="C213" s="653">
        <v>845</v>
      </c>
      <c r="D213" s="653">
        <v>678</v>
      </c>
      <c r="E213" s="653">
        <v>214</v>
      </c>
      <c r="F213" s="653">
        <v>2542</v>
      </c>
      <c r="G213" s="670"/>
      <c r="H213" s="670"/>
      <c r="I213" s="670"/>
      <c r="J213" s="653">
        <v>314</v>
      </c>
      <c r="K213" s="653">
        <v>316</v>
      </c>
      <c r="L213" s="653">
        <v>215</v>
      </c>
      <c r="M213" s="352" t="s">
        <v>18</v>
      </c>
    </row>
    <row r="214" spans="1:13" x14ac:dyDescent="0.35">
      <c r="A214" s="352">
        <v>213</v>
      </c>
      <c r="B214" s="694" t="s">
        <v>386</v>
      </c>
      <c r="C214" s="653">
        <v>51</v>
      </c>
      <c r="D214" s="653">
        <v>653</v>
      </c>
      <c r="E214" s="653">
        <v>21</v>
      </c>
      <c r="F214" s="653">
        <v>67</v>
      </c>
      <c r="G214" s="670"/>
      <c r="H214" s="670"/>
      <c r="I214" s="670"/>
      <c r="J214" s="653">
        <v>2</v>
      </c>
      <c r="K214" s="653">
        <v>33</v>
      </c>
      <c r="L214" s="653">
        <v>16</v>
      </c>
      <c r="M214" s="352" t="s">
        <v>18</v>
      </c>
    </row>
    <row r="215" spans="1:13" x14ac:dyDescent="0.35">
      <c r="A215" s="352">
        <v>214</v>
      </c>
      <c r="B215" s="694" t="s">
        <v>379</v>
      </c>
      <c r="C215" s="653">
        <v>5</v>
      </c>
      <c r="D215" s="653">
        <v>632</v>
      </c>
      <c r="E215" s="653">
        <v>1</v>
      </c>
      <c r="F215" s="653">
        <v>10</v>
      </c>
      <c r="G215" s="670"/>
      <c r="H215" s="670"/>
      <c r="I215" s="670"/>
      <c r="J215" s="653">
        <v>4</v>
      </c>
      <c r="K215" s="653">
        <v>1</v>
      </c>
      <c r="L215" s="653">
        <v>0</v>
      </c>
      <c r="M215" s="352" t="s">
        <v>18</v>
      </c>
    </row>
    <row r="216" spans="1:13" x14ac:dyDescent="0.35">
      <c r="A216" s="352">
        <v>215</v>
      </c>
      <c r="B216" s="694" t="s">
        <v>367</v>
      </c>
      <c r="C216" s="670"/>
      <c r="D216" s="670"/>
      <c r="E216" s="670"/>
      <c r="F216" s="670"/>
      <c r="G216" s="670"/>
      <c r="H216" s="670"/>
      <c r="I216" s="670"/>
      <c r="J216" s="670"/>
      <c r="K216" s="670"/>
      <c r="L216" s="670"/>
      <c r="M216" s="352" t="s">
        <v>18</v>
      </c>
    </row>
    <row r="217" spans="1:13" x14ac:dyDescent="0.35">
      <c r="A217" s="352">
        <v>216</v>
      </c>
      <c r="B217" s="694" t="s">
        <v>384</v>
      </c>
      <c r="C217" s="653"/>
      <c r="D217" s="653"/>
      <c r="E217" s="653"/>
      <c r="F217" s="653"/>
      <c r="G217" s="670"/>
      <c r="H217" s="670"/>
      <c r="I217" s="670"/>
      <c r="J217" s="653"/>
      <c r="K217" s="653"/>
      <c r="L217" s="653"/>
      <c r="M217" s="352" t="s">
        <v>18</v>
      </c>
    </row>
    <row r="218" spans="1:13" x14ac:dyDescent="0.35">
      <c r="A218" s="352">
        <v>217</v>
      </c>
      <c r="B218" s="694" t="s">
        <v>385</v>
      </c>
      <c r="C218" s="670"/>
      <c r="D218" s="653"/>
      <c r="E218" s="653"/>
      <c r="F218" s="670"/>
      <c r="G218" s="670"/>
      <c r="H218" s="670"/>
      <c r="I218" s="670"/>
      <c r="J218" s="653"/>
      <c r="K218" s="653"/>
      <c r="L218" s="670"/>
      <c r="M218" s="352" t="s">
        <v>18</v>
      </c>
    </row>
    <row r="219" spans="1:13" x14ac:dyDescent="0.35">
      <c r="A219" s="352">
        <v>218</v>
      </c>
      <c r="B219" s="671" t="s">
        <v>387</v>
      </c>
      <c r="C219" s="672">
        <f>6259+14</f>
        <v>6273</v>
      </c>
      <c r="D219" s="672">
        <f>640+431</f>
        <v>1071</v>
      </c>
      <c r="E219" s="672">
        <f>1883+6</f>
        <v>1889</v>
      </c>
      <c r="F219" s="672">
        <f>13040+43</f>
        <v>13083</v>
      </c>
      <c r="G219" s="673"/>
      <c r="H219" s="673"/>
      <c r="I219" s="673"/>
      <c r="J219" s="672">
        <v>625</v>
      </c>
      <c r="K219" s="672">
        <f>2941+14</f>
        <v>2955</v>
      </c>
      <c r="L219" s="672">
        <v>2693</v>
      </c>
      <c r="M219" s="352" t="s">
        <v>19</v>
      </c>
    </row>
    <row r="220" spans="1:13" x14ac:dyDescent="0.35">
      <c r="A220" s="352">
        <v>219</v>
      </c>
      <c r="B220" s="671" t="s">
        <v>388</v>
      </c>
      <c r="C220" s="672">
        <v>4627</v>
      </c>
      <c r="D220" s="672">
        <v>605</v>
      </c>
      <c r="E220" s="672">
        <v>1450</v>
      </c>
      <c r="F220" s="672">
        <v>23843</v>
      </c>
      <c r="G220" s="673"/>
      <c r="H220" s="673"/>
      <c r="I220" s="673"/>
      <c r="J220" s="672">
        <v>985</v>
      </c>
      <c r="K220" s="672">
        <v>2396</v>
      </c>
      <c r="L220" s="672">
        <v>1246</v>
      </c>
      <c r="M220" s="352" t="s">
        <v>19</v>
      </c>
    </row>
    <row r="221" spans="1:13" x14ac:dyDescent="0.35">
      <c r="A221" s="352">
        <v>220</v>
      </c>
      <c r="B221" s="671" t="s">
        <v>394</v>
      </c>
      <c r="C221" s="672">
        <v>1279</v>
      </c>
      <c r="D221" s="672">
        <v>675</v>
      </c>
      <c r="E221" s="672">
        <v>529</v>
      </c>
      <c r="F221" s="672">
        <v>6048</v>
      </c>
      <c r="G221" s="673"/>
      <c r="H221" s="673"/>
      <c r="I221" s="673"/>
      <c r="J221" s="672">
        <v>43</v>
      </c>
      <c r="K221" s="672">
        <v>784</v>
      </c>
      <c r="L221" s="672">
        <v>452</v>
      </c>
      <c r="M221" s="352" t="s">
        <v>19</v>
      </c>
    </row>
    <row r="222" spans="1:13" x14ac:dyDescent="0.35">
      <c r="A222" s="352">
        <v>221</v>
      </c>
      <c r="B222" s="671" t="s">
        <v>393</v>
      </c>
      <c r="C222" s="672">
        <v>1066</v>
      </c>
      <c r="D222" s="672">
        <v>471</v>
      </c>
      <c r="E222" s="672">
        <v>129</v>
      </c>
      <c r="F222" s="672">
        <v>2919</v>
      </c>
      <c r="G222" s="673"/>
      <c r="H222" s="673"/>
      <c r="I222" s="673"/>
      <c r="J222" s="672">
        <v>574</v>
      </c>
      <c r="K222" s="672">
        <v>274</v>
      </c>
      <c r="L222" s="672">
        <v>218</v>
      </c>
      <c r="M222" s="352" t="s">
        <v>19</v>
      </c>
    </row>
    <row r="223" spans="1:13" x14ac:dyDescent="0.35">
      <c r="A223" s="352">
        <v>222</v>
      </c>
      <c r="B223" s="671" t="s">
        <v>389</v>
      </c>
      <c r="C223" s="672">
        <v>606</v>
      </c>
      <c r="D223" s="672">
        <v>575</v>
      </c>
      <c r="E223" s="672">
        <v>125</v>
      </c>
      <c r="F223" s="672">
        <v>5168</v>
      </c>
      <c r="G223" s="673"/>
      <c r="H223" s="673"/>
      <c r="I223" s="673"/>
      <c r="J223" s="672">
        <v>142</v>
      </c>
      <c r="K223" s="672">
        <v>217</v>
      </c>
      <c r="L223" s="672">
        <v>247</v>
      </c>
      <c r="M223" s="352" t="s">
        <v>19</v>
      </c>
    </row>
    <row r="224" spans="1:13" x14ac:dyDescent="0.35">
      <c r="A224" s="352">
        <v>223</v>
      </c>
      <c r="B224" s="671" t="s">
        <v>390</v>
      </c>
      <c r="C224" s="672">
        <v>326</v>
      </c>
      <c r="D224" s="672">
        <v>895</v>
      </c>
      <c r="E224" s="672">
        <v>133</v>
      </c>
      <c r="F224" s="672">
        <v>1630</v>
      </c>
      <c r="G224" s="673"/>
      <c r="H224" s="673"/>
      <c r="I224" s="673"/>
      <c r="J224" s="672">
        <v>73</v>
      </c>
      <c r="K224" s="672">
        <v>149</v>
      </c>
      <c r="L224" s="672">
        <v>104</v>
      </c>
      <c r="M224" s="352" t="s">
        <v>19</v>
      </c>
    </row>
    <row r="225" spans="1:13" x14ac:dyDescent="0.35">
      <c r="A225" s="352">
        <v>224</v>
      </c>
      <c r="B225" s="671" t="s">
        <v>391</v>
      </c>
      <c r="C225" s="672">
        <v>257</v>
      </c>
      <c r="D225" s="672">
        <v>455</v>
      </c>
      <c r="E225" s="672">
        <v>64</v>
      </c>
      <c r="F225" s="672">
        <v>5108</v>
      </c>
      <c r="G225" s="673"/>
      <c r="H225" s="673"/>
      <c r="I225" s="673"/>
      <c r="J225" s="672">
        <v>51</v>
      </c>
      <c r="K225" s="672">
        <v>142</v>
      </c>
      <c r="L225" s="672">
        <v>64</v>
      </c>
      <c r="M225" s="352" t="s">
        <v>19</v>
      </c>
    </row>
    <row r="226" spans="1:13" x14ac:dyDescent="0.35">
      <c r="A226" s="352">
        <v>225</v>
      </c>
      <c r="B226" s="671" t="s">
        <v>392</v>
      </c>
      <c r="C226" s="672">
        <v>53</v>
      </c>
      <c r="D226" s="672">
        <v>798</v>
      </c>
      <c r="E226" s="672">
        <v>25</v>
      </c>
      <c r="F226" s="672">
        <v>231</v>
      </c>
      <c r="G226" s="673"/>
      <c r="H226" s="673"/>
      <c r="I226" s="673"/>
      <c r="J226" s="672">
        <v>5</v>
      </c>
      <c r="K226" s="672">
        <v>31</v>
      </c>
      <c r="L226" s="672">
        <v>17</v>
      </c>
      <c r="M226" s="352" t="s">
        <v>19</v>
      </c>
    </row>
    <row r="227" spans="1:13" x14ac:dyDescent="0.35">
      <c r="A227" s="352">
        <v>226</v>
      </c>
      <c r="B227" s="671" t="s">
        <v>395</v>
      </c>
      <c r="C227" s="672"/>
      <c r="D227" s="672"/>
      <c r="E227" s="672"/>
      <c r="F227" s="672"/>
      <c r="G227" s="673"/>
      <c r="H227" s="673"/>
      <c r="I227" s="673"/>
      <c r="J227" s="672"/>
      <c r="K227" s="672"/>
      <c r="L227" s="672"/>
      <c r="M227" s="352" t="s">
        <v>19</v>
      </c>
    </row>
    <row r="228" spans="1:13" x14ac:dyDescent="0.35">
      <c r="A228" s="352">
        <v>227</v>
      </c>
      <c r="B228" s="695" t="s">
        <v>396</v>
      </c>
      <c r="C228" s="623">
        <v>525</v>
      </c>
      <c r="D228" s="623">
        <v>419</v>
      </c>
      <c r="E228" s="623">
        <v>99</v>
      </c>
      <c r="F228" s="638">
        <v>1043</v>
      </c>
      <c r="G228" s="624"/>
      <c r="H228" s="624"/>
      <c r="I228" s="624"/>
      <c r="J228" s="623">
        <v>151</v>
      </c>
      <c r="K228" s="623">
        <v>237</v>
      </c>
      <c r="L228" s="623">
        <v>137</v>
      </c>
      <c r="M228" s="352" t="s">
        <v>1343</v>
      </c>
    </row>
    <row r="229" spans="1:13" x14ac:dyDescent="0.35">
      <c r="A229" s="352">
        <v>228</v>
      </c>
      <c r="B229" s="695" t="s">
        <v>399</v>
      </c>
      <c r="C229" s="638">
        <v>3613</v>
      </c>
      <c r="D229" s="623">
        <v>514</v>
      </c>
      <c r="E229" s="623">
        <v>896</v>
      </c>
      <c r="F229" s="638">
        <v>3907</v>
      </c>
      <c r="G229" s="624"/>
      <c r="H229" s="624"/>
      <c r="I229" s="624"/>
      <c r="J229" s="623">
        <v>611</v>
      </c>
      <c r="K229" s="638">
        <v>1744</v>
      </c>
      <c r="L229" s="638">
        <v>1259</v>
      </c>
      <c r="M229" s="352" t="s">
        <v>1343</v>
      </c>
    </row>
    <row r="230" spans="1:13" x14ac:dyDescent="0.35">
      <c r="A230" s="352">
        <v>229</v>
      </c>
      <c r="B230" s="695" t="s">
        <v>398</v>
      </c>
      <c r="C230" s="638">
        <v>2305</v>
      </c>
      <c r="D230" s="623">
        <v>445</v>
      </c>
      <c r="E230" s="623">
        <v>212</v>
      </c>
      <c r="F230" s="638">
        <v>2198</v>
      </c>
      <c r="G230" s="624"/>
      <c r="H230" s="624"/>
      <c r="I230" s="624"/>
      <c r="J230" s="638">
        <v>1466</v>
      </c>
      <c r="K230" s="623">
        <v>475</v>
      </c>
      <c r="L230" s="623">
        <v>363</v>
      </c>
      <c r="M230" s="352" t="s">
        <v>1343</v>
      </c>
    </row>
    <row r="231" spans="1:13" x14ac:dyDescent="0.35">
      <c r="A231" s="352">
        <v>230</v>
      </c>
      <c r="B231" s="695" t="s">
        <v>397</v>
      </c>
      <c r="C231" s="623">
        <v>966</v>
      </c>
      <c r="D231" s="623">
        <v>331</v>
      </c>
      <c r="E231" s="623">
        <v>90</v>
      </c>
      <c r="F231" s="638">
        <v>1363</v>
      </c>
      <c r="G231" s="624"/>
      <c r="H231" s="624"/>
      <c r="I231" s="624"/>
      <c r="J231" s="623">
        <v>374</v>
      </c>
      <c r="K231" s="623">
        <v>272</v>
      </c>
      <c r="L231" s="623">
        <v>320</v>
      </c>
      <c r="M231" s="352" t="s">
        <v>1343</v>
      </c>
    </row>
    <row r="232" spans="1:13" x14ac:dyDescent="0.35">
      <c r="A232" s="352">
        <v>231</v>
      </c>
      <c r="B232" s="695" t="s">
        <v>402</v>
      </c>
      <c r="C232" s="623">
        <v>259</v>
      </c>
      <c r="D232" s="623">
        <v>214</v>
      </c>
      <c r="E232" s="623">
        <v>8</v>
      </c>
      <c r="F232" s="623">
        <v>426</v>
      </c>
      <c r="G232" s="624"/>
      <c r="H232" s="624"/>
      <c r="I232" s="624"/>
      <c r="J232" s="623">
        <v>184</v>
      </c>
      <c r="K232" s="623">
        <v>37</v>
      </c>
      <c r="L232" s="623">
        <v>39</v>
      </c>
      <c r="M232" s="352" t="s">
        <v>1343</v>
      </c>
    </row>
    <row r="233" spans="1:13" x14ac:dyDescent="0.35">
      <c r="A233" s="352">
        <v>232</v>
      </c>
      <c r="B233" s="695" t="s">
        <v>403</v>
      </c>
      <c r="C233" s="623">
        <v>249</v>
      </c>
      <c r="D233" s="623">
        <v>357</v>
      </c>
      <c r="E233" s="623">
        <v>45</v>
      </c>
      <c r="F233" s="623">
        <v>359</v>
      </c>
      <c r="G233" s="624"/>
      <c r="H233" s="624"/>
      <c r="I233" s="624"/>
      <c r="J233" s="624">
        <v>52</v>
      </c>
      <c r="K233" s="624">
        <v>127</v>
      </c>
      <c r="L233" s="624">
        <v>70</v>
      </c>
      <c r="M233" s="352" t="s">
        <v>1343</v>
      </c>
    </row>
    <row r="234" spans="1:13" x14ac:dyDescent="0.35">
      <c r="A234" s="352">
        <v>233</v>
      </c>
      <c r="B234" s="695" t="s">
        <v>401</v>
      </c>
      <c r="C234" s="623">
        <v>125</v>
      </c>
      <c r="D234" s="623">
        <v>157</v>
      </c>
      <c r="E234" s="623">
        <v>1</v>
      </c>
      <c r="F234" s="623">
        <v>231</v>
      </c>
      <c r="G234" s="624"/>
      <c r="H234" s="624"/>
      <c r="I234" s="624"/>
      <c r="J234" s="623">
        <v>54</v>
      </c>
      <c r="K234" s="623">
        <v>8</v>
      </c>
      <c r="L234" s="623">
        <v>63</v>
      </c>
      <c r="M234" s="352" t="s">
        <v>1343</v>
      </c>
    </row>
    <row r="235" spans="1:13" x14ac:dyDescent="0.35">
      <c r="A235" s="352">
        <v>234</v>
      </c>
      <c r="B235" s="695" t="s">
        <v>400</v>
      </c>
      <c r="C235" s="623">
        <v>109</v>
      </c>
      <c r="D235" s="623">
        <v>100</v>
      </c>
      <c r="E235" s="623">
        <v>0</v>
      </c>
      <c r="F235" s="623">
        <v>142</v>
      </c>
      <c r="G235" s="624"/>
      <c r="H235" s="624"/>
      <c r="I235" s="624"/>
      <c r="J235" s="623">
        <v>38</v>
      </c>
      <c r="K235" s="623">
        <v>1</v>
      </c>
      <c r="L235" s="623">
        <v>70</v>
      </c>
      <c r="M235" s="352" t="s">
        <v>1343</v>
      </c>
    </row>
    <row r="236" spans="1:13" x14ac:dyDescent="0.35">
      <c r="A236" s="352">
        <v>235</v>
      </c>
      <c r="B236" s="695" t="s">
        <v>404</v>
      </c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352" t="s">
        <v>1343</v>
      </c>
    </row>
    <row r="237" spans="1:13" x14ac:dyDescent="0.35">
      <c r="A237" s="352">
        <v>236</v>
      </c>
      <c r="B237" s="695" t="s">
        <v>405</v>
      </c>
      <c r="C237" s="624"/>
      <c r="D237" s="624"/>
      <c r="E237" s="624"/>
      <c r="F237" s="624"/>
      <c r="G237" s="624"/>
      <c r="H237" s="624"/>
      <c r="I237" s="624"/>
      <c r="J237" s="624"/>
      <c r="K237" s="624"/>
      <c r="L237" s="624"/>
      <c r="M237" s="352" t="s">
        <v>1343</v>
      </c>
    </row>
    <row r="238" spans="1:13" x14ac:dyDescent="0.35">
      <c r="A238" s="352">
        <v>237</v>
      </c>
      <c r="B238" s="696" t="s">
        <v>406</v>
      </c>
      <c r="C238" s="382">
        <v>240</v>
      </c>
      <c r="D238" s="382">
        <v>188</v>
      </c>
      <c r="E238" s="382">
        <v>21</v>
      </c>
      <c r="F238" s="382">
        <v>360</v>
      </c>
      <c r="G238" s="669"/>
      <c r="H238" s="669"/>
      <c r="I238" s="669"/>
      <c r="J238" s="669"/>
      <c r="K238" s="382">
        <v>113</v>
      </c>
      <c r="L238" s="382">
        <v>127</v>
      </c>
      <c r="M238" s="352" t="s">
        <v>21</v>
      </c>
    </row>
    <row r="239" spans="1:13" x14ac:dyDescent="0.35">
      <c r="A239" s="352">
        <v>238</v>
      </c>
      <c r="B239" s="696" t="s">
        <v>413</v>
      </c>
      <c r="C239" s="669">
        <v>22397</v>
      </c>
      <c r="D239" s="382">
        <v>628</v>
      </c>
      <c r="E239" s="669">
        <v>5944</v>
      </c>
      <c r="F239" s="669">
        <v>34454</v>
      </c>
      <c r="G239" s="669"/>
      <c r="H239" s="669"/>
      <c r="I239" s="669"/>
      <c r="J239" s="669">
        <v>6640</v>
      </c>
      <c r="K239" s="669">
        <v>9465</v>
      </c>
      <c r="L239" s="669">
        <v>6292</v>
      </c>
      <c r="M239" s="352" t="s">
        <v>21</v>
      </c>
    </row>
    <row r="240" spans="1:13" x14ac:dyDescent="0.35">
      <c r="A240" s="352">
        <v>239</v>
      </c>
      <c r="B240" s="696" t="s">
        <v>414</v>
      </c>
      <c r="C240" s="669">
        <v>7756</v>
      </c>
      <c r="D240" s="382">
        <v>920</v>
      </c>
      <c r="E240" s="669">
        <v>2821</v>
      </c>
      <c r="F240" s="669">
        <v>11402</v>
      </c>
      <c r="G240" s="669"/>
      <c r="H240" s="669"/>
      <c r="I240" s="669"/>
      <c r="J240" s="669">
        <v>3251</v>
      </c>
      <c r="K240" s="669">
        <v>3066</v>
      </c>
      <c r="L240" s="669">
        <v>1493</v>
      </c>
      <c r="M240" s="352" t="s">
        <v>21</v>
      </c>
    </row>
    <row r="241" spans="1:13" x14ac:dyDescent="0.35">
      <c r="A241" s="352">
        <v>240</v>
      </c>
      <c r="B241" s="696" t="s">
        <v>412</v>
      </c>
      <c r="C241" s="669">
        <f>5222+60</f>
        <v>5282</v>
      </c>
      <c r="D241" s="382">
        <f>791+316</f>
        <v>1107</v>
      </c>
      <c r="E241" s="669">
        <f>1561+19</f>
        <v>1580</v>
      </c>
      <c r="F241" s="669">
        <f>7822+48</f>
        <v>7870</v>
      </c>
      <c r="G241" s="669"/>
      <c r="H241" s="669"/>
      <c r="I241" s="669"/>
      <c r="J241" s="669">
        <f>2309+60</f>
        <v>2369</v>
      </c>
      <c r="K241" s="669">
        <v>1972</v>
      </c>
      <c r="L241" s="382">
        <v>941</v>
      </c>
      <c r="M241" s="352" t="s">
        <v>21</v>
      </c>
    </row>
    <row r="242" spans="1:13" x14ac:dyDescent="0.35">
      <c r="A242" s="352">
        <v>241</v>
      </c>
      <c r="B242" s="696" t="s">
        <v>422</v>
      </c>
      <c r="C242" s="669">
        <v>3192</v>
      </c>
      <c r="D242" s="382">
        <v>781</v>
      </c>
      <c r="E242" s="669">
        <v>666</v>
      </c>
      <c r="F242" s="669">
        <v>4343</v>
      </c>
      <c r="G242" s="669"/>
      <c r="H242" s="669"/>
      <c r="I242" s="669"/>
      <c r="J242" s="669">
        <v>1686</v>
      </c>
      <c r="K242" s="669">
        <v>853</v>
      </c>
      <c r="L242" s="382">
        <v>653</v>
      </c>
      <c r="M242" s="352" t="s">
        <v>21</v>
      </c>
    </row>
    <row r="243" spans="1:13" x14ac:dyDescent="0.35">
      <c r="A243" s="352">
        <v>242</v>
      </c>
      <c r="B243" s="696" t="s">
        <v>419</v>
      </c>
      <c r="C243" s="669">
        <v>2498</v>
      </c>
      <c r="D243" s="382">
        <v>340</v>
      </c>
      <c r="E243" s="669">
        <v>357</v>
      </c>
      <c r="F243" s="669">
        <v>3864</v>
      </c>
      <c r="G243" s="669"/>
      <c r="H243" s="669"/>
      <c r="I243" s="669"/>
      <c r="J243" s="669">
        <v>407</v>
      </c>
      <c r="K243" s="669">
        <v>1052</v>
      </c>
      <c r="L243" s="669">
        <v>1039</v>
      </c>
      <c r="M243" s="352" t="s">
        <v>21</v>
      </c>
    </row>
    <row r="244" spans="1:13" x14ac:dyDescent="0.35">
      <c r="A244" s="352">
        <v>243</v>
      </c>
      <c r="B244" s="696" t="s">
        <v>417</v>
      </c>
      <c r="C244" s="669">
        <v>2185</v>
      </c>
      <c r="D244" s="382">
        <v>315</v>
      </c>
      <c r="E244" s="669">
        <v>157</v>
      </c>
      <c r="F244" s="669">
        <v>3384</v>
      </c>
      <c r="G244" s="669"/>
      <c r="H244" s="669"/>
      <c r="I244" s="669"/>
      <c r="J244" s="669">
        <v>1114</v>
      </c>
      <c r="K244" s="669">
        <v>499</v>
      </c>
      <c r="L244" s="382">
        <v>572</v>
      </c>
      <c r="M244" s="352" t="s">
        <v>21</v>
      </c>
    </row>
    <row r="245" spans="1:13" x14ac:dyDescent="0.35">
      <c r="A245" s="352">
        <v>244</v>
      </c>
      <c r="B245" s="696" t="s">
        <v>418</v>
      </c>
      <c r="C245" s="669">
        <v>2077</v>
      </c>
      <c r="D245" s="382">
        <v>446</v>
      </c>
      <c r="E245" s="669">
        <v>295</v>
      </c>
      <c r="F245" s="669">
        <v>4852</v>
      </c>
      <c r="G245" s="669"/>
      <c r="H245" s="669"/>
      <c r="I245" s="669"/>
      <c r="J245" s="669">
        <v>1075</v>
      </c>
      <c r="K245" s="669">
        <v>660</v>
      </c>
      <c r="L245" s="382">
        <v>342</v>
      </c>
      <c r="M245" s="352" t="s">
        <v>21</v>
      </c>
    </row>
    <row r="246" spans="1:13" x14ac:dyDescent="0.35">
      <c r="A246" s="352">
        <v>245</v>
      </c>
      <c r="B246" s="696" t="s">
        <v>416</v>
      </c>
      <c r="C246" s="669">
        <v>1948</v>
      </c>
      <c r="D246" s="382">
        <v>529</v>
      </c>
      <c r="E246" s="669">
        <v>368</v>
      </c>
      <c r="F246" s="669">
        <v>2992</v>
      </c>
      <c r="G246" s="669"/>
      <c r="H246" s="669"/>
      <c r="I246" s="669"/>
      <c r="J246" s="669">
        <v>802</v>
      </c>
      <c r="K246" s="669">
        <v>695</v>
      </c>
      <c r="L246" s="382">
        <v>451</v>
      </c>
      <c r="M246" s="352" t="s">
        <v>21</v>
      </c>
    </row>
    <row r="247" spans="1:13" x14ac:dyDescent="0.35">
      <c r="A247" s="352">
        <v>246</v>
      </c>
      <c r="B247" s="696" t="s">
        <v>410</v>
      </c>
      <c r="C247" s="669">
        <v>1384</v>
      </c>
      <c r="D247" s="382">
        <v>370</v>
      </c>
      <c r="E247" s="382">
        <v>37</v>
      </c>
      <c r="F247" s="669">
        <v>2795</v>
      </c>
      <c r="G247" s="669"/>
      <c r="H247" s="669"/>
      <c r="I247" s="669"/>
      <c r="J247" s="669">
        <v>1204</v>
      </c>
      <c r="K247" s="382">
        <v>100</v>
      </c>
      <c r="L247" s="382">
        <v>80</v>
      </c>
      <c r="M247" s="352" t="s">
        <v>21</v>
      </c>
    </row>
    <row r="248" spans="1:13" x14ac:dyDescent="0.35">
      <c r="A248" s="352">
        <v>247</v>
      </c>
      <c r="B248" s="696" t="s">
        <v>415</v>
      </c>
      <c r="C248" s="669">
        <v>946</v>
      </c>
      <c r="D248" s="382">
        <v>443</v>
      </c>
      <c r="E248" s="669">
        <v>145</v>
      </c>
      <c r="F248" s="669">
        <v>1455</v>
      </c>
      <c r="G248" s="669"/>
      <c r="H248" s="669"/>
      <c r="I248" s="669"/>
      <c r="J248" s="669">
        <v>451</v>
      </c>
      <c r="K248" s="669">
        <v>327</v>
      </c>
      <c r="L248" s="382">
        <v>168</v>
      </c>
      <c r="M248" s="352" t="s">
        <v>21</v>
      </c>
    </row>
    <row r="249" spans="1:13" x14ac:dyDescent="0.35">
      <c r="A249" s="352">
        <v>248</v>
      </c>
      <c r="B249" s="696" t="s">
        <v>411</v>
      </c>
      <c r="C249" s="382">
        <v>869</v>
      </c>
      <c r="D249" s="382">
        <v>313</v>
      </c>
      <c r="E249" s="382">
        <v>111</v>
      </c>
      <c r="F249" s="669">
        <v>1337</v>
      </c>
      <c r="G249" s="669"/>
      <c r="H249" s="669"/>
      <c r="I249" s="669"/>
      <c r="J249" s="669">
        <v>315</v>
      </c>
      <c r="K249" s="382">
        <v>356</v>
      </c>
      <c r="L249" s="382">
        <v>198</v>
      </c>
      <c r="M249" s="352" t="s">
        <v>21</v>
      </c>
    </row>
    <row r="250" spans="1:13" x14ac:dyDescent="0.35">
      <c r="A250" s="352">
        <v>249</v>
      </c>
      <c r="B250" s="696" t="s">
        <v>421</v>
      </c>
      <c r="C250" s="669">
        <f>607+217</f>
        <v>824</v>
      </c>
      <c r="D250" s="382">
        <f>523+835</f>
        <v>1358</v>
      </c>
      <c r="E250" s="669">
        <f>23+181</f>
        <v>204</v>
      </c>
      <c r="F250" s="669">
        <f>605+174</f>
        <v>779</v>
      </c>
      <c r="G250" s="669"/>
      <c r="H250" s="669"/>
      <c r="I250" s="669"/>
      <c r="J250" s="669">
        <v>381</v>
      </c>
      <c r="K250" s="669">
        <f>45+217</f>
        <v>262</v>
      </c>
      <c r="L250" s="382">
        <v>181</v>
      </c>
      <c r="M250" s="352" t="s">
        <v>21</v>
      </c>
    </row>
    <row r="251" spans="1:13" x14ac:dyDescent="0.35">
      <c r="A251" s="352">
        <v>250</v>
      </c>
      <c r="B251" s="696" t="s">
        <v>420</v>
      </c>
      <c r="C251" s="669">
        <v>658</v>
      </c>
      <c r="D251" s="382">
        <v>388</v>
      </c>
      <c r="E251" s="669">
        <v>18</v>
      </c>
      <c r="F251" s="669" t="s">
        <v>620</v>
      </c>
      <c r="G251" s="669"/>
      <c r="H251" s="669"/>
      <c r="I251" s="669"/>
      <c r="J251" s="669">
        <v>571</v>
      </c>
      <c r="K251" s="669">
        <v>46</v>
      </c>
      <c r="L251" s="382">
        <v>41</v>
      </c>
      <c r="M251" s="352" t="s">
        <v>21</v>
      </c>
    </row>
    <row r="252" spans="1:13" x14ac:dyDescent="0.35">
      <c r="A252" s="352">
        <v>251</v>
      </c>
      <c r="B252" s="696" t="s">
        <v>407</v>
      </c>
      <c r="C252" s="382">
        <v>464</v>
      </c>
      <c r="D252" s="382">
        <v>382</v>
      </c>
      <c r="E252" s="382">
        <v>27</v>
      </c>
      <c r="F252" s="382">
        <v>738</v>
      </c>
      <c r="G252" s="669"/>
      <c r="H252" s="669"/>
      <c r="I252" s="669"/>
      <c r="J252" s="669">
        <v>49</v>
      </c>
      <c r="K252" s="382">
        <v>70</v>
      </c>
      <c r="L252" s="382">
        <v>45</v>
      </c>
      <c r="M252" s="352" t="s">
        <v>21</v>
      </c>
    </row>
    <row r="253" spans="1:13" x14ac:dyDescent="0.35">
      <c r="A253" s="352">
        <v>252</v>
      </c>
      <c r="B253" s="696" t="s">
        <v>408</v>
      </c>
      <c r="C253" s="382">
        <v>276</v>
      </c>
      <c r="D253" s="382">
        <v>336</v>
      </c>
      <c r="E253" s="382">
        <v>33</v>
      </c>
      <c r="F253" s="382">
        <v>247</v>
      </c>
      <c r="G253" s="669"/>
      <c r="H253" s="669"/>
      <c r="I253" s="669"/>
      <c r="J253" s="669">
        <v>77</v>
      </c>
      <c r="K253" s="382">
        <v>98</v>
      </c>
      <c r="L253" s="382">
        <v>92</v>
      </c>
      <c r="M253" s="352" t="s">
        <v>21</v>
      </c>
    </row>
    <row r="254" spans="1:13" x14ac:dyDescent="0.35">
      <c r="A254" s="352">
        <v>253</v>
      </c>
      <c r="B254" s="696" t="s">
        <v>423</v>
      </c>
      <c r="C254" s="669">
        <v>272</v>
      </c>
      <c r="D254" s="382">
        <v>434</v>
      </c>
      <c r="E254" s="669">
        <v>23</v>
      </c>
      <c r="F254" s="669">
        <v>367</v>
      </c>
      <c r="G254" s="669"/>
      <c r="H254" s="669"/>
      <c r="I254" s="669"/>
      <c r="J254" s="669">
        <v>96</v>
      </c>
      <c r="K254" s="669">
        <v>52</v>
      </c>
      <c r="L254" s="382">
        <v>124</v>
      </c>
      <c r="M254" s="352" t="s">
        <v>21</v>
      </c>
    </row>
    <row r="255" spans="1:13" x14ac:dyDescent="0.35">
      <c r="A255" s="352">
        <v>254</v>
      </c>
      <c r="B255" s="696" t="s">
        <v>424</v>
      </c>
      <c r="C255" s="669">
        <f>120+34</f>
        <v>154</v>
      </c>
      <c r="D255" s="382">
        <v>320</v>
      </c>
      <c r="E255" s="669">
        <v>38</v>
      </c>
      <c r="F255" s="669">
        <f>882+27</f>
        <v>909</v>
      </c>
      <c r="G255" s="669"/>
      <c r="H255" s="669"/>
      <c r="I255" s="669"/>
      <c r="J255" s="669">
        <f>308+34</f>
        <v>342</v>
      </c>
      <c r="K255" s="669">
        <v>120</v>
      </c>
      <c r="L255" s="382">
        <v>120</v>
      </c>
      <c r="M255" s="352" t="s">
        <v>21</v>
      </c>
    </row>
    <row r="256" spans="1:13" x14ac:dyDescent="0.35">
      <c r="A256" s="352">
        <v>255</v>
      </c>
      <c r="B256" s="696" t="s">
        <v>409</v>
      </c>
      <c r="C256" s="669">
        <v>62</v>
      </c>
      <c r="D256" s="669">
        <v>318</v>
      </c>
      <c r="E256" s="669">
        <v>17</v>
      </c>
      <c r="F256" s="669">
        <v>50</v>
      </c>
      <c r="G256" s="669"/>
      <c r="H256" s="669"/>
      <c r="I256" s="669"/>
      <c r="J256" s="669">
        <v>9</v>
      </c>
      <c r="K256" s="669">
        <v>53</v>
      </c>
      <c r="L256" s="669"/>
      <c r="M256" s="352" t="s">
        <v>21</v>
      </c>
    </row>
    <row r="257" spans="1:13" x14ac:dyDescent="0.35">
      <c r="A257" s="352">
        <v>256</v>
      </c>
      <c r="B257" s="696" t="s">
        <v>425</v>
      </c>
      <c r="C257" s="669"/>
      <c r="D257" s="669"/>
      <c r="E257" s="669"/>
      <c r="F257" s="669"/>
      <c r="G257" s="669"/>
      <c r="H257" s="669"/>
      <c r="I257" s="669"/>
      <c r="J257" s="669"/>
      <c r="K257" s="669"/>
      <c r="L257" s="669"/>
      <c r="M257" s="352" t="s">
        <v>21</v>
      </c>
    </row>
    <row r="258" spans="1:13" x14ac:dyDescent="0.35">
      <c r="A258" s="352">
        <v>257</v>
      </c>
      <c r="B258" s="697" t="s">
        <v>426</v>
      </c>
      <c r="C258" s="675"/>
      <c r="D258" s="675"/>
      <c r="E258" s="675"/>
      <c r="F258" s="675"/>
      <c r="G258" s="675"/>
      <c r="H258" s="675"/>
      <c r="I258" s="675"/>
      <c r="J258" s="675"/>
      <c r="K258" s="675"/>
      <c r="L258" s="675"/>
      <c r="M258" s="352" t="s">
        <v>22</v>
      </c>
    </row>
    <row r="259" spans="1:13" x14ac:dyDescent="0.35">
      <c r="A259" s="352">
        <v>258</v>
      </c>
      <c r="B259" s="697" t="s">
        <v>431</v>
      </c>
      <c r="C259" s="675">
        <v>4947</v>
      </c>
      <c r="D259" s="675">
        <v>467</v>
      </c>
      <c r="E259" s="675">
        <v>835</v>
      </c>
      <c r="F259" s="675">
        <v>3847</v>
      </c>
      <c r="G259" s="675"/>
      <c r="H259" s="675"/>
      <c r="I259" s="675"/>
      <c r="J259" s="675">
        <v>2108</v>
      </c>
      <c r="K259" s="675">
        <v>1790</v>
      </c>
      <c r="L259" s="675">
        <v>1049</v>
      </c>
      <c r="M259" s="352" t="s">
        <v>22</v>
      </c>
    </row>
    <row r="260" spans="1:13" x14ac:dyDescent="0.35">
      <c r="A260" s="352">
        <v>259</v>
      </c>
      <c r="B260" s="697" t="s">
        <v>429</v>
      </c>
      <c r="C260" s="675">
        <v>2050</v>
      </c>
      <c r="D260" s="675">
        <v>709</v>
      </c>
      <c r="E260" s="675">
        <v>377</v>
      </c>
      <c r="F260" s="675">
        <v>2852</v>
      </c>
      <c r="G260" s="675"/>
      <c r="H260" s="675"/>
      <c r="I260" s="675"/>
      <c r="J260" s="675">
        <v>864</v>
      </c>
      <c r="K260" s="675">
        <v>532</v>
      </c>
      <c r="L260" s="675">
        <v>654</v>
      </c>
      <c r="M260" s="352" t="s">
        <v>22</v>
      </c>
    </row>
    <row r="261" spans="1:13" x14ac:dyDescent="0.35">
      <c r="A261" s="352">
        <v>260</v>
      </c>
      <c r="B261" s="697" t="s">
        <v>427</v>
      </c>
      <c r="C261" s="675">
        <v>1263</v>
      </c>
      <c r="D261" s="675">
        <v>491</v>
      </c>
      <c r="E261" s="675">
        <v>207</v>
      </c>
      <c r="F261" s="675">
        <v>621</v>
      </c>
      <c r="G261" s="675"/>
      <c r="H261" s="675"/>
      <c r="I261" s="675"/>
      <c r="J261" s="675">
        <v>623</v>
      </c>
      <c r="K261" s="675">
        <v>442</v>
      </c>
      <c r="L261" s="675">
        <v>218</v>
      </c>
      <c r="M261" s="352" t="s">
        <v>22</v>
      </c>
    </row>
    <row r="262" spans="1:13" x14ac:dyDescent="0.35">
      <c r="A262" s="352">
        <v>261</v>
      </c>
      <c r="B262" s="697" t="s">
        <v>430</v>
      </c>
      <c r="C262" s="675">
        <v>802</v>
      </c>
      <c r="D262" s="675">
        <v>707</v>
      </c>
      <c r="E262" s="675">
        <v>93</v>
      </c>
      <c r="F262" s="675">
        <v>944</v>
      </c>
      <c r="G262" s="675"/>
      <c r="H262" s="675"/>
      <c r="I262" s="675"/>
      <c r="J262" s="675">
        <v>607</v>
      </c>
      <c r="K262" s="675">
        <v>131</v>
      </c>
      <c r="L262" s="675">
        <v>64</v>
      </c>
      <c r="M262" s="352" t="s">
        <v>22</v>
      </c>
    </row>
    <row r="263" spans="1:13" x14ac:dyDescent="0.35">
      <c r="A263" s="352">
        <v>262</v>
      </c>
      <c r="B263" s="697" t="s">
        <v>439</v>
      </c>
      <c r="C263" s="675">
        <v>792</v>
      </c>
      <c r="D263" s="675">
        <v>749</v>
      </c>
      <c r="E263" s="675">
        <v>131</v>
      </c>
      <c r="F263" s="675">
        <v>1298</v>
      </c>
      <c r="G263" s="675"/>
      <c r="H263" s="675"/>
      <c r="I263" s="675"/>
      <c r="J263" s="675">
        <v>109</v>
      </c>
      <c r="K263" s="675">
        <v>175</v>
      </c>
      <c r="L263" s="675">
        <v>508</v>
      </c>
      <c r="M263" s="352" t="s">
        <v>22</v>
      </c>
    </row>
    <row r="264" spans="1:13" x14ac:dyDescent="0.35">
      <c r="A264" s="352">
        <v>263</v>
      </c>
      <c r="B264" s="697" t="s">
        <v>428</v>
      </c>
      <c r="C264" s="675">
        <v>421</v>
      </c>
      <c r="D264" s="675">
        <v>593</v>
      </c>
      <c r="E264" s="675">
        <v>96</v>
      </c>
      <c r="F264" s="675">
        <v>1359</v>
      </c>
      <c r="G264" s="675"/>
      <c r="H264" s="675"/>
      <c r="I264" s="675"/>
      <c r="J264" s="675">
        <v>160</v>
      </c>
      <c r="K264" s="675">
        <v>162</v>
      </c>
      <c r="L264" s="675">
        <v>99</v>
      </c>
      <c r="M264" s="352" t="s">
        <v>22</v>
      </c>
    </row>
    <row r="265" spans="1:13" x14ac:dyDescent="0.35">
      <c r="A265" s="352">
        <v>264</v>
      </c>
      <c r="B265" s="697" t="s">
        <v>438</v>
      </c>
      <c r="C265" s="675">
        <v>403</v>
      </c>
      <c r="D265" s="675">
        <v>274</v>
      </c>
      <c r="E265" s="675">
        <v>18</v>
      </c>
      <c r="F265" s="675">
        <v>227</v>
      </c>
      <c r="G265" s="675"/>
      <c r="H265" s="675"/>
      <c r="I265" s="675"/>
      <c r="J265" s="675">
        <v>251</v>
      </c>
      <c r="K265" s="675">
        <v>65</v>
      </c>
      <c r="L265" s="675">
        <v>87</v>
      </c>
      <c r="M265" s="352" t="s">
        <v>22</v>
      </c>
    </row>
    <row r="266" spans="1:13" x14ac:dyDescent="0.35">
      <c r="A266" s="352">
        <v>265</v>
      </c>
      <c r="B266" s="697" t="s">
        <v>432</v>
      </c>
      <c r="C266" s="675">
        <v>348</v>
      </c>
      <c r="D266" s="675">
        <v>217</v>
      </c>
      <c r="E266" s="675">
        <v>26</v>
      </c>
      <c r="F266" s="675">
        <v>461</v>
      </c>
      <c r="G266" s="675"/>
      <c r="H266" s="675"/>
      <c r="I266" s="675"/>
      <c r="J266" s="675">
        <v>154</v>
      </c>
      <c r="K266" s="675">
        <v>120</v>
      </c>
      <c r="L266" s="675">
        <v>74</v>
      </c>
      <c r="M266" s="352" t="s">
        <v>22</v>
      </c>
    </row>
    <row r="267" spans="1:13" x14ac:dyDescent="0.35">
      <c r="A267" s="352">
        <v>266</v>
      </c>
      <c r="B267" s="697" t="s">
        <v>435</v>
      </c>
      <c r="C267" s="675">
        <v>245</v>
      </c>
      <c r="D267" s="675">
        <v>514</v>
      </c>
      <c r="E267" s="675">
        <v>37</v>
      </c>
      <c r="F267" s="675">
        <v>395</v>
      </c>
      <c r="G267" s="675"/>
      <c r="H267" s="675"/>
      <c r="I267" s="675"/>
      <c r="J267" s="675">
        <v>57</v>
      </c>
      <c r="K267" s="675">
        <v>72</v>
      </c>
      <c r="L267" s="675">
        <v>116</v>
      </c>
      <c r="M267" s="352" t="s">
        <v>22</v>
      </c>
    </row>
    <row r="268" spans="1:13" x14ac:dyDescent="0.35">
      <c r="A268" s="352">
        <v>267</v>
      </c>
      <c r="B268" s="697" t="s">
        <v>436</v>
      </c>
      <c r="C268" s="675">
        <v>139</v>
      </c>
      <c r="D268" s="675">
        <v>217</v>
      </c>
      <c r="E268" s="675">
        <v>17</v>
      </c>
      <c r="F268" s="675">
        <v>126</v>
      </c>
      <c r="G268" s="675"/>
      <c r="H268" s="675"/>
      <c r="I268" s="675"/>
      <c r="J268" s="675">
        <v>16</v>
      </c>
      <c r="K268" s="675">
        <v>79</v>
      </c>
      <c r="L268" s="675">
        <v>44</v>
      </c>
      <c r="M268" s="352" t="s">
        <v>22</v>
      </c>
    </row>
    <row r="269" spans="1:13" x14ac:dyDescent="0.35">
      <c r="A269" s="352">
        <v>268</v>
      </c>
      <c r="B269" s="697" t="s">
        <v>433</v>
      </c>
      <c r="C269" s="675">
        <v>125</v>
      </c>
      <c r="D269" s="675">
        <v>360</v>
      </c>
      <c r="E269" s="675">
        <v>6</v>
      </c>
      <c r="F269" s="675">
        <v>299</v>
      </c>
      <c r="G269" s="675"/>
      <c r="H269" s="675"/>
      <c r="I269" s="675"/>
      <c r="J269" s="675">
        <v>46</v>
      </c>
      <c r="K269" s="675">
        <v>17</v>
      </c>
      <c r="L269" s="675">
        <v>62</v>
      </c>
      <c r="M269" s="352" t="s">
        <v>22</v>
      </c>
    </row>
    <row r="270" spans="1:13" x14ac:dyDescent="0.35">
      <c r="A270" s="352">
        <v>269</v>
      </c>
      <c r="B270" s="697" t="s">
        <v>434</v>
      </c>
      <c r="C270" s="675"/>
      <c r="D270" s="675"/>
      <c r="E270" s="675"/>
      <c r="F270" s="675"/>
      <c r="G270" s="675"/>
      <c r="H270" s="675"/>
      <c r="I270" s="675"/>
      <c r="J270" s="675"/>
      <c r="K270" s="675"/>
      <c r="L270" s="675"/>
      <c r="M270" s="352" t="s">
        <v>22</v>
      </c>
    </row>
    <row r="271" spans="1:13" x14ac:dyDescent="0.35">
      <c r="A271" s="352">
        <v>270</v>
      </c>
      <c r="B271" s="697" t="s">
        <v>437</v>
      </c>
      <c r="C271" s="675"/>
      <c r="D271" s="675"/>
      <c r="E271" s="675"/>
      <c r="F271" s="675"/>
      <c r="G271" s="675"/>
      <c r="H271" s="675"/>
      <c r="I271" s="675"/>
      <c r="J271" s="675"/>
      <c r="K271" s="675"/>
      <c r="L271" s="675"/>
      <c r="M271" s="352" t="s">
        <v>22</v>
      </c>
    </row>
    <row r="272" spans="1:13" x14ac:dyDescent="0.35">
      <c r="A272" s="352">
        <v>271</v>
      </c>
      <c r="B272" s="611" t="s">
        <v>440</v>
      </c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352" t="s">
        <v>23</v>
      </c>
    </row>
    <row r="273" spans="1:13" x14ac:dyDescent="0.35">
      <c r="A273" s="352">
        <v>272</v>
      </c>
      <c r="B273" s="611" t="s">
        <v>441</v>
      </c>
      <c r="C273" s="676">
        <v>1030</v>
      </c>
      <c r="D273" s="676">
        <v>502</v>
      </c>
      <c r="E273" s="676">
        <v>315</v>
      </c>
      <c r="F273" s="676">
        <v>616</v>
      </c>
      <c r="G273" s="676"/>
      <c r="H273" s="676"/>
      <c r="I273" s="676"/>
      <c r="J273" s="676">
        <v>109</v>
      </c>
      <c r="K273" s="676">
        <v>628</v>
      </c>
      <c r="L273" s="676">
        <v>293</v>
      </c>
      <c r="M273" s="352" t="s">
        <v>23</v>
      </c>
    </row>
    <row r="274" spans="1:13" x14ac:dyDescent="0.35">
      <c r="A274" s="352">
        <v>273</v>
      </c>
      <c r="B274" s="611" t="s">
        <v>442</v>
      </c>
      <c r="C274" s="676">
        <v>195</v>
      </c>
      <c r="D274" s="676">
        <v>825</v>
      </c>
      <c r="E274" s="676">
        <v>55</v>
      </c>
      <c r="F274" s="676">
        <v>357</v>
      </c>
      <c r="G274" s="676"/>
      <c r="H274" s="676"/>
      <c r="I274" s="676"/>
      <c r="J274" s="676">
        <v>95</v>
      </c>
      <c r="K274" s="676">
        <v>67</v>
      </c>
      <c r="L274" s="676">
        <v>33</v>
      </c>
      <c r="M274" s="352" t="s">
        <v>23</v>
      </c>
    </row>
    <row r="275" spans="1:13" x14ac:dyDescent="0.35">
      <c r="A275" s="352">
        <v>274</v>
      </c>
      <c r="B275" s="611" t="s">
        <v>443</v>
      </c>
      <c r="C275" s="676">
        <v>83</v>
      </c>
      <c r="D275" s="676">
        <v>348</v>
      </c>
      <c r="E275" s="676">
        <v>11</v>
      </c>
      <c r="F275" s="676">
        <v>143</v>
      </c>
      <c r="G275" s="676"/>
      <c r="H275" s="676"/>
      <c r="I275" s="676"/>
      <c r="J275" s="676">
        <v>2</v>
      </c>
      <c r="K275" s="676">
        <v>33</v>
      </c>
      <c r="L275" s="676">
        <v>48</v>
      </c>
      <c r="M275" s="352" t="s">
        <v>23</v>
      </c>
    </row>
    <row r="276" spans="1:13" x14ac:dyDescent="0.35">
      <c r="A276" s="352">
        <v>275</v>
      </c>
      <c r="B276" s="611" t="s">
        <v>447</v>
      </c>
      <c r="C276" s="676">
        <v>9</v>
      </c>
      <c r="D276" s="676"/>
      <c r="E276" s="676"/>
      <c r="F276" s="676">
        <v>18</v>
      </c>
      <c r="G276" s="676"/>
      <c r="H276" s="676"/>
      <c r="I276" s="676"/>
      <c r="J276" s="676">
        <v>9</v>
      </c>
      <c r="K276" s="676"/>
      <c r="L276" s="676"/>
      <c r="M276" s="352" t="s">
        <v>23</v>
      </c>
    </row>
    <row r="277" spans="1:13" x14ac:dyDescent="0.35">
      <c r="A277" s="352">
        <v>276</v>
      </c>
      <c r="B277" s="611" t="s">
        <v>446</v>
      </c>
      <c r="C277" s="676">
        <v>2</v>
      </c>
      <c r="D277" s="676"/>
      <c r="E277" s="676"/>
      <c r="F277" s="676">
        <v>4</v>
      </c>
      <c r="G277" s="676"/>
      <c r="H277" s="676"/>
      <c r="I277" s="676"/>
      <c r="J277" s="676">
        <v>2</v>
      </c>
      <c r="K277" s="676"/>
      <c r="L277" s="676"/>
      <c r="M277" s="352" t="s">
        <v>23</v>
      </c>
    </row>
    <row r="278" spans="1:13" x14ac:dyDescent="0.35">
      <c r="A278" s="352">
        <v>277</v>
      </c>
      <c r="B278" s="611" t="s">
        <v>444</v>
      </c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352" t="s">
        <v>23</v>
      </c>
    </row>
    <row r="279" spans="1:13" x14ac:dyDescent="0.35">
      <c r="A279" s="352">
        <v>278</v>
      </c>
      <c r="B279" s="611" t="s">
        <v>445</v>
      </c>
      <c r="C279" s="676"/>
      <c r="D279" s="676"/>
      <c r="E279" s="676"/>
      <c r="F279" s="676"/>
      <c r="G279" s="676"/>
      <c r="H279" s="676"/>
      <c r="I279" s="676"/>
      <c r="J279" s="676"/>
      <c r="K279" s="676"/>
      <c r="L279" s="676"/>
      <c r="M279" s="352" t="s">
        <v>23</v>
      </c>
    </row>
    <row r="280" spans="1:13" x14ac:dyDescent="0.35">
      <c r="A280" s="352">
        <v>279</v>
      </c>
      <c r="B280" s="611" t="s">
        <v>448</v>
      </c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352" t="s">
        <v>23</v>
      </c>
    </row>
    <row r="281" spans="1:13" x14ac:dyDescent="0.35">
      <c r="A281" s="352">
        <v>280</v>
      </c>
      <c r="B281" s="611" t="s">
        <v>449</v>
      </c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352" t="s">
        <v>23</v>
      </c>
    </row>
    <row r="282" spans="1:13" x14ac:dyDescent="0.35">
      <c r="A282" s="352">
        <v>281</v>
      </c>
      <c r="B282" s="695" t="s">
        <v>450</v>
      </c>
      <c r="C282" s="623">
        <v>136</v>
      </c>
      <c r="D282" s="623">
        <v>3</v>
      </c>
      <c r="E282" s="623">
        <v>222</v>
      </c>
      <c r="F282" s="623">
        <v>259</v>
      </c>
      <c r="G282" s="623"/>
      <c r="H282" s="623"/>
      <c r="I282" s="623"/>
      <c r="J282" s="623">
        <v>118</v>
      </c>
      <c r="K282" s="623">
        <v>12</v>
      </c>
      <c r="L282" s="623">
        <v>6</v>
      </c>
      <c r="M282" s="352" t="s">
        <v>24</v>
      </c>
    </row>
    <row r="283" spans="1:13" x14ac:dyDescent="0.35">
      <c r="A283" s="352">
        <v>282</v>
      </c>
      <c r="B283" s="695" t="s">
        <v>452</v>
      </c>
      <c r="C283" s="623">
        <v>276</v>
      </c>
      <c r="D283" s="623">
        <v>17</v>
      </c>
      <c r="E283" s="623">
        <v>245</v>
      </c>
      <c r="F283" s="623">
        <v>187</v>
      </c>
      <c r="G283" s="623"/>
      <c r="H283" s="623"/>
      <c r="I283" s="623"/>
      <c r="J283" s="623">
        <v>49</v>
      </c>
      <c r="K283" s="623">
        <v>70</v>
      </c>
      <c r="L283" s="623">
        <v>157</v>
      </c>
      <c r="M283" s="352" t="s">
        <v>24</v>
      </c>
    </row>
    <row r="284" spans="1:13" x14ac:dyDescent="0.35">
      <c r="A284" s="352">
        <v>283</v>
      </c>
      <c r="B284" s="695" t="s">
        <v>455</v>
      </c>
      <c r="C284" s="623">
        <v>138</v>
      </c>
      <c r="D284" s="623">
        <v>28</v>
      </c>
      <c r="E284" s="623">
        <v>402</v>
      </c>
      <c r="F284" s="623">
        <v>362</v>
      </c>
      <c r="G284" s="623"/>
      <c r="H284" s="623"/>
      <c r="I284" s="623"/>
      <c r="J284" s="623"/>
      <c r="K284" s="623">
        <v>70</v>
      </c>
      <c r="L284" s="623">
        <v>68</v>
      </c>
      <c r="M284" s="352" t="s">
        <v>24</v>
      </c>
    </row>
    <row r="285" spans="1:13" x14ac:dyDescent="0.35">
      <c r="A285" s="352">
        <v>284</v>
      </c>
      <c r="B285" s="695" t="s">
        <v>456</v>
      </c>
      <c r="C285" s="623">
        <v>37</v>
      </c>
      <c r="D285" s="623">
        <v>10</v>
      </c>
      <c r="E285" s="623">
        <v>609</v>
      </c>
      <c r="F285" s="623">
        <v>46</v>
      </c>
      <c r="G285" s="623"/>
      <c r="H285" s="623"/>
      <c r="I285" s="623"/>
      <c r="J285" s="623">
        <v>8</v>
      </c>
      <c r="K285" s="623">
        <v>16</v>
      </c>
      <c r="L285" s="623">
        <v>37</v>
      </c>
      <c r="M285" s="352" t="s">
        <v>24</v>
      </c>
    </row>
    <row r="286" spans="1:13" x14ac:dyDescent="0.35">
      <c r="A286" s="352">
        <v>285</v>
      </c>
      <c r="B286" s="695" t="s">
        <v>451</v>
      </c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352" t="s">
        <v>24</v>
      </c>
    </row>
    <row r="287" spans="1:13" x14ac:dyDescent="0.35">
      <c r="A287" s="352">
        <v>286</v>
      </c>
      <c r="B287" s="695" t="s">
        <v>453</v>
      </c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352" t="s">
        <v>24</v>
      </c>
    </row>
    <row r="288" spans="1:13" x14ac:dyDescent="0.35">
      <c r="A288" s="352">
        <v>287</v>
      </c>
      <c r="B288" s="695" t="s">
        <v>454</v>
      </c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352" t="s">
        <v>24</v>
      </c>
    </row>
    <row r="289" spans="1:13" x14ac:dyDescent="0.35">
      <c r="A289" s="352">
        <v>288</v>
      </c>
      <c r="B289" s="695" t="s">
        <v>457</v>
      </c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352" t="s">
        <v>24</v>
      </c>
    </row>
    <row r="290" spans="1:13" x14ac:dyDescent="0.35">
      <c r="A290" s="352">
        <v>289</v>
      </c>
      <c r="B290" s="695" t="s">
        <v>458</v>
      </c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352" t="s">
        <v>24</v>
      </c>
    </row>
    <row r="291" spans="1:13" x14ac:dyDescent="0.35">
      <c r="A291" s="352">
        <v>290</v>
      </c>
      <c r="B291" s="698" t="s">
        <v>459</v>
      </c>
      <c r="C291" s="677">
        <v>15</v>
      </c>
      <c r="D291" s="677">
        <v>100</v>
      </c>
      <c r="E291" s="677">
        <v>1</v>
      </c>
      <c r="F291" s="677">
        <v>14</v>
      </c>
      <c r="G291" s="677"/>
      <c r="H291" s="677"/>
      <c r="I291" s="677"/>
      <c r="J291" s="677">
        <v>5</v>
      </c>
      <c r="K291" s="677">
        <v>7</v>
      </c>
      <c r="L291" s="677">
        <v>3</v>
      </c>
      <c r="M291" s="352" t="s">
        <v>25</v>
      </c>
    </row>
    <row r="292" spans="1:13" x14ac:dyDescent="0.35">
      <c r="A292" s="352">
        <v>291</v>
      </c>
      <c r="B292" s="698" t="s">
        <v>463</v>
      </c>
      <c r="C292" s="678">
        <v>4082</v>
      </c>
      <c r="D292" s="677">
        <v>513</v>
      </c>
      <c r="E292" s="677">
        <v>848</v>
      </c>
      <c r="F292" s="678">
        <v>2196</v>
      </c>
      <c r="G292" s="677"/>
      <c r="H292" s="677"/>
      <c r="I292" s="677"/>
      <c r="J292" s="677">
        <v>977</v>
      </c>
      <c r="K292" s="678">
        <v>1654</v>
      </c>
      <c r="L292" s="678">
        <v>1451</v>
      </c>
      <c r="M292" s="352" t="s">
        <v>25</v>
      </c>
    </row>
    <row r="293" spans="1:13" x14ac:dyDescent="0.35">
      <c r="A293" s="352">
        <v>292</v>
      </c>
      <c r="B293" s="698" t="s">
        <v>467</v>
      </c>
      <c r="C293" s="678">
        <v>1603</v>
      </c>
      <c r="D293" s="678">
        <v>1258</v>
      </c>
      <c r="E293" s="678">
        <v>1603</v>
      </c>
      <c r="F293" s="678">
        <v>3573</v>
      </c>
      <c r="G293" s="677"/>
      <c r="H293" s="677"/>
      <c r="I293" s="677"/>
      <c r="J293" s="677">
        <v>217</v>
      </c>
      <c r="K293" s="678">
        <v>1274</v>
      </c>
      <c r="L293" s="677">
        <v>972</v>
      </c>
      <c r="M293" s="352" t="s">
        <v>25</v>
      </c>
    </row>
    <row r="294" spans="1:13" x14ac:dyDescent="0.35">
      <c r="A294" s="352">
        <v>293</v>
      </c>
      <c r="B294" s="698" t="s">
        <v>462</v>
      </c>
      <c r="C294" s="677">
        <v>500</v>
      </c>
      <c r="D294" s="677">
        <v>110</v>
      </c>
      <c r="E294" s="677">
        <v>10</v>
      </c>
      <c r="F294" s="677">
        <v>344</v>
      </c>
      <c r="G294" s="677"/>
      <c r="H294" s="677"/>
      <c r="I294" s="677"/>
      <c r="J294" s="677">
        <v>262</v>
      </c>
      <c r="K294" s="677">
        <v>93</v>
      </c>
      <c r="L294" s="677">
        <v>145</v>
      </c>
      <c r="M294" s="352" t="s">
        <v>25</v>
      </c>
    </row>
    <row r="295" spans="1:13" x14ac:dyDescent="0.35">
      <c r="A295" s="352">
        <v>294</v>
      </c>
      <c r="B295" s="698" t="s">
        <v>465</v>
      </c>
      <c r="C295" s="677">
        <v>198</v>
      </c>
      <c r="D295" s="677">
        <v>361</v>
      </c>
      <c r="E295" s="677">
        <v>45</v>
      </c>
      <c r="F295" s="677">
        <v>443</v>
      </c>
      <c r="G295" s="677"/>
      <c r="H295" s="677"/>
      <c r="I295" s="677"/>
      <c r="J295" s="677">
        <v>8</v>
      </c>
      <c r="K295" s="677">
        <v>124</v>
      </c>
      <c r="L295" s="677">
        <v>66</v>
      </c>
      <c r="M295" s="352" t="s">
        <v>25</v>
      </c>
    </row>
    <row r="296" spans="1:13" x14ac:dyDescent="0.35">
      <c r="A296" s="352">
        <v>295</v>
      </c>
      <c r="B296" s="698" t="s">
        <v>468</v>
      </c>
      <c r="C296" s="677">
        <v>187</v>
      </c>
      <c r="D296" s="677">
        <v>545</v>
      </c>
      <c r="E296" s="677">
        <v>187</v>
      </c>
      <c r="F296" s="677">
        <v>427</v>
      </c>
      <c r="G296" s="677"/>
      <c r="H296" s="677"/>
      <c r="I296" s="677"/>
      <c r="J296" s="677">
        <v>338</v>
      </c>
      <c r="K296" s="677">
        <v>343</v>
      </c>
      <c r="L296" s="677">
        <v>173</v>
      </c>
      <c r="M296" s="352" t="s">
        <v>25</v>
      </c>
    </row>
    <row r="297" spans="1:13" x14ac:dyDescent="0.35">
      <c r="A297" s="352">
        <v>296</v>
      </c>
      <c r="B297" s="698" t="s">
        <v>461</v>
      </c>
      <c r="C297" s="677">
        <v>161</v>
      </c>
      <c r="D297" s="677">
        <v>356</v>
      </c>
      <c r="E297" s="677">
        <v>14</v>
      </c>
      <c r="F297" s="677">
        <v>64</v>
      </c>
      <c r="G297" s="677"/>
      <c r="H297" s="677"/>
      <c r="I297" s="677"/>
      <c r="J297" s="677">
        <v>80</v>
      </c>
      <c r="K297" s="677">
        <v>41</v>
      </c>
      <c r="L297" s="677">
        <v>40</v>
      </c>
      <c r="M297" s="352" t="s">
        <v>25</v>
      </c>
    </row>
    <row r="298" spans="1:13" x14ac:dyDescent="0.35">
      <c r="A298" s="352">
        <v>297</v>
      </c>
      <c r="B298" s="698" t="s">
        <v>466</v>
      </c>
      <c r="C298" s="677">
        <v>13</v>
      </c>
      <c r="D298" s="677">
        <v>385</v>
      </c>
      <c r="E298" s="677">
        <v>3</v>
      </c>
      <c r="F298" s="677">
        <v>15</v>
      </c>
      <c r="G298" s="677"/>
      <c r="H298" s="677"/>
      <c r="I298" s="677"/>
      <c r="J298" s="677"/>
      <c r="K298" s="677">
        <v>9</v>
      </c>
      <c r="L298" s="677">
        <v>4</v>
      </c>
      <c r="M298" s="352" t="s">
        <v>25</v>
      </c>
    </row>
    <row r="299" spans="1:13" x14ac:dyDescent="0.35">
      <c r="A299" s="352">
        <v>298</v>
      </c>
      <c r="B299" s="698" t="s">
        <v>460</v>
      </c>
      <c r="C299" s="677">
        <v>9</v>
      </c>
      <c r="D299" s="677">
        <v>250</v>
      </c>
      <c r="E299" s="677">
        <v>1</v>
      </c>
      <c r="F299" s="677">
        <v>16</v>
      </c>
      <c r="G299" s="677"/>
      <c r="H299" s="677"/>
      <c r="I299" s="677"/>
      <c r="J299" s="677"/>
      <c r="K299" s="677">
        <v>3</v>
      </c>
      <c r="L299" s="677">
        <v>6</v>
      </c>
      <c r="M299" s="352" t="s">
        <v>25</v>
      </c>
    </row>
    <row r="300" spans="1:13" x14ac:dyDescent="0.35">
      <c r="A300" s="352">
        <v>299</v>
      </c>
      <c r="B300" s="698" t="s">
        <v>464</v>
      </c>
      <c r="C300" s="677">
        <v>1</v>
      </c>
      <c r="D300" s="677"/>
      <c r="E300" s="677"/>
      <c r="F300" s="677">
        <v>2</v>
      </c>
      <c r="G300" s="677"/>
      <c r="H300" s="677"/>
      <c r="I300" s="677"/>
      <c r="J300" s="677">
        <v>1</v>
      </c>
      <c r="K300" s="677"/>
      <c r="L300" s="677"/>
      <c r="M300" s="352" t="s">
        <v>25</v>
      </c>
    </row>
    <row r="301" spans="1:13" x14ac:dyDescent="0.35">
      <c r="A301" s="352">
        <v>300</v>
      </c>
      <c r="B301" s="619" t="s">
        <v>469</v>
      </c>
      <c r="C301" s="679">
        <v>468</v>
      </c>
      <c r="D301" s="679">
        <v>817</v>
      </c>
      <c r="E301" s="679">
        <v>110</v>
      </c>
      <c r="F301" s="679">
        <v>455</v>
      </c>
      <c r="G301" s="680"/>
      <c r="H301" s="680"/>
      <c r="I301" s="680"/>
      <c r="J301" s="679">
        <v>168</v>
      </c>
      <c r="K301" s="679">
        <v>135</v>
      </c>
      <c r="L301" s="679">
        <v>135</v>
      </c>
      <c r="M301" s="352" t="s">
        <v>26</v>
      </c>
    </row>
    <row r="302" spans="1:13" x14ac:dyDescent="0.35">
      <c r="A302" s="352">
        <v>301</v>
      </c>
      <c r="B302" s="619" t="s">
        <v>471</v>
      </c>
      <c r="C302" s="679">
        <v>5456</v>
      </c>
      <c r="D302" s="679">
        <v>805</v>
      </c>
      <c r="E302" s="679">
        <v>2601</v>
      </c>
      <c r="F302" s="679">
        <v>2560</v>
      </c>
      <c r="G302" s="680"/>
      <c r="H302" s="680"/>
      <c r="I302" s="680"/>
      <c r="J302" s="679">
        <v>632</v>
      </c>
      <c r="K302" s="679">
        <v>3232</v>
      </c>
      <c r="L302" s="679">
        <v>3232</v>
      </c>
      <c r="M302" s="352" t="s">
        <v>26</v>
      </c>
    </row>
    <row r="303" spans="1:13" x14ac:dyDescent="0.35">
      <c r="A303" s="352">
        <v>302</v>
      </c>
      <c r="B303" s="619" t="s">
        <v>470</v>
      </c>
      <c r="C303" s="679">
        <v>1879</v>
      </c>
      <c r="D303" s="679">
        <v>398</v>
      </c>
      <c r="E303" s="679">
        <v>251</v>
      </c>
      <c r="F303" s="679">
        <v>1814</v>
      </c>
      <c r="G303" s="680"/>
      <c r="H303" s="680"/>
      <c r="I303" s="680"/>
      <c r="J303" s="679">
        <v>784</v>
      </c>
      <c r="K303" s="679">
        <v>630</v>
      </c>
      <c r="L303" s="679">
        <v>630</v>
      </c>
      <c r="M303" s="352" t="s">
        <v>26</v>
      </c>
    </row>
    <row r="304" spans="1:13" x14ac:dyDescent="0.35">
      <c r="A304" s="352">
        <v>303</v>
      </c>
      <c r="B304" s="619" t="s">
        <v>473</v>
      </c>
      <c r="C304" s="679">
        <v>3</v>
      </c>
      <c r="D304" s="679"/>
      <c r="E304" s="679"/>
      <c r="F304" s="679">
        <v>1</v>
      </c>
      <c r="G304" s="680"/>
      <c r="H304" s="680"/>
      <c r="I304" s="680"/>
      <c r="J304" s="679">
        <v>0</v>
      </c>
      <c r="K304" s="679"/>
      <c r="L304" s="679"/>
      <c r="M304" s="352" t="s">
        <v>26</v>
      </c>
    </row>
    <row r="305" spans="1:13" x14ac:dyDescent="0.35">
      <c r="A305" s="352">
        <v>304</v>
      </c>
      <c r="B305" s="619" t="s">
        <v>472</v>
      </c>
      <c r="C305" s="679"/>
      <c r="D305" s="679"/>
      <c r="E305" s="679"/>
      <c r="F305" s="679"/>
      <c r="G305" s="680"/>
      <c r="H305" s="680"/>
      <c r="I305" s="680"/>
      <c r="J305" s="679"/>
      <c r="K305" s="679"/>
      <c r="L305" s="679"/>
      <c r="M305" s="352" t="s">
        <v>26</v>
      </c>
    </row>
    <row r="306" spans="1:13" x14ac:dyDescent="0.35">
      <c r="A306" s="352">
        <v>305</v>
      </c>
      <c r="B306" s="699" t="s">
        <v>474</v>
      </c>
      <c r="C306" s="625">
        <v>47</v>
      </c>
      <c r="D306" s="625">
        <v>978</v>
      </c>
      <c r="E306" s="625">
        <v>21</v>
      </c>
      <c r="F306" s="625">
        <v>103</v>
      </c>
      <c r="G306" s="626"/>
      <c r="H306" s="626"/>
      <c r="I306" s="626"/>
      <c r="J306" s="625">
        <v>1</v>
      </c>
      <c r="K306" s="625">
        <v>21</v>
      </c>
      <c r="L306" s="625">
        <v>25</v>
      </c>
      <c r="M306" s="352" t="s">
        <v>27</v>
      </c>
    </row>
    <row r="307" spans="1:13" x14ac:dyDescent="0.35">
      <c r="A307" s="352">
        <v>306</v>
      </c>
      <c r="B307" s="699" t="s">
        <v>481</v>
      </c>
      <c r="C307" s="627">
        <v>5236</v>
      </c>
      <c r="D307" s="625">
        <v>293</v>
      </c>
      <c r="E307" s="625">
        <v>401</v>
      </c>
      <c r="F307" s="627">
        <v>7588</v>
      </c>
      <c r="G307" s="626"/>
      <c r="H307" s="626"/>
      <c r="I307" s="626"/>
      <c r="J307" s="627">
        <v>2768</v>
      </c>
      <c r="K307" s="627">
        <v>1367</v>
      </c>
      <c r="L307" s="627">
        <v>1101</v>
      </c>
      <c r="M307" s="352" t="s">
        <v>27</v>
      </c>
    </row>
    <row r="308" spans="1:13" x14ac:dyDescent="0.35">
      <c r="A308" s="352">
        <v>307</v>
      </c>
      <c r="B308" s="699" t="s">
        <v>480</v>
      </c>
      <c r="C308" s="627">
        <v>5136</v>
      </c>
      <c r="D308" s="625">
        <v>557</v>
      </c>
      <c r="E308" s="627">
        <v>1352</v>
      </c>
      <c r="F308" s="627">
        <v>6012</v>
      </c>
      <c r="G308" s="626"/>
      <c r="H308" s="626"/>
      <c r="I308" s="626"/>
      <c r="J308" s="627">
        <v>1584</v>
      </c>
      <c r="K308" s="627">
        <v>2426</v>
      </c>
      <c r="L308" s="627">
        <v>1127</v>
      </c>
      <c r="M308" s="352" t="s">
        <v>27</v>
      </c>
    </row>
    <row r="309" spans="1:13" x14ac:dyDescent="0.35">
      <c r="A309" s="352">
        <v>308</v>
      </c>
      <c r="B309" s="699" t="s">
        <v>479</v>
      </c>
      <c r="C309" s="627">
        <v>2075</v>
      </c>
      <c r="D309" s="625">
        <v>774</v>
      </c>
      <c r="E309" s="625">
        <v>325</v>
      </c>
      <c r="F309" s="627">
        <v>1998</v>
      </c>
      <c r="G309" s="626"/>
      <c r="H309" s="626"/>
      <c r="I309" s="626"/>
      <c r="J309" s="625">
        <v>778</v>
      </c>
      <c r="K309" s="625">
        <v>420</v>
      </c>
      <c r="L309" s="625">
        <v>877</v>
      </c>
      <c r="M309" s="352" t="s">
        <v>27</v>
      </c>
    </row>
    <row r="310" spans="1:13" x14ac:dyDescent="0.35">
      <c r="A310" s="352">
        <v>309</v>
      </c>
      <c r="B310" s="699" t="s">
        <v>478</v>
      </c>
      <c r="C310" s="627">
        <v>1857</v>
      </c>
      <c r="D310" s="625">
        <v>506</v>
      </c>
      <c r="E310" s="625">
        <v>403</v>
      </c>
      <c r="F310" s="627">
        <v>1981</v>
      </c>
      <c r="G310" s="626"/>
      <c r="H310" s="626"/>
      <c r="I310" s="626"/>
      <c r="J310" s="625">
        <v>696</v>
      </c>
      <c r="K310" s="625">
        <v>795</v>
      </c>
      <c r="L310" s="625">
        <v>366</v>
      </c>
      <c r="M310" s="352" t="s">
        <v>27</v>
      </c>
    </row>
    <row r="311" spans="1:13" x14ac:dyDescent="0.35">
      <c r="A311" s="352">
        <v>310</v>
      </c>
      <c r="B311" s="699" t="s">
        <v>475</v>
      </c>
      <c r="C311" s="625">
        <f>776+783</f>
        <v>1559</v>
      </c>
      <c r="D311" s="627">
        <f>1021+1798</f>
        <v>2819</v>
      </c>
      <c r="E311" s="625">
        <f>230+1176</f>
        <v>1406</v>
      </c>
      <c r="F311" s="625">
        <f>694+664</f>
        <v>1358</v>
      </c>
      <c r="G311" s="626"/>
      <c r="H311" s="626"/>
      <c r="I311" s="626"/>
      <c r="J311" s="625">
        <v>373</v>
      </c>
      <c r="K311" s="625">
        <f>225+654</f>
        <v>879</v>
      </c>
      <c r="L311" s="625">
        <f>179+129</f>
        <v>308</v>
      </c>
      <c r="M311" s="352" t="s">
        <v>27</v>
      </c>
    </row>
    <row r="312" spans="1:13" x14ac:dyDescent="0.35">
      <c r="A312" s="352">
        <v>311</v>
      </c>
      <c r="B312" s="699" t="s">
        <v>476</v>
      </c>
      <c r="C312" s="625">
        <f>502+292</f>
        <v>794</v>
      </c>
      <c r="D312" s="627">
        <f>1119+513</f>
        <v>1632</v>
      </c>
      <c r="E312" s="625">
        <f>79+150</f>
        <v>229</v>
      </c>
      <c r="F312" s="625">
        <f>125+43</f>
        <v>168</v>
      </c>
      <c r="G312" s="626"/>
      <c r="H312" s="626"/>
      <c r="I312" s="626"/>
      <c r="J312" s="625">
        <v>297</v>
      </c>
      <c r="K312" s="625">
        <f>71+292</f>
        <v>363</v>
      </c>
      <c r="L312" s="625">
        <v>134</v>
      </c>
      <c r="M312" s="352" t="s">
        <v>27</v>
      </c>
    </row>
    <row r="313" spans="1:13" x14ac:dyDescent="0.35">
      <c r="A313" s="352">
        <v>312</v>
      </c>
      <c r="B313" s="699" t="s">
        <v>488</v>
      </c>
      <c r="C313" s="626">
        <v>703</v>
      </c>
      <c r="D313" s="625">
        <v>404</v>
      </c>
      <c r="E313" s="625"/>
      <c r="F313" s="626">
        <v>941</v>
      </c>
      <c r="G313" s="626"/>
      <c r="H313" s="626"/>
      <c r="I313" s="626"/>
      <c r="J313" s="625">
        <v>342</v>
      </c>
      <c r="K313" s="626">
        <v>248</v>
      </c>
      <c r="L313" s="626">
        <v>113</v>
      </c>
      <c r="M313" s="352" t="s">
        <v>27</v>
      </c>
    </row>
    <row r="314" spans="1:13" x14ac:dyDescent="0.35">
      <c r="A314" s="352">
        <v>313</v>
      </c>
      <c r="B314" s="699" t="s">
        <v>477</v>
      </c>
      <c r="C314" s="625">
        <v>420</v>
      </c>
      <c r="D314" s="625">
        <v>319</v>
      </c>
      <c r="E314" s="625">
        <v>16</v>
      </c>
      <c r="F314" s="625">
        <v>453</v>
      </c>
      <c r="G314" s="626"/>
      <c r="H314" s="626"/>
      <c r="I314" s="626"/>
      <c r="J314" s="625">
        <v>233</v>
      </c>
      <c r="K314" s="625">
        <v>49</v>
      </c>
      <c r="L314" s="625">
        <v>138</v>
      </c>
      <c r="M314" s="352" t="s">
        <v>27</v>
      </c>
    </row>
    <row r="315" spans="1:13" x14ac:dyDescent="0.35">
      <c r="A315" s="352">
        <v>314</v>
      </c>
      <c r="B315" s="699" t="s">
        <v>483</v>
      </c>
      <c r="C315" s="625">
        <v>36</v>
      </c>
      <c r="D315" s="625"/>
      <c r="E315" s="625"/>
      <c r="F315" s="625">
        <v>26</v>
      </c>
      <c r="G315" s="626"/>
      <c r="H315" s="626"/>
      <c r="I315" s="626"/>
      <c r="J315" s="625">
        <v>36</v>
      </c>
      <c r="K315" s="625"/>
      <c r="L315" s="625"/>
      <c r="M315" s="352" t="s">
        <v>27</v>
      </c>
    </row>
    <row r="316" spans="1:13" x14ac:dyDescent="0.35">
      <c r="A316" s="352">
        <v>315</v>
      </c>
      <c r="B316" s="699" t="s">
        <v>486</v>
      </c>
      <c r="C316" s="625">
        <v>21</v>
      </c>
      <c r="D316" s="625">
        <v>33</v>
      </c>
      <c r="E316" s="625">
        <v>0</v>
      </c>
      <c r="F316" s="625">
        <v>12</v>
      </c>
      <c r="G316" s="626"/>
      <c r="H316" s="626"/>
      <c r="I316" s="626"/>
      <c r="J316" s="625">
        <v>12</v>
      </c>
      <c r="K316" s="625">
        <v>6</v>
      </c>
      <c r="L316" s="625">
        <v>3</v>
      </c>
      <c r="M316" s="352" t="s">
        <v>27</v>
      </c>
    </row>
    <row r="317" spans="1:13" x14ac:dyDescent="0.35">
      <c r="A317" s="352">
        <v>316</v>
      </c>
      <c r="B317" s="699" t="s">
        <v>487</v>
      </c>
      <c r="C317" s="625"/>
      <c r="D317" s="625"/>
      <c r="E317" s="625">
        <v>100</v>
      </c>
      <c r="F317" s="625"/>
      <c r="G317" s="626"/>
      <c r="H317" s="626"/>
      <c r="I317" s="626"/>
      <c r="J317" s="625"/>
      <c r="K317" s="625"/>
      <c r="L317" s="625"/>
      <c r="M317" s="352" t="s">
        <v>27</v>
      </c>
    </row>
    <row r="318" spans="1:13" x14ac:dyDescent="0.35">
      <c r="A318" s="352">
        <v>317</v>
      </c>
      <c r="B318" s="699" t="s">
        <v>482</v>
      </c>
      <c r="C318" s="626"/>
      <c r="D318" s="625"/>
      <c r="E318" s="625"/>
      <c r="F318" s="626"/>
      <c r="G318" s="626"/>
      <c r="H318" s="626"/>
      <c r="I318" s="626"/>
      <c r="J318" s="626"/>
      <c r="K318" s="625"/>
      <c r="L318" s="625"/>
      <c r="M318" s="352" t="s">
        <v>27</v>
      </c>
    </row>
    <row r="319" spans="1:13" x14ac:dyDescent="0.35">
      <c r="A319" s="352">
        <v>318</v>
      </c>
      <c r="B319" s="699" t="s">
        <v>484</v>
      </c>
      <c r="C319" s="625"/>
      <c r="D319" s="625"/>
      <c r="E319" s="625"/>
      <c r="F319" s="625"/>
      <c r="G319" s="626"/>
      <c r="H319" s="626"/>
      <c r="I319" s="626"/>
      <c r="J319" s="625"/>
      <c r="K319" s="625"/>
      <c r="L319" s="625"/>
      <c r="M319" s="352" t="s">
        <v>27</v>
      </c>
    </row>
    <row r="320" spans="1:13" x14ac:dyDescent="0.35">
      <c r="A320" s="352">
        <v>319</v>
      </c>
      <c r="B320" s="699" t="s">
        <v>485</v>
      </c>
      <c r="C320" s="626"/>
      <c r="D320" s="625"/>
      <c r="E320" s="625"/>
      <c r="F320" s="626"/>
      <c r="G320" s="626"/>
      <c r="H320" s="626"/>
      <c r="I320" s="626"/>
      <c r="J320" s="626"/>
      <c r="K320" s="625"/>
      <c r="L320" s="625"/>
      <c r="M320" s="352" t="s">
        <v>27</v>
      </c>
    </row>
    <row r="321" spans="1:13" x14ac:dyDescent="0.35">
      <c r="A321" s="352">
        <v>320</v>
      </c>
      <c r="B321" s="700" t="s">
        <v>489</v>
      </c>
      <c r="C321" s="628">
        <v>2512</v>
      </c>
      <c r="D321" s="629">
        <v>386</v>
      </c>
      <c r="E321" s="629">
        <v>145</v>
      </c>
      <c r="F321" s="628">
        <v>3592</v>
      </c>
      <c r="G321" s="630"/>
      <c r="H321" s="630"/>
      <c r="I321" s="630"/>
      <c r="J321" s="628">
        <v>1813</v>
      </c>
      <c r="K321" s="629">
        <v>376</v>
      </c>
      <c r="L321" s="629">
        <v>323</v>
      </c>
      <c r="M321" s="352" t="s">
        <v>28</v>
      </c>
    </row>
    <row r="322" spans="1:13" x14ac:dyDescent="0.35">
      <c r="A322" s="352">
        <v>321</v>
      </c>
      <c r="B322" s="700" t="s">
        <v>493</v>
      </c>
      <c r="C322" s="628">
        <v>4895</v>
      </c>
      <c r="D322" s="629">
        <v>743</v>
      </c>
      <c r="E322" s="631">
        <v>1484</v>
      </c>
      <c r="F322" s="631">
        <v>4995</v>
      </c>
      <c r="G322" s="630"/>
      <c r="H322" s="630"/>
      <c r="I322" s="630"/>
      <c r="J322" s="628">
        <v>1817</v>
      </c>
      <c r="K322" s="628">
        <v>1996</v>
      </c>
      <c r="L322" s="631">
        <v>1082</v>
      </c>
      <c r="M322" s="352" t="s">
        <v>28</v>
      </c>
    </row>
    <row r="323" spans="1:13" x14ac:dyDescent="0.35">
      <c r="A323" s="352">
        <v>322</v>
      </c>
      <c r="B323" s="700" t="s">
        <v>492</v>
      </c>
      <c r="C323" s="628">
        <v>3789</v>
      </c>
      <c r="D323" s="629">
        <v>368</v>
      </c>
      <c r="E323" s="629">
        <v>183</v>
      </c>
      <c r="F323" s="628">
        <v>3220</v>
      </c>
      <c r="G323" s="630"/>
      <c r="H323" s="630"/>
      <c r="I323" s="630"/>
      <c r="J323" s="628">
        <v>3053</v>
      </c>
      <c r="K323" s="629">
        <v>499</v>
      </c>
      <c r="L323" s="629">
        <v>237</v>
      </c>
      <c r="M323" s="352" t="s">
        <v>28</v>
      </c>
    </row>
    <row r="324" spans="1:13" x14ac:dyDescent="0.35">
      <c r="A324" s="352">
        <v>323</v>
      </c>
      <c r="B324" s="700" t="s">
        <v>490</v>
      </c>
      <c r="C324" s="628">
        <v>1766</v>
      </c>
      <c r="D324" s="629">
        <v>571</v>
      </c>
      <c r="E324" s="629">
        <v>176</v>
      </c>
      <c r="F324" s="628">
        <v>1860</v>
      </c>
      <c r="G324" s="630"/>
      <c r="H324" s="630"/>
      <c r="I324" s="630"/>
      <c r="J324" s="628">
        <v>1318</v>
      </c>
      <c r="K324" s="629">
        <v>308</v>
      </c>
      <c r="L324" s="629">
        <v>140</v>
      </c>
      <c r="M324" s="352" t="s">
        <v>28</v>
      </c>
    </row>
    <row r="325" spans="1:13" x14ac:dyDescent="0.35">
      <c r="A325" s="352">
        <v>324</v>
      </c>
      <c r="B325" s="700" t="s">
        <v>491</v>
      </c>
      <c r="C325" s="628">
        <v>1532</v>
      </c>
      <c r="D325" s="629">
        <v>224</v>
      </c>
      <c r="E325" s="629">
        <v>37</v>
      </c>
      <c r="F325" s="628">
        <v>1254</v>
      </c>
      <c r="G325" s="630"/>
      <c r="H325" s="630"/>
      <c r="I325" s="630"/>
      <c r="J325" s="628">
        <v>1213</v>
      </c>
      <c r="K325" s="629">
        <v>166</v>
      </c>
      <c r="L325" s="629">
        <v>153</v>
      </c>
      <c r="M325" s="352" t="s">
        <v>28</v>
      </c>
    </row>
    <row r="326" spans="1:13" x14ac:dyDescent="0.35">
      <c r="A326" s="352">
        <v>325</v>
      </c>
      <c r="B326" s="622" t="s">
        <v>494</v>
      </c>
      <c r="C326" s="650">
        <v>444</v>
      </c>
      <c r="D326" s="650">
        <v>597</v>
      </c>
      <c r="E326" s="650">
        <v>87</v>
      </c>
      <c r="F326" s="650">
        <v>361</v>
      </c>
      <c r="G326" s="652"/>
      <c r="H326" s="652"/>
      <c r="I326" s="652"/>
      <c r="J326" s="650">
        <v>187</v>
      </c>
      <c r="K326" s="650">
        <v>145</v>
      </c>
      <c r="L326" s="650">
        <v>112</v>
      </c>
      <c r="M326" s="352" t="s">
        <v>29</v>
      </c>
    </row>
    <row r="327" spans="1:13" x14ac:dyDescent="0.35">
      <c r="A327" s="352">
        <v>326</v>
      </c>
      <c r="B327" s="622" t="s">
        <v>497</v>
      </c>
      <c r="C327" s="650">
        <f>69704+2</f>
        <v>69706</v>
      </c>
      <c r="D327" s="650">
        <f>909+500</f>
        <v>1409</v>
      </c>
      <c r="E327" s="650">
        <f>31258+1</f>
        <v>31259</v>
      </c>
      <c r="F327" s="650">
        <f>38411+2</f>
        <v>38413</v>
      </c>
      <c r="G327" s="652"/>
      <c r="H327" s="652"/>
      <c r="I327" s="652"/>
      <c r="J327" s="650">
        <v>11735</v>
      </c>
      <c r="K327" s="650">
        <f>34404+2</f>
        <v>34406</v>
      </c>
      <c r="L327" s="650">
        <v>23565</v>
      </c>
      <c r="M327" s="352" t="s">
        <v>29</v>
      </c>
    </row>
    <row r="328" spans="1:13" x14ac:dyDescent="0.35">
      <c r="A328" s="352">
        <v>327</v>
      </c>
      <c r="B328" s="622" t="s">
        <v>500</v>
      </c>
      <c r="C328" s="650">
        <v>46467</v>
      </c>
      <c r="D328" s="650">
        <v>599</v>
      </c>
      <c r="E328" s="650">
        <v>8747</v>
      </c>
      <c r="F328" s="650">
        <v>19646</v>
      </c>
      <c r="G328" s="652"/>
      <c r="H328" s="652"/>
      <c r="I328" s="652"/>
      <c r="J328" s="650">
        <v>13224</v>
      </c>
      <c r="K328" s="650">
        <v>14610</v>
      </c>
      <c r="L328" s="650">
        <v>18633</v>
      </c>
      <c r="M328" s="352" t="s">
        <v>29</v>
      </c>
    </row>
    <row r="329" spans="1:13" x14ac:dyDescent="0.35">
      <c r="A329" s="352">
        <v>328</v>
      </c>
      <c r="B329" s="622" t="s">
        <v>498</v>
      </c>
      <c r="C329" s="650">
        <v>39103</v>
      </c>
      <c r="D329" s="650">
        <v>735</v>
      </c>
      <c r="E329" s="650">
        <v>13155</v>
      </c>
      <c r="F329" s="650">
        <v>37872</v>
      </c>
      <c r="G329" s="652"/>
      <c r="H329" s="652"/>
      <c r="I329" s="652"/>
      <c r="J329" s="650">
        <v>6883</v>
      </c>
      <c r="K329" s="650">
        <v>17889</v>
      </c>
      <c r="L329" s="650">
        <v>14331</v>
      </c>
      <c r="M329" s="352" t="s">
        <v>29</v>
      </c>
    </row>
    <row r="330" spans="1:13" x14ac:dyDescent="0.35">
      <c r="A330" s="352">
        <v>329</v>
      </c>
      <c r="B330" s="622" t="s">
        <v>495</v>
      </c>
      <c r="C330" s="650">
        <v>30394</v>
      </c>
      <c r="D330" s="650">
        <v>973</v>
      </c>
      <c r="E330" s="650">
        <v>13067</v>
      </c>
      <c r="F330" s="650">
        <v>23709</v>
      </c>
      <c r="G330" s="652"/>
      <c r="H330" s="652"/>
      <c r="I330" s="652"/>
      <c r="J330" s="650">
        <v>5929</v>
      </c>
      <c r="K330" s="650">
        <v>13427</v>
      </c>
      <c r="L330" s="650">
        <v>11038</v>
      </c>
      <c r="M330" s="352" t="s">
        <v>29</v>
      </c>
    </row>
    <row r="331" spans="1:13" x14ac:dyDescent="0.35">
      <c r="A331" s="352">
        <v>330</v>
      </c>
      <c r="B331" s="622" t="s">
        <v>496</v>
      </c>
      <c r="C331" s="650">
        <f>27680+2</f>
        <v>27682</v>
      </c>
      <c r="D331" s="650">
        <f>1038+500</f>
        <v>1538</v>
      </c>
      <c r="E331" s="650">
        <f>11786+1</f>
        <v>11787</v>
      </c>
      <c r="F331" s="650">
        <f>11429+2</f>
        <v>11431</v>
      </c>
      <c r="G331" s="652"/>
      <c r="H331" s="652"/>
      <c r="I331" s="652"/>
      <c r="J331" s="650">
        <v>7066</v>
      </c>
      <c r="K331" s="650">
        <f>11356+2</f>
        <v>11358</v>
      </c>
      <c r="L331" s="650">
        <v>9258</v>
      </c>
      <c r="M331" s="352" t="s">
        <v>29</v>
      </c>
    </row>
    <row r="332" spans="1:13" x14ac:dyDescent="0.35">
      <c r="A332" s="352">
        <v>331</v>
      </c>
      <c r="B332" s="622" t="s">
        <v>1321</v>
      </c>
      <c r="C332" s="650">
        <v>21154</v>
      </c>
      <c r="D332" s="650">
        <v>655</v>
      </c>
      <c r="E332" s="650">
        <v>5826</v>
      </c>
      <c r="F332" s="650">
        <v>15021</v>
      </c>
      <c r="G332" s="652"/>
      <c r="H332" s="652"/>
      <c r="I332" s="652"/>
      <c r="J332" s="650">
        <v>1368</v>
      </c>
      <c r="K332" s="650">
        <v>8891</v>
      </c>
      <c r="L332" s="650">
        <v>10895</v>
      </c>
      <c r="M332" s="352" t="s">
        <v>29</v>
      </c>
    </row>
    <row r="333" spans="1:13" x14ac:dyDescent="0.35">
      <c r="A333" s="352">
        <v>332</v>
      </c>
      <c r="B333" s="622" t="s">
        <v>505</v>
      </c>
      <c r="C333" s="650">
        <v>14605</v>
      </c>
      <c r="D333" s="650">
        <v>730</v>
      </c>
      <c r="E333" s="650">
        <v>4742</v>
      </c>
      <c r="F333" s="650">
        <v>7303</v>
      </c>
      <c r="G333" s="652"/>
      <c r="H333" s="652"/>
      <c r="I333" s="652"/>
      <c r="J333" s="650">
        <v>2778</v>
      </c>
      <c r="K333" s="650">
        <v>6496</v>
      </c>
      <c r="L333" s="650">
        <v>5331</v>
      </c>
      <c r="M333" s="352" t="s">
        <v>29</v>
      </c>
    </row>
    <row r="334" spans="1:13" x14ac:dyDescent="0.35">
      <c r="A334" s="352">
        <v>333</v>
      </c>
      <c r="B334" s="622" t="s">
        <v>1322</v>
      </c>
      <c r="C334" s="650">
        <v>13856</v>
      </c>
      <c r="D334" s="650">
        <v>561</v>
      </c>
      <c r="E334" s="650">
        <v>3166</v>
      </c>
      <c r="F334" s="650">
        <v>8031</v>
      </c>
      <c r="G334" s="652"/>
      <c r="H334" s="652"/>
      <c r="I334" s="652"/>
      <c r="J334" s="650">
        <v>4280</v>
      </c>
      <c r="K334" s="650">
        <v>5646</v>
      </c>
      <c r="L334" s="650">
        <v>3930</v>
      </c>
      <c r="M334" s="352" t="s">
        <v>29</v>
      </c>
    </row>
    <row r="335" spans="1:13" x14ac:dyDescent="0.35">
      <c r="A335" s="352">
        <v>334</v>
      </c>
      <c r="B335" s="622" t="s">
        <v>503</v>
      </c>
      <c r="C335" s="650">
        <v>11525</v>
      </c>
      <c r="D335" s="650">
        <v>956</v>
      </c>
      <c r="E335" s="650">
        <v>3750</v>
      </c>
      <c r="F335" s="650">
        <v>8800</v>
      </c>
      <c r="G335" s="652"/>
      <c r="H335" s="652"/>
      <c r="I335" s="652"/>
      <c r="J335" s="650">
        <v>4865</v>
      </c>
      <c r="K335" s="650">
        <v>3924</v>
      </c>
      <c r="L335" s="650">
        <v>2736</v>
      </c>
      <c r="M335" s="352" t="s">
        <v>29</v>
      </c>
    </row>
    <row r="336" spans="1:13" x14ac:dyDescent="0.35">
      <c r="A336" s="352">
        <v>335</v>
      </c>
      <c r="B336" s="622" t="s">
        <v>501</v>
      </c>
      <c r="C336" s="650">
        <v>6907</v>
      </c>
      <c r="D336" s="650">
        <v>627</v>
      </c>
      <c r="E336" s="650">
        <v>1711</v>
      </c>
      <c r="F336" s="650">
        <v>4673</v>
      </c>
      <c r="G336" s="652"/>
      <c r="H336" s="652"/>
      <c r="I336" s="652"/>
      <c r="J336" s="650">
        <v>1341</v>
      </c>
      <c r="K336" s="650">
        <v>2729</v>
      </c>
      <c r="L336" s="650">
        <v>2837</v>
      </c>
      <c r="M336" s="352" t="s">
        <v>29</v>
      </c>
    </row>
    <row r="337" spans="1:13" x14ac:dyDescent="0.35">
      <c r="A337" s="352">
        <v>336</v>
      </c>
      <c r="B337" s="622" t="s">
        <v>499</v>
      </c>
      <c r="C337" s="650">
        <v>6116</v>
      </c>
      <c r="D337" s="650">
        <v>1003</v>
      </c>
      <c r="E337" s="650">
        <v>3166</v>
      </c>
      <c r="F337" s="650">
        <v>5692</v>
      </c>
      <c r="G337" s="652"/>
      <c r="H337" s="652"/>
      <c r="I337" s="652"/>
      <c r="J337" s="650">
        <v>805</v>
      </c>
      <c r="K337" s="650">
        <v>3156</v>
      </c>
      <c r="L337" s="650">
        <v>2155</v>
      </c>
      <c r="M337" s="352" t="s">
        <v>29</v>
      </c>
    </row>
    <row r="338" spans="1:13" x14ac:dyDescent="0.35">
      <c r="A338" s="352">
        <v>337</v>
      </c>
      <c r="B338" s="622" t="s">
        <v>506</v>
      </c>
      <c r="C338" s="652">
        <v>1031</v>
      </c>
      <c r="D338" s="650">
        <v>510</v>
      </c>
      <c r="E338" s="652">
        <v>189</v>
      </c>
      <c r="F338" s="652">
        <v>1130</v>
      </c>
      <c r="G338" s="652"/>
      <c r="H338" s="652"/>
      <c r="I338" s="652"/>
      <c r="J338" s="650">
        <v>138</v>
      </c>
      <c r="K338" s="650">
        <v>370</v>
      </c>
      <c r="L338" s="652">
        <v>523</v>
      </c>
      <c r="M338" s="352" t="s">
        <v>29</v>
      </c>
    </row>
    <row r="339" spans="1:13" x14ac:dyDescent="0.35">
      <c r="A339" s="352">
        <v>338</v>
      </c>
      <c r="B339" s="701" t="s">
        <v>507</v>
      </c>
      <c r="C339" s="588">
        <f>34290+551</f>
        <v>34841</v>
      </c>
      <c r="D339" s="588">
        <f>1046+2572</f>
        <v>3618</v>
      </c>
      <c r="E339" s="588">
        <f>18549+389</f>
        <v>18938</v>
      </c>
      <c r="F339" s="588">
        <f>27799+441</f>
        <v>28240</v>
      </c>
      <c r="G339" s="632"/>
      <c r="H339" s="632"/>
      <c r="I339" s="632"/>
      <c r="J339" s="588">
        <f>2264+100</f>
        <v>2364</v>
      </c>
      <c r="K339" s="588">
        <f>17732+151</f>
        <v>17883</v>
      </c>
      <c r="L339" s="588">
        <f>14294+300</f>
        <v>14594</v>
      </c>
      <c r="M339" s="352" t="s">
        <v>30</v>
      </c>
    </row>
    <row r="340" spans="1:13" x14ac:dyDescent="0.35">
      <c r="A340" s="352">
        <v>339</v>
      </c>
      <c r="B340" s="701" t="s">
        <v>508</v>
      </c>
      <c r="C340" s="588">
        <v>36213</v>
      </c>
      <c r="D340" s="588">
        <v>1001</v>
      </c>
      <c r="E340" s="588">
        <v>15317</v>
      </c>
      <c r="F340" s="588">
        <v>24528</v>
      </c>
      <c r="G340" s="632"/>
      <c r="H340" s="632"/>
      <c r="I340" s="632"/>
      <c r="J340" s="588">
        <v>6467</v>
      </c>
      <c r="K340" s="588">
        <v>15300</v>
      </c>
      <c r="L340" s="588">
        <v>14446</v>
      </c>
      <c r="M340" s="352" t="s">
        <v>30</v>
      </c>
    </row>
    <row r="341" spans="1:13" x14ac:dyDescent="0.35">
      <c r="A341" s="352">
        <v>340</v>
      </c>
      <c r="B341" s="701" t="s">
        <v>513</v>
      </c>
      <c r="C341" s="588">
        <v>30705</v>
      </c>
      <c r="D341" s="587">
        <v>660</v>
      </c>
      <c r="E341" s="588">
        <v>12004</v>
      </c>
      <c r="F341" s="588">
        <v>40661</v>
      </c>
      <c r="G341" s="632"/>
      <c r="H341" s="632"/>
      <c r="I341" s="632"/>
      <c r="J341" s="587">
        <v>870</v>
      </c>
      <c r="K341" s="588">
        <v>18190</v>
      </c>
      <c r="L341" s="588">
        <v>11645</v>
      </c>
      <c r="M341" s="352" t="s">
        <v>30</v>
      </c>
    </row>
    <row r="342" spans="1:13" x14ac:dyDescent="0.35">
      <c r="A342" s="352">
        <v>341</v>
      </c>
      <c r="B342" s="701" t="s">
        <v>509</v>
      </c>
      <c r="C342" s="588">
        <f>26267+2949</f>
        <v>29216</v>
      </c>
      <c r="D342" s="587">
        <f>788+300</f>
        <v>1088</v>
      </c>
      <c r="E342" s="588">
        <f>8181+492</f>
        <v>8673</v>
      </c>
      <c r="F342" s="588">
        <f>18841+2359</f>
        <v>21200</v>
      </c>
      <c r="G342" s="632"/>
      <c r="H342" s="632"/>
      <c r="I342" s="632"/>
      <c r="J342" s="588">
        <f>2730+1310</f>
        <v>4040</v>
      </c>
      <c r="K342" s="588">
        <f>10376+1639</f>
        <v>12015</v>
      </c>
      <c r="L342" s="588">
        <v>13161</v>
      </c>
      <c r="M342" s="352" t="s">
        <v>30</v>
      </c>
    </row>
    <row r="343" spans="1:13" x14ac:dyDescent="0.35">
      <c r="A343" s="352">
        <v>342</v>
      </c>
      <c r="B343" s="701" t="s">
        <v>526</v>
      </c>
      <c r="C343" s="588">
        <f>20337+250</f>
        <v>20587</v>
      </c>
      <c r="D343" s="587">
        <f>863+543</f>
        <v>1406</v>
      </c>
      <c r="E343" s="588">
        <f>7512+117</f>
        <v>7629</v>
      </c>
      <c r="F343" s="588">
        <f>22671+200</f>
        <v>22871</v>
      </c>
      <c r="G343" s="632"/>
      <c r="H343" s="632"/>
      <c r="I343" s="632"/>
      <c r="J343" s="588">
        <v>1619</v>
      </c>
      <c r="K343" s="588">
        <f>8700+216</f>
        <v>8916</v>
      </c>
      <c r="L343" s="588">
        <f>10018+34</f>
        <v>10052</v>
      </c>
      <c r="M343" s="352" t="s">
        <v>30</v>
      </c>
    </row>
    <row r="344" spans="1:13" x14ac:dyDescent="0.35">
      <c r="A344" s="352">
        <v>343</v>
      </c>
      <c r="B344" s="701" t="s">
        <v>514</v>
      </c>
      <c r="C344" s="588">
        <v>18833</v>
      </c>
      <c r="D344" s="587">
        <v>905</v>
      </c>
      <c r="E344" s="588">
        <v>8481</v>
      </c>
      <c r="F344" s="588">
        <v>23747</v>
      </c>
      <c r="G344" s="632"/>
      <c r="H344" s="632"/>
      <c r="I344" s="632"/>
      <c r="J344" s="588">
        <v>2518</v>
      </c>
      <c r="K344" s="588">
        <v>9367</v>
      </c>
      <c r="L344" s="588">
        <v>6948</v>
      </c>
      <c r="M344" s="352" t="s">
        <v>30</v>
      </c>
    </row>
    <row r="345" spans="1:13" x14ac:dyDescent="0.35">
      <c r="A345" s="352">
        <v>344</v>
      </c>
      <c r="B345" s="701" t="s">
        <v>515</v>
      </c>
      <c r="C345" s="588">
        <f>15727+202</f>
        <v>15929</v>
      </c>
      <c r="D345" s="587">
        <f>786+259</f>
        <v>1045</v>
      </c>
      <c r="E345" s="588">
        <f>7756+51</f>
        <v>7807</v>
      </c>
      <c r="F345" s="588">
        <f>24423+161</f>
        <v>24584</v>
      </c>
      <c r="G345" s="632"/>
      <c r="H345" s="632"/>
      <c r="I345" s="632"/>
      <c r="J345" s="587">
        <v>389</v>
      </c>
      <c r="K345" s="588">
        <f>9868+197</f>
        <v>10065</v>
      </c>
      <c r="L345" s="588">
        <f>5470+5</f>
        <v>5475</v>
      </c>
      <c r="M345" s="352" t="s">
        <v>30</v>
      </c>
    </row>
    <row r="346" spans="1:13" x14ac:dyDescent="0.35">
      <c r="A346" s="352">
        <v>345</v>
      </c>
      <c r="B346" s="701" t="s">
        <v>516</v>
      </c>
      <c r="C346" s="588">
        <v>9956</v>
      </c>
      <c r="D346" s="587">
        <v>261</v>
      </c>
      <c r="E346" s="588">
        <v>1131</v>
      </c>
      <c r="F346" s="588">
        <v>11656</v>
      </c>
      <c r="G346" s="632"/>
      <c r="H346" s="632"/>
      <c r="I346" s="632"/>
      <c r="J346" s="587">
        <v>560</v>
      </c>
      <c r="K346" s="588">
        <v>4340</v>
      </c>
      <c r="L346" s="588">
        <v>5056</v>
      </c>
      <c r="M346" s="352" t="s">
        <v>30</v>
      </c>
    </row>
    <row r="347" spans="1:13" x14ac:dyDescent="0.35">
      <c r="A347" s="352">
        <v>346</v>
      </c>
      <c r="B347" s="701" t="s">
        <v>528</v>
      </c>
      <c r="C347" s="633">
        <v>9903</v>
      </c>
      <c r="D347" s="632">
        <v>960</v>
      </c>
      <c r="E347" s="633">
        <v>4822</v>
      </c>
      <c r="F347" s="633">
        <v>11688</v>
      </c>
      <c r="G347" s="632"/>
      <c r="H347" s="632"/>
      <c r="I347" s="632"/>
      <c r="J347" s="633">
        <v>2266</v>
      </c>
      <c r="K347" s="633">
        <v>5022</v>
      </c>
      <c r="L347" s="633">
        <v>2615</v>
      </c>
      <c r="M347" s="352" t="s">
        <v>30</v>
      </c>
    </row>
    <row r="348" spans="1:13" x14ac:dyDescent="0.35">
      <c r="A348" s="352">
        <v>347</v>
      </c>
      <c r="B348" s="701" t="s">
        <v>517</v>
      </c>
      <c r="C348" s="588">
        <v>8225</v>
      </c>
      <c r="D348" s="587">
        <v>846</v>
      </c>
      <c r="E348" s="588">
        <v>3425</v>
      </c>
      <c r="F348" s="588">
        <v>11272</v>
      </c>
      <c r="G348" s="632"/>
      <c r="H348" s="632"/>
      <c r="I348" s="632"/>
      <c r="J348" s="588">
        <v>2159</v>
      </c>
      <c r="K348" s="588">
        <v>4047</v>
      </c>
      <c r="L348" s="588">
        <v>2019</v>
      </c>
      <c r="M348" s="352" t="s">
        <v>30</v>
      </c>
    </row>
    <row r="349" spans="1:13" x14ac:dyDescent="0.35">
      <c r="A349" s="352">
        <v>348</v>
      </c>
      <c r="B349" s="701" t="s">
        <v>527</v>
      </c>
      <c r="C349" s="588">
        <v>8224</v>
      </c>
      <c r="D349" s="587">
        <v>915</v>
      </c>
      <c r="E349" s="588">
        <v>4900</v>
      </c>
      <c r="F349" s="588">
        <v>7759</v>
      </c>
      <c r="G349" s="632"/>
      <c r="H349" s="632"/>
      <c r="I349" s="632"/>
      <c r="J349" s="587">
        <v>290</v>
      </c>
      <c r="K349" s="588">
        <v>5357</v>
      </c>
      <c r="L349" s="588">
        <v>2577</v>
      </c>
      <c r="M349" s="352" t="s">
        <v>30</v>
      </c>
    </row>
    <row r="350" spans="1:13" x14ac:dyDescent="0.35">
      <c r="A350" s="352">
        <v>349</v>
      </c>
      <c r="B350" s="701" t="s">
        <v>522</v>
      </c>
      <c r="C350" s="588">
        <v>6919</v>
      </c>
      <c r="D350" s="587">
        <v>450</v>
      </c>
      <c r="E350" s="587">
        <v>922</v>
      </c>
      <c r="F350" s="588">
        <v>11145</v>
      </c>
      <c r="G350" s="632"/>
      <c r="H350" s="632"/>
      <c r="I350" s="632"/>
      <c r="J350" s="588">
        <v>1639</v>
      </c>
      <c r="K350" s="588">
        <v>2049</v>
      </c>
      <c r="L350" s="588">
        <v>3231</v>
      </c>
      <c r="M350" s="352" t="s">
        <v>30</v>
      </c>
    </row>
    <row r="351" spans="1:13" x14ac:dyDescent="0.35">
      <c r="A351" s="352">
        <v>350</v>
      </c>
      <c r="B351" s="701" t="s">
        <v>519</v>
      </c>
      <c r="C351" s="588">
        <v>5377</v>
      </c>
      <c r="D351" s="587">
        <v>613</v>
      </c>
      <c r="E351" s="588">
        <v>1957</v>
      </c>
      <c r="F351" s="588">
        <v>6432</v>
      </c>
      <c r="G351" s="632"/>
      <c r="H351" s="632"/>
      <c r="I351" s="632"/>
      <c r="J351" s="587">
        <v>683</v>
      </c>
      <c r="K351" s="588">
        <v>3190</v>
      </c>
      <c r="L351" s="588">
        <v>1504</v>
      </c>
      <c r="M351" s="352" t="s">
        <v>30</v>
      </c>
    </row>
    <row r="352" spans="1:13" x14ac:dyDescent="0.35">
      <c r="A352" s="352">
        <v>351</v>
      </c>
      <c r="B352" s="701" t="s">
        <v>511</v>
      </c>
      <c r="C352" s="588">
        <v>4171</v>
      </c>
      <c r="D352" s="587">
        <v>532</v>
      </c>
      <c r="E352" s="587">
        <v>937</v>
      </c>
      <c r="F352" s="588">
        <v>1451</v>
      </c>
      <c r="G352" s="632"/>
      <c r="H352" s="632"/>
      <c r="I352" s="632"/>
      <c r="J352" s="587">
        <v>827</v>
      </c>
      <c r="K352" s="588">
        <v>1762</v>
      </c>
      <c r="L352" s="588">
        <v>1582</v>
      </c>
      <c r="M352" s="352" t="s">
        <v>30</v>
      </c>
    </row>
    <row r="353" spans="1:13" x14ac:dyDescent="0.35">
      <c r="A353" s="352">
        <v>352</v>
      </c>
      <c r="B353" s="701" t="s">
        <v>510</v>
      </c>
      <c r="C353" s="588">
        <v>3303</v>
      </c>
      <c r="D353" s="587">
        <v>564</v>
      </c>
      <c r="E353" s="588">
        <v>1068</v>
      </c>
      <c r="F353" s="588">
        <v>2506</v>
      </c>
      <c r="G353" s="632"/>
      <c r="H353" s="632"/>
      <c r="I353" s="632"/>
      <c r="J353" s="587">
        <v>285</v>
      </c>
      <c r="K353" s="588">
        <v>1893</v>
      </c>
      <c r="L353" s="588">
        <v>1125</v>
      </c>
      <c r="M353" s="352" t="s">
        <v>30</v>
      </c>
    </row>
    <row r="354" spans="1:13" x14ac:dyDescent="0.35">
      <c r="A354" s="352">
        <v>353</v>
      </c>
      <c r="B354" s="701" t="s">
        <v>523</v>
      </c>
      <c r="C354" s="588">
        <v>1748</v>
      </c>
      <c r="D354" s="587">
        <v>280</v>
      </c>
      <c r="E354" s="587">
        <v>241</v>
      </c>
      <c r="F354" s="588">
        <v>2335</v>
      </c>
      <c r="G354" s="632"/>
      <c r="H354" s="632"/>
      <c r="I354" s="632"/>
      <c r="J354" s="587">
        <v>125</v>
      </c>
      <c r="K354" s="587">
        <v>861</v>
      </c>
      <c r="L354" s="587">
        <v>762</v>
      </c>
      <c r="M354" s="352" t="s">
        <v>30</v>
      </c>
    </row>
    <row r="355" spans="1:13" x14ac:dyDescent="0.35">
      <c r="A355" s="352">
        <v>354</v>
      </c>
      <c r="B355" s="701" t="s">
        <v>512</v>
      </c>
      <c r="C355" s="588">
        <v>1542</v>
      </c>
      <c r="D355" s="587">
        <v>674</v>
      </c>
      <c r="E355" s="587">
        <v>558</v>
      </c>
      <c r="F355" s="588">
        <v>4550</v>
      </c>
      <c r="G355" s="632"/>
      <c r="H355" s="632"/>
      <c r="I355" s="632"/>
      <c r="J355" s="587">
        <v>196</v>
      </c>
      <c r="K355" s="587">
        <v>828</v>
      </c>
      <c r="L355" s="587">
        <v>518</v>
      </c>
      <c r="M355" s="352" t="s">
        <v>30</v>
      </c>
    </row>
    <row r="356" spans="1:13" x14ac:dyDescent="0.35">
      <c r="A356" s="352">
        <v>355</v>
      </c>
      <c r="B356" s="701" t="s">
        <v>525</v>
      </c>
      <c r="C356" s="587">
        <v>913</v>
      </c>
      <c r="D356" s="587">
        <v>643</v>
      </c>
      <c r="E356" s="587">
        <v>333</v>
      </c>
      <c r="F356" s="588">
        <v>1650</v>
      </c>
      <c r="G356" s="632"/>
      <c r="H356" s="632"/>
      <c r="I356" s="632"/>
      <c r="J356" s="587">
        <v>90</v>
      </c>
      <c r="K356" s="587">
        <v>518</v>
      </c>
      <c r="L356" s="587">
        <v>305</v>
      </c>
      <c r="M356" s="352" t="s">
        <v>30</v>
      </c>
    </row>
    <row r="357" spans="1:13" x14ac:dyDescent="0.35">
      <c r="A357" s="352">
        <v>356</v>
      </c>
      <c r="B357" s="701" t="s">
        <v>518</v>
      </c>
      <c r="C357" s="587">
        <v>669</v>
      </c>
      <c r="D357" s="587">
        <v>394</v>
      </c>
      <c r="E357" s="587">
        <v>109</v>
      </c>
      <c r="F357" s="588">
        <v>1441</v>
      </c>
      <c r="G357" s="632"/>
      <c r="H357" s="632"/>
      <c r="I357" s="632"/>
      <c r="J357" s="587">
        <v>159</v>
      </c>
      <c r="K357" s="587">
        <v>275</v>
      </c>
      <c r="L357" s="587">
        <v>235</v>
      </c>
      <c r="M357" s="352" t="s">
        <v>30</v>
      </c>
    </row>
    <row r="358" spans="1:13" x14ac:dyDescent="0.35">
      <c r="A358" s="352">
        <v>357</v>
      </c>
      <c r="B358" s="701" t="s">
        <v>524</v>
      </c>
      <c r="C358" s="587">
        <v>308</v>
      </c>
      <c r="D358" s="587">
        <v>330</v>
      </c>
      <c r="E358" s="587">
        <v>35</v>
      </c>
      <c r="F358" s="587">
        <v>711</v>
      </c>
      <c r="G358" s="632"/>
      <c r="H358" s="632"/>
      <c r="I358" s="632"/>
      <c r="J358" s="587">
        <v>119</v>
      </c>
      <c r="K358" s="587">
        <v>106</v>
      </c>
      <c r="L358" s="587">
        <v>83</v>
      </c>
      <c r="M358" s="352" t="s">
        <v>30</v>
      </c>
    </row>
    <row r="359" spans="1:13" x14ac:dyDescent="0.35">
      <c r="A359" s="352">
        <v>358</v>
      </c>
      <c r="B359" s="701" t="s">
        <v>520</v>
      </c>
      <c r="C359" s="587">
        <v>103</v>
      </c>
      <c r="D359" s="587">
        <v>602</v>
      </c>
      <c r="E359" s="587">
        <v>34</v>
      </c>
      <c r="F359" s="587">
        <v>281</v>
      </c>
      <c r="G359" s="632"/>
      <c r="H359" s="632"/>
      <c r="I359" s="632"/>
      <c r="J359" s="587"/>
      <c r="K359" s="587">
        <v>57</v>
      </c>
      <c r="L359" s="587">
        <v>46</v>
      </c>
      <c r="M359" s="352" t="s">
        <v>30</v>
      </c>
    </row>
    <row r="360" spans="1:13" x14ac:dyDescent="0.35">
      <c r="A360" s="352">
        <v>359</v>
      </c>
      <c r="B360" s="701" t="s">
        <v>521</v>
      </c>
      <c r="C360" s="587">
        <v>45</v>
      </c>
      <c r="D360" s="587">
        <v>657</v>
      </c>
      <c r="E360" s="587">
        <v>18</v>
      </c>
      <c r="F360" s="587">
        <v>181</v>
      </c>
      <c r="G360" s="632"/>
      <c r="H360" s="632"/>
      <c r="I360" s="632"/>
      <c r="J360" s="587">
        <v>4</v>
      </c>
      <c r="K360" s="587">
        <v>27</v>
      </c>
      <c r="L360" s="587">
        <v>14</v>
      </c>
      <c r="M360" s="352" t="s">
        <v>30</v>
      </c>
    </row>
    <row r="361" spans="1:13" x14ac:dyDescent="0.35">
      <c r="A361" s="352">
        <v>360</v>
      </c>
      <c r="B361" s="702" t="s">
        <v>529</v>
      </c>
      <c r="C361" s="634">
        <v>49168</v>
      </c>
      <c r="D361" s="635">
        <v>882</v>
      </c>
      <c r="E361" s="634">
        <v>21963</v>
      </c>
      <c r="F361" s="634">
        <v>46613</v>
      </c>
      <c r="G361" s="636"/>
      <c r="H361" s="636"/>
      <c r="I361" s="636"/>
      <c r="J361" s="634">
        <v>7605</v>
      </c>
      <c r="K361" s="634">
        <v>24911</v>
      </c>
      <c r="L361" s="634">
        <v>16652</v>
      </c>
      <c r="M361" s="352" t="s">
        <v>31</v>
      </c>
    </row>
    <row r="362" spans="1:13" x14ac:dyDescent="0.35">
      <c r="A362" s="352">
        <v>361</v>
      </c>
      <c r="B362" s="702" t="s">
        <v>532</v>
      </c>
      <c r="C362" s="634">
        <v>41076</v>
      </c>
      <c r="D362" s="635">
        <v>769</v>
      </c>
      <c r="E362" s="634">
        <v>14306</v>
      </c>
      <c r="F362" s="634">
        <v>33165</v>
      </c>
      <c r="G362" s="636"/>
      <c r="H362" s="636"/>
      <c r="I362" s="636"/>
      <c r="J362" s="634">
        <v>4775</v>
      </c>
      <c r="K362" s="634">
        <v>18598</v>
      </c>
      <c r="L362" s="634">
        <v>17703</v>
      </c>
      <c r="M362" s="352" t="s">
        <v>31</v>
      </c>
    </row>
    <row r="363" spans="1:13" x14ac:dyDescent="0.35">
      <c r="A363" s="352">
        <v>362</v>
      </c>
      <c r="B363" s="702" t="s">
        <v>533</v>
      </c>
      <c r="C363" s="634">
        <v>17964</v>
      </c>
      <c r="D363" s="635">
        <v>768</v>
      </c>
      <c r="E363" s="634">
        <v>6160</v>
      </c>
      <c r="F363" s="634">
        <v>21329</v>
      </c>
      <c r="G363" s="636"/>
      <c r="H363" s="636"/>
      <c r="I363" s="636"/>
      <c r="J363" s="634">
        <v>1004</v>
      </c>
      <c r="K363" s="634">
        <v>8016</v>
      </c>
      <c r="L363" s="634">
        <v>8944</v>
      </c>
      <c r="M363" s="352" t="s">
        <v>31</v>
      </c>
    </row>
    <row r="364" spans="1:13" x14ac:dyDescent="0.35">
      <c r="A364" s="352">
        <v>363</v>
      </c>
      <c r="B364" s="702" t="s">
        <v>530</v>
      </c>
      <c r="C364" s="634">
        <v>15499</v>
      </c>
      <c r="D364" s="635">
        <v>730</v>
      </c>
      <c r="E364" s="634">
        <v>5759</v>
      </c>
      <c r="F364" s="634">
        <v>15450</v>
      </c>
      <c r="G364" s="636"/>
      <c r="H364" s="636"/>
      <c r="I364" s="636"/>
      <c r="J364" s="634">
        <v>1762</v>
      </c>
      <c r="K364" s="634">
        <v>7885</v>
      </c>
      <c r="L364" s="634">
        <v>5852</v>
      </c>
      <c r="M364" s="352" t="s">
        <v>31</v>
      </c>
    </row>
    <row r="365" spans="1:13" x14ac:dyDescent="0.35">
      <c r="A365" s="352">
        <v>364</v>
      </c>
      <c r="B365" s="702" t="s">
        <v>531</v>
      </c>
      <c r="C365" s="634">
        <v>13185</v>
      </c>
      <c r="D365" s="635">
        <v>878</v>
      </c>
      <c r="E365" s="634">
        <v>4885</v>
      </c>
      <c r="F365" s="634">
        <v>11635</v>
      </c>
      <c r="G365" s="636"/>
      <c r="H365" s="636"/>
      <c r="I365" s="636"/>
      <c r="J365" s="634">
        <v>1850</v>
      </c>
      <c r="K365" s="634">
        <v>5566</v>
      </c>
      <c r="L365" s="634">
        <v>5769</v>
      </c>
      <c r="M365" s="352" t="s">
        <v>31</v>
      </c>
    </row>
    <row r="366" spans="1:13" x14ac:dyDescent="0.35">
      <c r="A366" s="352">
        <v>365</v>
      </c>
      <c r="B366" s="702" t="s">
        <v>534</v>
      </c>
      <c r="C366" s="637">
        <v>12801</v>
      </c>
      <c r="D366" s="636">
        <v>763</v>
      </c>
      <c r="E366" s="637">
        <v>4069</v>
      </c>
      <c r="F366" s="634">
        <v>12209</v>
      </c>
      <c r="G366" s="636"/>
      <c r="H366" s="636"/>
      <c r="I366" s="636"/>
      <c r="J366" s="635">
        <v>985</v>
      </c>
      <c r="K366" s="634">
        <v>5331</v>
      </c>
      <c r="L366" s="637">
        <v>6485</v>
      </c>
      <c r="M366" s="352" t="s">
        <v>31</v>
      </c>
    </row>
    <row r="367" spans="1:13" x14ac:dyDescent="0.35">
      <c r="A367" s="352">
        <v>366</v>
      </c>
      <c r="B367" s="617" t="s">
        <v>535</v>
      </c>
      <c r="C367" s="638">
        <v>15982</v>
      </c>
      <c r="D367" s="638">
        <v>1073</v>
      </c>
      <c r="E367" s="638">
        <v>6984</v>
      </c>
      <c r="F367" s="638">
        <v>17897</v>
      </c>
      <c r="G367" s="624"/>
      <c r="H367" s="624"/>
      <c r="I367" s="624"/>
      <c r="J367" s="638">
        <v>3843</v>
      </c>
      <c r="K367" s="638">
        <v>6511</v>
      </c>
      <c r="L367" s="638">
        <v>5628</v>
      </c>
      <c r="M367" s="352" t="s">
        <v>32</v>
      </c>
    </row>
    <row r="368" spans="1:13" x14ac:dyDescent="0.35">
      <c r="A368" s="352">
        <v>367</v>
      </c>
      <c r="B368" s="617" t="s">
        <v>544</v>
      </c>
      <c r="C368" s="638">
        <v>79475</v>
      </c>
      <c r="D368" s="623">
        <v>790</v>
      </c>
      <c r="E368" s="638">
        <v>35241</v>
      </c>
      <c r="F368" s="638">
        <v>26316</v>
      </c>
      <c r="G368" s="624"/>
      <c r="H368" s="624"/>
      <c r="I368" s="624"/>
      <c r="J368" s="638">
        <v>1373</v>
      </c>
      <c r="K368" s="638">
        <v>44606</v>
      </c>
      <c r="L368" s="638">
        <v>33496</v>
      </c>
      <c r="M368" s="352" t="s">
        <v>32</v>
      </c>
    </row>
    <row r="369" spans="1:13" x14ac:dyDescent="0.35">
      <c r="A369" s="352">
        <v>368</v>
      </c>
      <c r="B369" s="617" t="s">
        <v>547</v>
      </c>
      <c r="C369" s="638">
        <v>69574</v>
      </c>
      <c r="D369" s="623">
        <v>835</v>
      </c>
      <c r="E369" s="638">
        <v>21855</v>
      </c>
      <c r="F369" s="638">
        <v>28445</v>
      </c>
      <c r="G369" s="624"/>
      <c r="H369" s="624"/>
      <c r="I369" s="624"/>
      <c r="J369" s="638">
        <v>16074</v>
      </c>
      <c r="K369" s="638">
        <v>26174</v>
      </c>
      <c r="L369" s="638">
        <v>27325</v>
      </c>
      <c r="M369" s="352" t="s">
        <v>32</v>
      </c>
    </row>
    <row r="370" spans="1:13" x14ac:dyDescent="0.35">
      <c r="A370" s="352">
        <v>369</v>
      </c>
      <c r="B370" s="617" t="s">
        <v>536</v>
      </c>
      <c r="C370" s="638">
        <v>29485</v>
      </c>
      <c r="D370" s="623">
        <v>659</v>
      </c>
      <c r="E370" s="638">
        <v>6637</v>
      </c>
      <c r="F370" s="638">
        <v>21068</v>
      </c>
      <c r="G370" s="624"/>
      <c r="H370" s="624"/>
      <c r="I370" s="624"/>
      <c r="J370" s="638">
        <v>5219</v>
      </c>
      <c r="K370" s="638">
        <v>10065</v>
      </c>
      <c r="L370" s="638">
        <v>14200</v>
      </c>
      <c r="M370" s="352" t="s">
        <v>32</v>
      </c>
    </row>
    <row r="371" spans="1:13" x14ac:dyDescent="0.35">
      <c r="A371" s="352">
        <v>370</v>
      </c>
      <c r="B371" s="617" t="s">
        <v>541</v>
      </c>
      <c r="C371" s="638">
        <v>20316</v>
      </c>
      <c r="D371" s="623">
        <v>669</v>
      </c>
      <c r="E371" s="638">
        <v>6214</v>
      </c>
      <c r="F371" s="638">
        <v>24098</v>
      </c>
      <c r="G371" s="624"/>
      <c r="H371" s="624"/>
      <c r="I371" s="624"/>
      <c r="J371" s="638">
        <v>4827</v>
      </c>
      <c r="K371" s="638">
        <v>9293</v>
      </c>
      <c r="L371" s="638">
        <v>6196</v>
      </c>
      <c r="M371" s="352" t="s">
        <v>32</v>
      </c>
    </row>
    <row r="372" spans="1:13" x14ac:dyDescent="0.35">
      <c r="A372" s="352">
        <v>371</v>
      </c>
      <c r="B372" s="617" t="s">
        <v>537</v>
      </c>
      <c r="C372" s="638">
        <v>15533</v>
      </c>
      <c r="D372" s="638">
        <v>1509</v>
      </c>
      <c r="E372" s="638">
        <v>8802</v>
      </c>
      <c r="F372" s="638">
        <v>22896</v>
      </c>
      <c r="G372" s="624"/>
      <c r="H372" s="624"/>
      <c r="I372" s="624"/>
      <c r="J372" s="638">
        <v>5103</v>
      </c>
      <c r="K372" s="638">
        <v>5833</v>
      </c>
      <c r="L372" s="638">
        <v>4598</v>
      </c>
      <c r="M372" s="352" t="s">
        <v>32</v>
      </c>
    </row>
    <row r="373" spans="1:13" x14ac:dyDescent="0.35">
      <c r="A373" s="352">
        <v>372</v>
      </c>
      <c r="B373" s="617" t="s">
        <v>542</v>
      </c>
      <c r="C373" s="638">
        <v>10275</v>
      </c>
      <c r="D373" s="623">
        <v>778</v>
      </c>
      <c r="E373" s="638">
        <v>3072</v>
      </c>
      <c r="F373" s="638">
        <v>5530</v>
      </c>
      <c r="G373" s="624"/>
      <c r="H373" s="624"/>
      <c r="I373" s="624"/>
      <c r="J373" s="638">
        <v>3200</v>
      </c>
      <c r="K373" s="638">
        <v>3949</v>
      </c>
      <c r="L373" s="638">
        <v>3126</v>
      </c>
      <c r="M373" s="352" t="s">
        <v>32</v>
      </c>
    </row>
    <row r="374" spans="1:13" x14ac:dyDescent="0.35">
      <c r="A374" s="352">
        <v>373</v>
      </c>
      <c r="B374" s="617" t="s">
        <v>545</v>
      </c>
      <c r="C374" s="638">
        <v>4274</v>
      </c>
      <c r="D374" s="623">
        <v>236</v>
      </c>
      <c r="E374" s="623">
        <v>404</v>
      </c>
      <c r="F374" s="638">
        <v>4518</v>
      </c>
      <c r="G374" s="624"/>
      <c r="H374" s="624"/>
      <c r="I374" s="624"/>
      <c r="J374" s="638">
        <v>1189</v>
      </c>
      <c r="K374" s="638">
        <v>1709</v>
      </c>
      <c r="L374" s="638">
        <v>1376</v>
      </c>
      <c r="M374" s="352" t="s">
        <v>32</v>
      </c>
    </row>
    <row r="375" spans="1:13" x14ac:dyDescent="0.35">
      <c r="A375" s="352">
        <v>374</v>
      </c>
      <c r="B375" s="617" t="s">
        <v>548</v>
      </c>
      <c r="C375" s="639">
        <v>3567</v>
      </c>
      <c r="D375" s="623">
        <v>996</v>
      </c>
      <c r="E375" s="638">
        <v>1801</v>
      </c>
      <c r="F375" s="639">
        <v>3857</v>
      </c>
      <c r="G375" s="624"/>
      <c r="H375" s="624"/>
      <c r="I375" s="624"/>
      <c r="J375" s="623">
        <v>265</v>
      </c>
      <c r="K375" s="639">
        <v>1809</v>
      </c>
      <c r="L375" s="639">
        <v>1493</v>
      </c>
      <c r="M375" s="352" t="s">
        <v>32</v>
      </c>
    </row>
    <row r="376" spans="1:13" x14ac:dyDescent="0.35">
      <c r="A376" s="352">
        <v>375</v>
      </c>
      <c r="B376" s="617" t="s">
        <v>538</v>
      </c>
      <c r="C376" s="638">
        <v>3213</v>
      </c>
      <c r="D376" s="623">
        <v>367</v>
      </c>
      <c r="E376" s="623">
        <v>458</v>
      </c>
      <c r="F376" s="638">
        <v>5127</v>
      </c>
      <c r="G376" s="624"/>
      <c r="H376" s="624"/>
      <c r="I376" s="624"/>
      <c r="J376" s="623">
        <v>804</v>
      </c>
      <c r="K376" s="638">
        <v>1246</v>
      </c>
      <c r="L376" s="638">
        <v>1164</v>
      </c>
      <c r="M376" s="352" t="s">
        <v>32</v>
      </c>
    </row>
    <row r="377" spans="1:13" x14ac:dyDescent="0.35">
      <c r="A377" s="352">
        <v>376</v>
      </c>
      <c r="B377" s="617" t="s">
        <v>546</v>
      </c>
      <c r="C377" s="638">
        <v>3155</v>
      </c>
      <c r="D377" s="623">
        <v>123</v>
      </c>
      <c r="E377" s="623">
        <v>104</v>
      </c>
      <c r="F377" s="638">
        <v>4014</v>
      </c>
      <c r="G377" s="624"/>
      <c r="H377" s="624"/>
      <c r="I377" s="624"/>
      <c r="J377" s="623">
        <v>155</v>
      </c>
      <c r="K377" s="623">
        <v>845</v>
      </c>
      <c r="L377" s="638">
        <v>2155</v>
      </c>
      <c r="M377" s="352" t="s">
        <v>32</v>
      </c>
    </row>
    <row r="378" spans="1:13" x14ac:dyDescent="0.35">
      <c r="A378" s="352">
        <v>377</v>
      </c>
      <c r="B378" s="617" t="s">
        <v>539</v>
      </c>
      <c r="C378" s="623">
        <v>717</v>
      </c>
      <c r="D378" s="623">
        <v>793</v>
      </c>
      <c r="E378" s="623">
        <v>210</v>
      </c>
      <c r="F378" s="638">
        <v>1230</v>
      </c>
      <c r="G378" s="624"/>
      <c r="H378" s="624"/>
      <c r="I378" s="624"/>
      <c r="J378" s="623">
        <v>159</v>
      </c>
      <c r="K378" s="623">
        <v>264</v>
      </c>
      <c r="L378" s="623">
        <v>294</v>
      </c>
      <c r="M378" s="352" t="s">
        <v>32</v>
      </c>
    </row>
    <row r="379" spans="1:13" x14ac:dyDescent="0.35">
      <c r="A379" s="352">
        <v>378</v>
      </c>
      <c r="B379" s="617" t="s">
        <v>1323</v>
      </c>
      <c r="C379" s="623">
        <v>168</v>
      </c>
      <c r="D379" s="623">
        <v>238</v>
      </c>
      <c r="E379" s="623">
        <v>11</v>
      </c>
      <c r="F379" s="623">
        <v>303</v>
      </c>
      <c r="G379" s="624"/>
      <c r="H379" s="624"/>
      <c r="I379" s="624"/>
      <c r="J379" s="623">
        <v>20</v>
      </c>
      <c r="K379" s="623">
        <v>46</v>
      </c>
      <c r="L379" s="623">
        <v>102</v>
      </c>
      <c r="M379" s="352" t="s">
        <v>32</v>
      </c>
    </row>
    <row r="380" spans="1:13" x14ac:dyDescent="0.35">
      <c r="A380" s="352">
        <v>379</v>
      </c>
      <c r="B380" s="617" t="s">
        <v>543</v>
      </c>
      <c r="C380" s="623">
        <v>46</v>
      </c>
      <c r="D380" s="623">
        <v>678</v>
      </c>
      <c r="E380" s="623">
        <v>16</v>
      </c>
      <c r="F380" s="623">
        <v>231</v>
      </c>
      <c r="G380" s="624"/>
      <c r="H380" s="624"/>
      <c r="I380" s="624"/>
      <c r="J380" s="624"/>
      <c r="K380" s="623">
        <v>24</v>
      </c>
      <c r="L380" s="623">
        <v>22</v>
      </c>
      <c r="M380" s="352" t="s">
        <v>32</v>
      </c>
    </row>
    <row r="381" spans="1:13" x14ac:dyDescent="0.35">
      <c r="A381" s="352">
        <v>380</v>
      </c>
      <c r="B381" s="696" t="s">
        <v>549</v>
      </c>
      <c r="C381" s="640">
        <v>38</v>
      </c>
      <c r="D381" s="288">
        <v>358</v>
      </c>
      <c r="E381" s="288">
        <v>4</v>
      </c>
      <c r="F381" s="640">
        <v>155</v>
      </c>
      <c r="G381" s="664"/>
      <c r="H381" s="664"/>
      <c r="I381" s="664"/>
      <c r="J381" s="640">
        <v>20</v>
      </c>
      <c r="K381" s="640">
        <v>11</v>
      </c>
      <c r="L381" s="640">
        <v>7</v>
      </c>
      <c r="M381" s="352" t="s">
        <v>33</v>
      </c>
    </row>
    <row r="382" spans="1:13" x14ac:dyDescent="0.35">
      <c r="A382" s="352">
        <v>381</v>
      </c>
      <c r="B382" s="696" t="s">
        <v>554</v>
      </c>
      <c r="C382" s="665">
        <f>9660+2053+1190</f>
        <v>12903</v>
      </c>
      <c r="D382" s="288">
        <f>536+519+254</f>
        <v>1309</v>
      </c>
      <c r="E382" s="665">
        <f>2250+1065+155</f>
        <v>3470</v>
      </c>
      <c r="F382" s="665">
        <f>12741+2400+952</f>
        <v>16093</v>
      </c>
      <c r="G382" s="664"/>
      <c r="H382" s="664"/>
      <c r="I382" s="664"/>
      <c r="J382" s="665">
        <v>1395</v>
      </c>
      <c r="K382" s="665">
        <f>4196+2053+610</f>
        <v>6859</v>
      </c>
      <c r="L382" s="665">
        <f>4070+580</f>
        <v>4650</v>
      </c>
      <c r="M382" s="352" t="s">
        <v>33</v>
      </c>
    </row>
    <row r="383" spans="1:13" x14ac:dyDescent="0.35">
      <c r="A383" s="352">
        <v>382</v>
      </c>
      <c r="B383" s="696" t="s">
        <v>557</v>
      </c>
      <c r="C383" s="665">
        <v>5244</v>
      </c>
      <c r="D383" s="664">
        <v>406</v>
      </c>
      <c r="E383" s="664">
        <v>649</v>
      </c>
      <c r="F383" s="665">
        <v>3915</v>
      </c>
      <c r="G383" s="664"/>
      <c r="H383" s="664"/>
      <c r="I383" s="664"/>
      <c r="J383" s="665">
        <v>2822</v>
      </c>
      <c r="K383" s="665">
        <v>1599</v>
      </c>
      <c r="L383" s="664">
        <v>823</v>
      </c>
      <c r="M383" s="352" t="s">
        <v>33</v>
      </c>
    </row>
    <row r="384" spans="1:13" x14ac:dyDescent="0.35">
      <c r="A384" s="352">
        <v>383</v>
      </c>
      <c r="B384" s="696" t="s">
        <v>556</v>
      </c>
      <c r="C384" s="665">
        <v>4687</v>
      </c>
      <c r="D384" s="665">
        <v>1034</v>
      </c>
      <c r="E384" s="665">
        <v>2506</v>
      </c>
      <c r="F384" s="665">
        <v>8367</v>
      </c>
      <c r="G384" s="664"/>
      <c r="H384" s="664"/>
      <c r="I384" s="664"/>
      <c r="J384" s="664">
        <v>995</v>
      </c>
      <c r="K384" s="665">
        <v>2423</v>
      </c>
      <c r="L384" s="665">
        <v>1309</v>
      </c>
      <c r="M384" s="352" t="s">
        <v>33</v>
      </c>
    </row>
    <row r="385" spans="1:13" x14ac:dyDescent="0.35">
      <c r="A385" s="352">
        <v>384</v>
      </c>
      <c r="B385" s="696" t="s">
        <v>558</v>
      </c>
      <c r="C385" s="665">
        <f>4067+13</f>
        <v>4080</v>
      </c>
      <c r="D385" s="664">
        <f>932+308</f>
        <v>1240</v>
      </c>
      <c r="E385" s="665">
        <f>1725+4</f>
        <v>1729</v>
      </c>
      <c r="F385" s="665">
        <f>2772+10</f>
        <v>2782</v>
      </c>
      <c r="G385" s="664"/>
      <c r="H385" s="664"/>
      <c r="I385" s="664"/>
      <c r="J385" s="664">
        <v>810</v>
      </c>
      <c r="K385" s="665">
        <f>1851+13</f>
        <v>1864</v>
      </c>
      <c r="L385" s="665">
        <v>1406</v>
      </c>
      <c r="M385" s="352" t="s">
        <v>33</v>
      </c>
    </row>
    <row r="386" spans="1:13" x14ac:dyDescent="0.35">
      <c r="A386" s="352">
        <v>385</v>
      </c>
      <c r="B386" s="696" t="s">
        <v>555</v>
      </c>
      <c r="C386" s="665">
        <v>1055</v>
      </c>
      <c r="D386" s="288">
        <v>481</v>
      </c>
      <c r="E386" s="664">
        <v>238</v>
      </c>
      <c r="F386" s="665">
        <v>4583</v>
      </c>
      <c r="G386" s="664"/>
      <c r="H386" s="664"/>
      <c r="I386" s="664"/>
      <c r="J386" s="664">
        <v>172</v>
      </c>
      <c r="K386" s="664">
        <v>495</v>
      </c>
      <c r="L386" s="664">
        <v>388</v>
      </c>
      <c r="M386" s="352" t="s">
        <v>33</v>
      </c>
    </row>
    <row r="387" spans="1:13" x14ac:dyDescent="0.35">
      <c r="A387" s="352">
        <v>386</v>
      </c>
      <c r="B387" s="696" t="s">
        <v>559</v>
      </c>
      <c r="C387" s="665">
        <v>216</v>
      </c>
      <c r="D387" s="664">
        <v>747</v>
      </c>
      <c r="E387" s="664">
        <v>43</v>
      </c>
      <c r="F387" s="665">
        <v>701</v>
      </c>
      <c r="G387" s="664"/>
      <c r="H387" s="664"/>
      <c r="I387" s="664"/>
      <c r="J387" s="664">
        <v>56</v>
      </c>
      <c r="K387" s="665">
        <v>48</v>
      </c>
      <c r="L387" s="664">
        <v>102</v>
      </c>
      <c r="M387" s="352" t="s">
        <v>33</v>
      </c>
    </row>
    <row r="388" spans="1:13" x14ac:dyDescent="0.35">
      <c r="A388" s="352">
        <v>387</v>
      </c>
      <c r="B388" s="696" t="s">
        <v>550</v>
      </c>
      <c r="C388" s="640">
        <v>71</v>
      </c>
      <c r="D388" s="288">
        <v>366</v>
      </c>
      <c r="E388" s="288">
        <v>7</v>
      </c>
      <c r="F388" s="640">
        <v>109</v>
      </c>
      <c r="G388" s="664"/>
      <c r="H388" s="664"/>
      <c r="I388" s="664"/>
      <c r="J388" s="288">
        <v>25</v>
      </c>
      <c r="K388" s="640">
        <v>19</v>
      </c>
      <c r="L388" s="640">
        <v>28</v>
      </c>
      <c r="M388" s="352" t="s">
        <v>33</v>
      </c>
    </row>
    <row r="389" spans="1:13" x14ac:dyDescent="0.35">
      <c r="A389" s="352">
        <v>388</v>
      </c>
      <c r="B389" s="696" t="s">
        <v>551</v>
      </c>
      <c r="C389" s="640">
        <v>3</v>
      </c>
      <c r="D389" s="288">
        <v>105</v>
      </c>
      <c r="E389" s="288">
        <v>0</v>
      </c>
      <c r="F389" s="640">
        <v>27</v>
      </c>
      <c r="G389" s="664"/>
      <c r="H389" s="664"/>
      <c r="I389" s="664"/>
      <c r="J389" s="640">
        <v>0</v>
      </c>
      <c r="K389" s="640">
        <v>2</v>
      </c>
      <c r="L389" s="640">
        <v>1</v>
      </c>
      <c r="M389" s="352" t="s">
        <v>33</v>
      </c>
    </row>
    <row r="390" spans="1:13" x14ac:dyDescent="0.35">
      <c r="A390" s="352">
        <v>389</v>
      </c>
      <c r="B390" s="696" t="s">
        <v>553</v>
      </c>
      <c r="C390" s="640">
        <v>1</v>
      </c>
      <c r="D390" s="664"/>
      <c r="E390" s="664"/>
      <c r="F390" s="640">
        <v>10</v>
      </c>
      <c r="G390" s="664"/>
      <c r="H390" s="664"/>
      <c r="I390" s="664"/>
      <c r="J390" s="664">
        <v>1</v>
      </c>
      <c r="K390" s="664"/>
      <c r="L390" s="664"/>
      <c r="M390" s="352" t="s">
        <v>33</v>
      </c>
    </row>
    <row r="391" spans="1:13" x14ac:dyDescent="0.35">
      <c r="A391" s="352">
        <v>390</v>
      </c>
      <c r="B391" s="696" t="s">
        <v>552</v>
      </c>
      <c r="C391" s="664"/>
      <c r="D391" s="664"/>
      <c r="E391" s="664"/>
      <c r="F391" s="664"/>
      <c r="G391" s="664"/>
      <c r="H391" s="664"/>
      <c r="I391" s="664"/>
      <c r="J391" s="664"/>
      <c r="K391" s="664"/>
      <c r="L391" s="664"/>
      <c r="M391" s="352" t="s">
        <v>33</v>
      </c>
    </row>
    <row r="392" spans="1:13" x14ac:dyDescent="0.35">
      <c r="A392" s="352">
        <v>391</v>
      </c>
      <c r="B392" s="616" t="s">
        <v>560</v>
      </c>
      <c r="C392" s="681">
        <v>5495</v>
      </c>
      <c r="D392" s="682">
        <v>696</v>
      </c>
      <c r="E392" s="681">
        <v>1307</v>
      </c>
      <c r="F392" s="681">
        <v>5930</v>
      </c>
      <c r="G392" s="586"/>
      <c r="H392" s="586"/>
      <c r="I392" s="586"/>
      <c r="J392" s="681">
        <v>1725</v>
      </c>
      <c r="K392" s="681">
        <v>1880</v>
      </c>
      <c r="L392" s="681">
        <v>1890</v>
      </c>
      <c r="M392" s="352" t="s">
        <v>34</v>
      </c>
    </row>
    <row r="393" spans="1:13" x14ac:dyDescent="0.35">
      <c r="A393" s="352">
        <v>392</v>
      </c>
      <c r="B393" s="616" t="s">
        <v>566</v>
      </c>
      <c r="C393" s="681">
        <v>6983</v>
      </c>
      <c r="D393" s="682">
        <v>777</v>
      </c>
      <c r="E393" s="681">
        <v>2448</v>
      </c>
      <c r="F393" s="681">
        <v>3288</v>
      </c>
      <c r="G393" s="586"/>
      <c r="H393" s="586"/>
      <c r="I393" s="586"/>
      <c r="J393" s="681">
        <v>1753</v>
      </c>
      <c r="K393" s="681">
        <v>3149</v>
      </c>
      <c r="L393" s="681">
        <v>2081</v>
      </c>
      <c r="M393" s="352" t="s">
        <v>34</v>
      </c>
    </row>
    <row r="394" spans="1:13" x14ac:dyDescent="0.35">
      <c r="A394" s="352">
        <v>393</v>
      </c>
      <c r="B394" s="616" t="s">
        <v>569</v>
      </c>
      <c r="C394" s="589">
        <v>6099</v>
      </c>
      <c r="D394" s="586">
        <v>801</v>
      </c>
      <c r="E394" s="681">
        <v>1968</v>
      </c>
      <c r="F394" s="589">
        <v>2287</v>
      </c>
      <c r="G394" s="586"/>
      <c r="H394" s="586"/>
      <c r="I394" s="586"/>
      <c r="J394" s="589">
        <v>2003</v>
      </c>
      <c r="K394" s="589">
        <v>2456</v>
      </c>
      <c r="L394" s="589">
        <v>1640</v>
      </c>
      <c r="M394" s="352" t="s">
        <v>34</v>
      </c>
    </row>
    <row r="395" spans="1:13" x14ac:dyDescent="0.35">
      <c r="A395" s="352">
        <v>394</v>
      </c>
      <c r="B395" s="616" t="s">
        <v>564</v>
      </c>
      <c r="C395" s="681">
        <v>4360</v>
      </c>
      <c r="D395" s="682">
        <v>702</v>
      </c>
      <c r="E395" s="681">
        <v>1255</v>
      </c>
      <c r="F395" s="681">
        <v>2889</v>
      </c>
      <c r="G395" s="586"/>
      <c r="H395" s="586"/>
      <c r="I395" s="586"/>
      <c r="J395" s="681">
        <v>1474</v>
      </c>
      <c r="K395" s="681">
        <v>1788</v>
      </c>
      <c r="L395" s="681">
        <v>1098</v>
      </c>
      <c r="M395" s="352" t="s">
        <v>34</v>
      </c>
    </row>
    <row r="396" spans="1:13" x14ac:dyDescent="0.35">
      <c r="A396" s="352">
        <v>395</v>
      </c>
      <c r="B396" s="616" t="s">
        <v>562</v>
      </c>
      <c r="C396" s="681">
        <v>4120</v>
      </c>
      <c r="D396" s="682">
        <v>945</v>
      </c>
      <c r="E396" s="681">
        <v>1360</v>
      </c>
      <c r="F396" s="681">
        <v>3458</v>
      </c>
      <c r="G396" s="586"/>
      <c r="H396" s="586"/>
      <c r="I396" s="586"/>
      <c r="J396" s="681">
        <v>1651</v>
      </c>
      <c r="K396" s="681">
        <v>1439</v>
      </c>
      <c r="L396" s="681">
        <v>1030</v>
      </c>
      <c r="M396" s="352" t="s">
        <v>34</v>
      </c>
    </row>
    <row r="397" spans="1:13" x14ac:dyDescent="0.35">
      <c r="A397" s="352">
        <v>396</v>
      </c>
      <c r="B397" s="616" t="s">
        <v>565</v>
      </c>
      <c r="C397" s="681">
        <v>3436</v>
      </c>
      <c r="D397" s="682">
        <v>191</v>
      </c>
      <c r="E397" s="682">
        <v>289</v>
      </c>
      <c r="F397" s="681">
        <v>2695</v>
      </c>
      <c r="G397" s="586"/>
      <c r="H397" s="586"/>
      <c r="I397" s="586"/>
      <c r="J397" s="682">
        <v>930</v>
      </c>
      <c r="K397" s="681">
        <v>1514</v>
      </c>
      <c r="L397" s="682">
        <v>992</v>
      </c>
      <c r="M397" s="352" t="s">
        <v>34</v>
      </c>
    </row>
    <row r="398" spans="1:13" x14ac:dyDescent="0.35">
      <c r="A398" s="352">
        <v>397</v>
      </c>
      <c r="B398" s="616" t="s">
        <v>561</v>
      </c>
      <c r="C398" s="681">
        <v>1298</v>
      </c>
      <c r="D398" s="682">
        <v>200</v>
      </c>
      <c r="E398" s="682">
        <v>55</v>
      </c>
      <c r="F398" s="681">
        <v>2617</v>
      </c>
      <c r="G398" s="586"/>
      <c r="H398" s="586"/>
      <c r="I398" s="586"/>
      <c r="J398" s="682">
        <v>515</v>
      </c>
      <c r="K398" s="682">
        <v>275</v>
      </c>
      <c r="L398" s="682">
        <v>508</v>
      </c>
      <c r="M398" s="352" t="s">
        <v>34</v>
      </c>
    </row>
    <row r="399" spans="1:13" x14ac:dyDescent="0.35">
      <c r="A399" s="352">
        <v>398</v>
      </c>
      <c r="B399" s="616" t="s">
        <v>567</v>
      </c>
      <c r="C399" s="682">
        <v>412</v>
      </c>
      <c r="D399" s="682">
        <v>193</v>
      </c>
      <c r="E399" s="682">
        <v>47</v>
      </c>
      <c r="F399" s="682">
        <v>757</v>
      </c>
      <c r="G399" s="586"/>
      <c r="H399" s="586"/>
      <c r="I399" s="586"/>
      <c r="J399" s="682">
        <v>60</v>
      </c>
      <c r="K399" s="682">
        <v>242</v>
      </c>
      <c r="L399" s="682">
        <v>110</v>
      </c>
      <c r="M399" s="352" t="s">
        <v>34</v>
      </c>
    </row>
    <row r="400" spans="1:13" x14ac:dyDescent="0.35">
      <c r="A400" s="352">
        <v>399</v>
      </c>
      <c r="B400" s="616" t="s">
        <v>563</v>
      </c>
      <c r="C400" s="682">
        <v>368</v>
      </c>
      <c r="D400" s="682">
        <v>49</v>
      </c>
      <c r="E400" s="682">
        <v>2</v>
      </c>
      <c r="F400" s="682">
        <v>85</v>
      </c>
      <c r="G400" s="586"/>
      <c r="H400" s="586"/>
      <c r="I400" s="586"/>
      <c r="J400" s="682">
        <v>266</v>
      </c>
      <c r="K400" s="682">
        <v>42</v>
      </c>
      <c r="L400" s="682">
        <v>60</v>
      </c>
      <c r="M400" s="352" t="s">
        <v>34</v>
      </c>
    </row>
    <row r="401" spans="1:13" x14ac:dyDescent="0.35">
      <c r="A401" s="352">
        <v>400</v>
      </c>
      <c r="B401" s="616" t="s">
        <v>568</v>
      </c>
      <c r="C401" s="682">
        <v>27</v>
      </c>
      <c r="D401" s="682">
        <v>552</v>
      </c>
      <c r="E401" s="682">
        <v>7</v>
      </c>
      <c r="F401" s="682">
        <v>25</v>
      </c>
      <c r="G401" s="586"/>
      <c r="H401" s="586"/>
      <c r="I401" s="586"/>
      <c r="J401" s="682">
        <v>5</v>
      </c>
      <c r="K401" s="682">
        <v>12</v>
      </c>
      <c r="L401" s="682">
        <v>10</v>
      </c>
      <c r="M401" s="352" t="s">
        <v>34</v>
      </c>
    </row>
    <row r="402" spans="1:13" x14ac:dyDescent="0.35">
      <c r="A402" s="352">
        <v>401</v>
      </c>
      <c r="B402" s="703" t="s">
        <v>570</v>
      </c>
      <c r="C402" s="666">
        <f>14627+5000</f>
        <v>19627</v>
      </c>
      <c r="D402" s="667">
        <f>664+345</f>
        <v>1009</v>
      </c>
      <c r="E402" s="666">
        <f>3678+1725</f>
        <v>5403</v>
      </c>
      <c r="F402" s="666">
        <f>14327+4000</f>
        <v>18327</v>
      </c>
      <c r="G402" s="668"/>
      <c r="H402" s="668"/>
      <c r="I402" s="668"/>
      <c r="J402" s="666">
        <v>5826</v>
      </c>
      <c r="K402" s="666">
        <f>5539+5000</f>
        <v>10539</v>
      </c>
      <c r="L402" s="666">
        <v>3262</v>
      </c>
      <c r="M402" s="352" t="s">
        <v>35</v>
      </c>
    </row>
    <row r="403" spans="1:13" x14ac:dyDescent="0.35">
      <c r="A403" s="352">
        <v>402</v>
      </c>
      <c r="B403" s="704" t="s">
        <v>571</v>
      </c>
      <c r="C403" s="666">
        <v>8408</v>
      </c>
      <c r="D403" s="667">
        <v>312</v>
      </c>
      <c r="E403" s="666">
        <v>1340</v>
      </c>
      <c r="F403" s="666">
        <v>6310</v>
      </c>
      <c r="G403" s="668"/>
      <c r="H403" s="668"/>
      <c r="I403" s="668"/>
      <c r="J403" s="666">
        <v>1460</v>
      </c>
      <c r="K403" s="666">
        <v>4292</v>
      </c>
      <c r="L403" s="666">
        <v>2656</v>
      </c>
      <c r="M403" s="352" t="s">
        <v>35</v>
      </c>
    </row>
    <row r="404" spans="1:13" x14ac:dyDescent="0.35">
      <c r="A404" s="352">
        <v>403</v>
      </c>
      <c r="B404" s="704" t="s">
        <v>572</v>
      </c>
      <c r="C404" s="666">
        <v>3405</v>
      </c>
      <c r="D404" s="667">
        <v>673</v>
      </c>
      <c r="E404" s="667">
        <v>601</v>
      </c>
      <c r="F404" s="666">
        <v>3408</v>
      </c>
      <c r="G404" s="668"/>
      <c r="H404" s="668"/>
      <c r="I404" s="668"/>
      <c r="J404" s="667">
        <v>720</v>
      </c>
      <c r="K404" s="667">
        <v>893</v>
      </c>
      <c r="L404" s="666">
        <v>1792</v>
      </c>
      <c r="M404" s="352" t="s">
        <v>35</v>
      </c>
    </row>
    <row r="405" spans="1:13" x14ac:dyDescent="0.35">
      <c r="A405" s="352">
        <v>404</v>
      </c>
      <c r="B405" s="704" t="s">
        <v>579</v>
      </c>
      <c r="C405" s="666">
        <v>3173</v>
      </c>
      <c r="D405" s="667">
        <v>468</v>
      </c>
      <c r="E405" s="667">
        <v>485</v>
      </c>
      <c r="F405" s="666">
        <v>2852</v>
      </c>
      <c r="G405" s="668"/>
      <c r="H405" s="668"/>
      <c r="I405" s="668"/>
      <c r="J405" s="667">
        <v>869</v>
      </c>
      <c r="K405" s="666">
        <v>1037</v>
      </c>
      <c r="L405" s="666">
        <v>1267</v>
      </c>
      <c r="M405" s="352" t="s">
        <v>35</v>
      </c>
    </row>
    <row r="406" spans="1:13" x14ac:dyDescent="0.35">
      <c r="A406" s="352">
        <v>405</v>
      </c>
      <c r="B406" s="704" t="s">
        <v>577</v>
      </c>
      <c r="C406" s="666">
        <v>2821</v>
      </c>
      <c r="D406" s="666">
        <v>1414</v>
      </c>
      <c r="E406" s="667">
        <v>255</v>
      </c>
      <c r="F406" s="666">
        <v>2633</v>
      </c>
      <c r="G406" s="668"/>
      <c r="H406" s="668"/>
      <c r="I406" s="668"/>
      <c r="J406" s="667">
        <v>758</v>
      </c>
      <c r="K406" s="667">
        <v>159</v>
      </c>
      <c r="L406" s="666">
        <v>1904</v>
      </c>
      <c r="M406" s="352" t="s">
        <v>35</v>
      </c>
    </row>
    <row r="407" spans="1:13" x14ac:dyDescent="0.35">
      <c r="A407" s="352">
        <v>406</v>
      </c>
      <c r="B407" s="704" t="s">
        <v>582</v>
      </c>
      <c r="C407" s="667">
        <v>947</v>
      </c>
      <c r="D407" s="667">
        <v>825</v>
      </c>
      <c r="E407" s="667">
        <v>363</v>
      </c>
      <c r="F407" s="667">
        <v>526</v>
      </c>
      <c r="G407" s="668"/>
      <c r="H407" s="668"/>
      <c r="I407" s="668"/>
      <c r="J407" s="667">
        <v>232</v>
      </c>
      <c r="K407" s="667">
        <v>440</v>
      </c>
      <c r="L407" s="667">
        <v>275</v>
      </c>
      <c r="M407" s="352" t="s">
        <v>35</v>
      </c>
    </row>
    <row r="408" spans="1:13" x14ac:dyDescent="0.35">
      <c r="A408" s="352">
        <v>407</v>
      </c>
      <c r="B408" s="704" t="s">
        <v>578</v>
      </c>
      <c r="C408" s="667">
        <v>903</v>
      </c>
      <c r="D408" s="667">
        <v>500</v>
      </c>
      <c r="E408" s="667">
        <v>103</v>
      </c>
      <c r="F408" s="667">
        <v>505</v>
      </c>
      <c r="G408" s="668"/>
      <c r="H408" s="668"/>
      <c r="I408" s="668"/>
      <c r="J408" s="667">
        <v>600</v>
      </c>
      <c r="K408" s="667">
        <v>206</v>
      </c>
      <c r="L408" s="667">
        <v>97</v>
      </c>
      <c r="M408" s="352" t="s">
        <v>35</v>
      </c>
    </row>
    <row r="409" spans="1:13" x14ac:dyDescent="0.35">
      <c r="A409" s="352">
        <v>408</v>
      </c>
      <c r="B409" s="704" t="s">
        <v>580</v>
      </c>
      <c r="C409" s="667">
        <v>446</v>
      </c>
      <c r="D409" s="667">
        <v>372</v>
      </c>
      <c r="E409" s="667">
        <v>33</v>
      </c>
      <c r="F409" s="667">
        <v>223</v>
      </c>
      <c r="G409" s="668"/>
      <c r="H409" s="668"/>
      <c r="I409" s="668"/>
      <c r="J409" s="667">
        <v>87</v>
      </c>
      <c r="K409" s="667">
        <v>89</v>
      </c>
      <c r="L409" s="667">
        <v>270</v>
      </c>
      <c r="M409" s="352" t="s">
        <v>35</v>
      </c>
    </row>
    <row r="410" spans="1:13" x14ac:dyDescent="0.35">
      <c r="A410" s="352">
        <v>409</v>
      </c>
      <c r="B410" s="704" t="s">
        <v>583</v>
      </c>
      <c r="C410" s="668">
        <v>101</v>
      </c>
      <c r="D410" s="668">
        <v>507</v>
      </c>
      <c r="E410" s="668">
        <v>24</v>
      </c>
      <c r="F410" s="668">
        <v>67</v>
      </c>
      <c r="G410" s="668"/>
      <c r="H410" s="668"/>
      <c r="I410" s="668"/>
      <c r="J410" s="668">
        <v>32</v>
      </c>
      <c r="K410" s="668">
        <v>47</v>
      </c>
      <c r="L410" s="668">
        <v>22</v>
      </c>
      <c r="M410" s="352" t="s">
        <v>35</v>
      </c>
    </row>
    <row r="411" spans="1:13" x14ac:dyDescent="0.35">
      <c r="A411" s="352">
        <v>410</v>
      </c>
      <c r="B411" s="704" t="s">
        <v>575</v>
      </c>
      <c r="C411" s="667">
        <v>47</v>
      </c>
      <c r="D411" s="667">
        <v>108</v>
      </c>
      <c r="E411" s="667">
        <v>3</v>
      </c>
      <c r="F411" s="667">
        <v>24</v>
      </c>
      <c r="G411" s="668"/>
      <c r="H411" s="668"/>
      <c r="I411" s="668"/>
      <c r="J411" s="667"/>
      <c r="K411" s="667">
        <v>25</v>
      </c>
      <c r="L411" s="667">
        <v>22</v>
      </c>
      <c r="M411" s="352" t="s">
        <v>35</v>
      </c>
    </row>
    <row r="412" spans="1:13" x14ac:dyDescent="0.35">
      <c r="A412" s="352">
        <v>411</v>
      </c>
      <c r="B412" s="704" t="s">
        <v>574</v>
      </c>
      <c r="C412" s="667">
        <v>31</v>
      </c>
      <c r="D412" s="667">
        <v>545</v>
      </c>
      <c r="E412" s="667">
        <v>4</v>
      </c>
      <c r="F412" s="667">
        <v>28</v>
      </c>
      <c r="G412" s="668"/>
      <c r="H412" s="668"/>
      <c r="I412" s="668"/>
      <c r="J412" s="667">
        <v>10</v>
      </c>
      <c r="K412" s="667">
        <v>8</v>
      </c>
      <c r="L412" s="667">
        <v>13</v>
      </c>
      <c r="M412" s="352" t="s">
        <v>35</v>
      </c>
    </row>
    <row r="413" spans="1:13" x14ac:dyDescent="0.35">
      <c r="A413" s="352">
        <v>412</v>
      </c>
      <c r="B413" s="704" t="s">
        <v>581</v>
      </c>
      <c r="C413" s="667">
        <v>13</v>
      </c>
      <c r="D413" s="667">
        <v>833</v>
      </c>
      <c r="E413" s="667">
        <v>3</v>
      </c>
      <c r="F413" s="667">
        <v>7</v>
      </c>
      <c r="G413" s="668"/>
      <c r="H413" s="668"/>
      <c r="I413" s="668"/>
      <c r="J413" s="667">
        <v>5</v>
      </c>
      <c r="K413" s="667">
        <v>4</v>
      </c>
      <c r="L413" s="667">
        <v>4</v>
      </c>
      <c r="M413" s="352" t="s">
        <v>35</v>
      </c>
    </row>
    <row r="414" spans="1:13" x14ac:dyDescent="0.35">
      <c r="A414" s="352">
        <v>413</v>
      </c>
      <c r="B414" s="704" t="s">
        <v>573</v>
      </c>
      <c r="C414" s="668"/>
      <c r="D414" s="668"/>
      <c r="E414" s="667"/>
      <c r="F414" s="668"/>
      <c r="G414" s="668"/>
      <c r="H414" s="668"/>
      <c r="I414" s="668"/>
      <c r="J414" s="668"/>
      <c r="K414" s="667"/>
      <c r="L414" s="668"/>
      <c r="M414" s="352" t="s">
        <v>35</v>
      </c>
    </row>
    <row r="415" spans="1:13" x14ac:dyDescent="0.35">
      <c r="A415" s="352">
        <v>414</v>
      </c>
      <c r="B415" s="704" t="s">
        <v>576</v>
      </c>
      <c r="C415" s="668"/>
      <c r="D415" s="668"/>
      <c r="E415" s="668"/>
      <c r="F415" s="668"/>
      <c r="G415" s="668"/>
      <c r="H415" s="668"/>
      <c r="I415" s="668"/>
      <c r="J415" s="668"/>
      <c r="K415" s="668"/>
      <c r="L415" s="668"/>
      <c r="M415" s="352" t="s">
        <v>35</v>
      </c>
    </row>
    <row r="416" spans="1:13" x14ac:dyDescent="0.35">
      <c r="A416" s="352">
        <v>415</v>
      </c>
      <c r="B416" s="850" t="s">
        <v>584</v>
      </c>
      <c r="C416" s="844">
        <v>3957</v>
      </c>
      <c r="D416" s="845">
        <v>600</v>
      </c>
      <c r="E416" s="844">
        <v>1597</v>
      </c>
      <c r="F416" s="844">
        <v>2393</v>
      </c>
      <c r="G416" s="845"/>
      <c r="H416" s="845"/>
      <c r="I416" s="845"/>
      <c r="J416" s="845">
        <v>78</v>
      </c>
      <c r="K416" s="844">
        <v>2661</v>
      </c>
      <c r="L416" s="844">
        <v>1218</v>
      </c>
      <c r="M416" s="352" t="s">
        <v>36</v>
      </c>
    </row>
    <row r="417" spans="1:13" x14ac:dyDescent="0.35">
      <c r="A417" s="352">
        <v>416</v>
      </c>
      <c r="B417" s="850" t="s">
        <v>585</v>
      </c>
      <c r="C417" s="844">
        <v>1880</v>
      </c>
      <c r="D417" s="845">
        <v>600</v>
      </c>
      <c r="E417" s="845">
        <v>322</v>
      </c>
      <c r="F417" s="844">
        <v>2559</v>
      </c>
      <c r="G417" s="845"/>
      <c r="H417" s="845"/>
      <c r="I417" s="845"/>
      <c r="J417" s="845">
        <v>131</v>
      </c>
      <c r="K417" s="845">
        <v>536</v>
      </c>
      <c r="L417" s="844">
        <v>1213</v>
      </c>
      <c r="M417" s="352" t="s">
        <v>36</v>
      </c>
    </row>
    <row r="418" spans="1:13" x14ac:dyDescent="0.35">
      <c r="A418" s="352">
        <v>417</v>
      </c>
      <c r="B418" s="850" t="s">
        <v>587</v>
      </c>
      <c r="C418" s="844">
        <v>1458</v>
      </c>
      <c r="D418" s="844">
        <v>1197</v>
      </c>
      <c r="E418" s="845">
        <v>694</v>
      </c>
      <c r="F418" s="845">
        <v>903</v>
      </c>
      <c r="G418" s="845"/>
      <c r="H418" s="845"/>
      <c r="I418" s="845"/>
      <c r="J418" s="845">
        <v>385</v>
      </c>
      <c r="K418" s="845">
        <v>580</v>
      </c>
      <c r="L418" s="845">
        <v>493</v>
      </c>
      <c r="M418" s="352" t="s">
        <v>36</v>
      </c>
    </row>
    <row r="419" spans="1:13" x14ac:dyDescent="0.35">
      <c r="A419" s="352">
        <v>418</v>
      </c>
      <c r="B419" s="850" t="s">
        <v>593</v>
      </c>
      <c r="C419" s="844">
        <v>1281</v>
      </c>
      <c r="D419" s="845">
        <v>562</v>
      </c>
      <c r="E419" s="845">
        <v>285</v>
      </c>
      <c r="F419" s="845">
        <v>871</v>
      </c>
      <c r="G419" s="845"/>
      <c r="H419" s="845"/>
      <c r="I419" s="845"/>
      <c r="J419" s="845">
        <v>233</v>
      </c>
      <c r="K419" s="845">
        <v>507</v>
      </c>
      <c r="L419" s="845">
        <v>541</v>
      </c>
      <c r="M419" s="352" t="s">
        <v>36</v>
      </c>
    </row>
    <row r="420" spans="1:13" x14ac:dyDescent="0.35">
      <c r="A420" s="352">
        <v>419</v>
      </c>
      <c r="B420" s="850" t="s">
        <v>586</v>
      </c>
      <c r="C420" s="845">
        <v>977</v>
      </c>
      <c r="D420" s="845">
        <v>601</v>
      </c>
      <c r="E420" s="845">
        <v>207</v>
      </c>
      <c r="F420" s="844">
        <v>1235</v>
      </c>
      <c r="G420" s="845"/>
      <c r="H420" s="845"/>
      <c r="I420" s="845"/>
      <c r="J420" s="845">
        <v>76</v>
      </c>
      <c r="K420" s="845">
        <v>344</v>
      </c>
      <c r="L420" s="845">
        <v>557</v>
      </c>
      <c r="M420" s="352" t="s">
        <v>36</v>
      </c>
    </row>
    <row r="421" spans="1:13" x14ac:dyDescent="0.35">
      <c r="A421" s="352">
        <v>420</v>
      </c>
      <c r="B421" s="850" t="s">
        <v>589</v>
      </c>
      <c r="C421" s="845">
        <v>570</v>
      </c>
      <c r="D421" s="845">
        <v>601</v>
      </c>
      <c r="E421" s="845">
        <v>111</v>
      </c>
      <c r="F421" s="845">
        <v>346</v>
      </c>
      <c r="G421" s="845"/>
      <c r="H421" s="845"/>
      <c r="I421" s="845"/>
      <c r="J421" s="845">
        <v>265</v>
      </c>
      <c r="K421" s="845">
        <v>184</v>
      </c>
      <c r="L421" s="845">
        <v>121</v>
      </c>
      <c r="M421" s="352" t="s">
        <v>36</v>
      </c>
    </row>
    <row r="422" spans="1:13" x14ac:dyDescent="0.35">
      <c r="A422" s="352">
        <v>421</v>
      </c>
      <c r="B422" s="850" t="s">
        <v>588</v>
      </c>
      <c r="C422" s="845">
        <v>293</v>
      </c>
      <c r="D422" s="845">
        <v>600</v>
      </c>
      <c r="E422" s="845">
        <v>103</v>
      </c>
      <c r="F422" s="845">
        <v>350</v>
      </c>
      <c r="G422" s="845"/>
      <c r="H422" s="845"/>
      <c r="I422" s="845"/>
      <c r="J422" s="845">
        <v>43</v>
      </c>
      <c r="K422" s="845">
        <v>172</v>
      </c>
      <c r="L422" s="845">
        <v>78</v>
      </c>
      <c r="M422" s="352" t="s">
        <v>36</v>
      </c>
    </row>
    <row r="423" spans="1:13" x14ac:dyDescent="0.35">
      <c r="A423" s="352">
        <v>422</v>
      </c>
      <c r="B423" s="850" t="s">
        <v>1324</v>
      </c>
      <c r="C423" s="845">
        <v>112</v>
      </c>
      <c r="D423" s="845">
        <v>331</v>
      </c>
      <c r="E423" s="845">
        <v>9</v>
      </c>
      <c r="F423" s="845">
        <v>157</v>
      </c>
      <c r="G423" s="845"/>
      <c r="H423" s="845"/>
      <c r="I423" s="845"/>
      <c r="J423" s="845"/>
      <c r="K423" s="845">
        <v>27</v>
      </c>
      <c r="L423" s="845">
        <v>85</v>
      </c>
      <c r="M423" s="352" t="s">
        <v>36</v>
      </c>
    </row>
    <row r="424" spans="1:13" x14ac:dyDescent="0.35">
      <c r="A424" s="352">
        <v>423</v>
      </c>
      <c r="B424" s="850" t="s">
        <v>591</v>
      </c>
      <c r="C424" s="845">
        <v>79</v>
      </c>
      <c r="D424" s="845">
        <v>86</v>
      </c>
      <c r="E424" s="845">
        <v>5</v>
      </c>
      <c r="F424" s="845">
        <v>226</v>
      </c>
      <c r="G424" s="845"/>
      <c r="H424" s="845"/>
      <c r="I424" s="845"/>
      <c r="J424" s="845"/>
      <c r="K424" s="845">
        <v>54</v>
      </c>
      <c r="L424" s="845">
        <v>25</v>
      </c>
      <c r="M424" s="352" t="s">
        <v>36</v>
      </c>
    </row>
    <row r="425" spans="1:13" x14ac:dyDescent="0.35">
      <c r="A425" s="352">
        <v>424</v>
      </c>
      <c r="B425" s="850" t="s">
        <v>592</v>
      </c>
      <c r="C425" s="845">
        <v>37</v>
      </c>
      <c r="D425" s="844">
        <v>1414</v>
      </c>
      <c r="E425" s="845">
        <v>7</v>
      </c>
      <c r="F425" s="845">
        <v>47</v>
      </c>
      <c r="G425" s="845"/>
      <c r="H425" s="845"/>
      <c r="I425" s="845"/>
      <c r="J425" s="845">
        <v>29</v>
      </c>
      <c r="K425" s="845">
        <v>5</v>
      </c>
      <c r="L425" s="845">
        <v>3</v>
      </c>
      <c r="M425" s="352" t="s">
        <v>36</v>
      </c>
    </row>
    <row r="426" spans="1:13" x14ac:dyDescent="0.35">
      <c r="A426" s="352">
        <v>425</v>
      </c>
      <c r="B426" s="850" t="s">
        <v>594</v>
      </c>
      <c r="C426" s="845">
        <v>18</v>
      </c>
      <c r="D426" s="845">
        <v>100</v>
      </c>
      <c r="E426" s="845">
        <v>0</v>
      </c>
      <c r="F426" s="845">
        <v>15</v>
      </c>
      <c r="G426" s="845"/>
      <c r="H426" s="845"/>
      <c r="I426" s="845"/>
      <c r="J426" s="845">
        <v>12</v>
      </c>
      <c r="K426" s="845">
        <v>3</v>
      </c>
      <c r="L426" s="845">
        <v>3</v>
      </c>
      <c r="M426" s="352" t="s">
        <v>36</v>
      </c>
    </row>
  </sheetData>
  <sortState xmlns:xlrd2="http://schemas.microsoft.com/office/spreadsheetml/2017/richdata2" ref="B417:L426">
    <sortCondition descending="1" ref="C417:C426"/>
    <sortCondition descending="1" ref="E417:E426"/>
    <sortCondition descending="1" ref="K417:K42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D80-3175-49B7-806A-338D698899A3}">
  <dimension ref="A1:L40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0.453125" customWidth="1"/>
    <col min="3" max="3" width="19.453125" customWidth="1"/>
    <col min="4" max="4" width="15.81640625" customWidth="1"/>
    <col min="5" max="5" width="14.7265625" customWidth="1"/>
    <col min="6" max="6" width="22.453125" customWidth="1"/>
    <col min="7" max="7" width="26.54296875" customWidth="1"/>
    <col min="8" max="8" width="27.54296875" customWidth="1"/>
    <col min="9" max="9" width="28.54296875" customWidth="1"/>
    <col min="10" max="10" width="16.26953125" customWidth="1"/>
    <col min="11" max="11" width="16.54296875" customWidth="1"/>
    <col min="12" max="12" width="16.81640625" customWidth="1"/>
  </cols>
  <sheetData>
    <row r="1" spans="1:12" ht="29" x14ac:dyDescent="0.35">
      <c r="A1" s="1" t="s">
        <v>0</v>
      </c>
      <c r="B1" s="2" t="s">
        <v>1</v>
      </c>
      <c r="C1" s="15" t="s">
        <v>43</v>
      </c>
      <c r="D1" s="15" t="s">
        <v>44</v>
      </c>
      <c r="E1" s="15" t="s">
        <v>45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74">
        <v>103390</v>
      </c>
      <c r="D2" s="770">
        <v>763</v>
      </c>
      <c r="E2" s="770">
        <v>31813</v>
      </c>
      <c r="F2" s="766">
        <v>130226</v>
      </c>
      <c r="G2" s="782">
        <v>103316</v>
      </c>
      <c r="H2" s="766"/>
      <c r="I2" s="766">
        <v>74</v>
      </c>
      <c r="J2" s="766">
        <v>33282</v>
      </c>
      <c r="K2" s="766">
        <v>41691</v>
      </c>
      <c r="L2" s="766">
        <v>28417</v>
      </c>
    </row>
    <row r="3" spans="1:12" x14ac:dyDescent="0.35">
      <c r="A3" s="4">
        <v>2</v>
      </c>
      <c r="B3" s="9" t="s">
        <v>3</v>
      </c>
      <c r="C3" s="774">
        <v>68281</v>
      </c>
      <c r="D3" s="770">
        <v>1020</v>
      </c>
      <c r="E3" s="770">
        <v>25114</v>
      </c>
      <c r="F3" s="766">
        <v>74341</v>
      </c>
      <c r="G3" s="783">
        <v>65437</v>
      </c>
      <c r="H3" s="766">
        <v>270</v>
      </c>
      <c r="I3" s="766">
        <v>2574</v>
      </c>
      <c r="J3" s="766">
        <v>16506</v>
      </c>
      <c r="K3" s="766">
        <v>24611</v>
      </c>
      <c r="L3" s="766">
        <v>27164</v>
      </c>
    </row>
    <row r="4" spans="1:12" x14ac:dyDescent="0.35">
      <c r="A4" s="4">
        <v>3</v>
      </c>
      <c r="B4" s="9" t="s">
        <v>4</v>
      </c>
      <c r="C4" s="774">
        <v>157856</v>
      </c>
      <c r="D4" s="770">
        <v>866</v>
      </c>
      <c r="E4" s="770">
        <v>52153</v>
      </c>
      <c r="F4" s="766">
        <v>121451</v>
      </c>
      <c r="G4" s="783">
        <v>155807</v>
      </c>
      <c r="H4" s="766"/>
      <c r="I4" s="766">
        <v>2409</v>
      </c>
      <c r="J4" s="766">
        <v>56074</v>
      </c>
      <c r="K4" s="766">
        <v>60239</v>
      </c>
      <c r="L4" s="766">
        <v>41544</v>
      </c>
    </row>
    <row r="5" spans="1:12" x14ac:dyDescent="0.35">
      <c r="A5" s="4">
        <v>4</v>
      </c>
      <c r="B5" s="9" t="s">
        <v>5</v>
      </c>
      <c r="C5" s="774">
        <v>6581</v>
      </c>
      <c r="D5" s="770">
        <v>610</v>
      </c>
      <c r="E5" s="770">
        <v>2294</v>
      </c>
      <c r="F5" s="766">
        <v>14135</v>
      </c>
      <c r="G5" s="783">
        <v>4620</v>
      </c>
      <c r="H5" s="766"/>
      <c r="I5" s="766">
        <v>1961</v>
      </c>
      <c r="J5" s="766">
        <v>1710</v>
      </c>
      <c r="K5" s="766">
        <v>3762</v>
      </c>
      <c r="L5" s="766">
        <v>1109</v>
      </c>
    </row>
    <row r="6" spans="1:12" x14ac:dyDescent="0.35">
      <c r="A6" s="4">
        <v>5</v>
      </c>
      <c r="B6" s="9" t="s">
        <v>6</v>
      </c>
      <c r="C6" s="774">
        <v>45</v>
      </c>
      <c r="D6" s="770">
        <v>329</v>
      </c>
      <c r="E6" s="770">
        <v>2</v>
      </c>
      <c r="F6" s="766">
        <v>231</v>
      </c>
      <c r="G6" s="782">
        <v>45</v>
      </c>
      <c r="H6" s="766"/>
      <c r="I6" s="766"/>
      <c r="J6" s="766">
        <v>37</v>
      </c>
      <c r="K6" s="766">
        <v>5</v>
      </c>
      <c r="L6" s="766">
        <v>3</v>
      </c>
    </row>
    <row r="7" spans="1:12" x14ac:dyDescent="0.35">
      <c r="A7" s="4">
        <v>6</v>
      </c>
      <c r="B7" s="9" t="s">
        <v>7</v>
      </c>
      <c r="C7" s="774">
        <v>2354</v>
      </c>
      <c r="D7" s="770">
        <v>592</v>
      </c>
      <c r="E7" s="770">
        <v>520</v>
      </c>
      <c r="F7" s="766">
        <v>5895</v>
      </c>
      <c r="G7" s="782">
        <v>2354</v>
      </c>
      <c r="H7" s="766"/>
      <c r="I7" s="766"/>
      <c r="J7" s="766">
        <v>936</v>
      </c>
      <c r="K7" s="766">
        <v>879</v>
      </c>
      <c r="L7" s="766">
        <v>539</v>
      </c>
    </row>
    <row r="8" spans="1:12" x14ac:dyDescent="0.35">
      <c r="A8" s="4">
        <v>7</v>
      </c>
      <c r="B8" s="9" t="s">
        <v>8</v>
      </c>
      <c r="C8" s="774">
        <v>10846</v>
      </c>
      <c r="D8" s="770">
        <v>843</v>
      </c>
      <c r="E8" s="770">
        <v>3287</v>
      </c>
      <c r="F8" s="766">
        <v>12120</v>
      </c>
      <c r="G8" s="782">
        <v>10846</v>
      </c>
      <c r="H8" s="766"/>
      <c r="I8" s="766"/>
      <c r="J8" s="766">
        <v>5150</v>
      </c>
      <c r="K8" s="766">
        <v>3900</v>
      </c>
      <c r="L8" s="766">
        <v>1796</v>
      </c>
    </row>
    <row r="9" spans="1:12" x14ac:dyDescent="0.35">
      <c r="A9" s="4">
        <v>8</v>
      </c>
      <c r="B9" s="9" t="s">
        <v>9</v>
      </c>
      <c r="C9" s="774">
        <v>768</v>
      </c>
      <c r="D9" s="770">
        <v>740</v>
      </c>
      <c r="E9" s="770">
        <v>199</v>
      </c>
      <c r="F9" s="766">
        <v>735</v>
      </c>
      <c r="G9" s="782">
        <v>768</v>
      </c>
      <c r="H9" s="766"/>
      <c r="I9" s="766"/>
      <c r="J9" s="766">
        <v>340</v>
      </c>
      <c r="K9" s="766">
        <v>268</v>
      </c>
      <c r="L9" s="766">
        <v>159</v>
      </c>
    </row>
    <row r="10" spans="1:12" x14ac:dyDescent="0.35">
      <c r="A10" s="4">
        <v>9</v>
      </c>
      <c r="B10" s="9" t="s">
        <v>10</v>
      </c>
      <c r="C10" s="774">
        <v>12909</v>
      </c>
      <c r="D10" s="770">
        <v>761</v>
      </c>
      <c r="E10" s="770">
        <v>4272</v>
      </c>
      <c r="F10" s="766">
        <v>20196</v>
      </c>
      <c r="G10" s="782">
        <v>12909</v>
      </c>
      <c r="H10" s="766"/>
      <c r="I10" s="766"/>
      <c r="J10" s="766">
        <v>3722</v>
      </c>
      <c r="K10" s="766">
        <v>5615</v>
      </c>
      <c r="L10" s="766">
        <v>3572</v>
      </c>
    </row>
    <row r="11" spans="1:12" x14ac:dyDescent="0.35">
      <c r="A11" s="4">
        <v>10</v>
      </c>
      <c r="B11" s="9" t="s">
        <v>11</v>
      </c>
      <c r="C11" s="774">
        <v>73151</v>
      </c>
      <c r="D11" s="770">
        <v>862</v>
      </c>
      <c r="E11" s="770">
        <v>34809</v>
      </c>
      <c r="F11" s="766">
        <v>115284</v>
      </c>
      <c r="G11" s="783"/>
      <c r="H11" s="766"/>
      <c r="I11" s="766">
        <v>432</v>
      </c>
      <c r="J11" s="766">
        <v>11435</v>
      </c>
      <c r="K11" s="766">
        <v>40360</v>
      </c>
      <c r="L11" s="766">
        <v>21356</v>
      </c>
    </row>
    <row r="12" spans="1:12" s="108" customFormat="1" x14ac:dyDescent="0.35">
      <c r="A12" s="102">
        <v>11</v>
      </c>
      <c r="B12" s="103" t="s">
        <v>12</v>
      </c>
      <c r="C12" s="771"/>
      <c r="D12" s="784"/>
      <c r="E12" s="772"/>
      <c r="F12" s="767"/>
      <c r="G12" s="768"/>
      <c r="H12" s="768"/>
      <c r="I12" s="768"/>
      <c r="J12" s="768"/>
      <c r="K12" s="768"/>
      <c r="L12" s="768"/>
    </row>
    <row r="13" spans="1:12" x14ac:dyDescent="0.35">
      <c r="A13" s="4">
        <v>12</v>
      </c>
      <c r="B13" s="9" t="s">
        <v>14</v>
      </c>
      <c r="C13" s="774">
        <v>8476</v>
      </c>
      <c r="D13" s="770">
        <v>526</v>
      </c>
      <c r="E13" s="770">
        <v>2306</v>
      </c>
      <c r="F13" s="766">
        <v>18479</v>
      </c>
      <c r="G13" s="783">
        <v>5784</v>
      </c>
      <c r="H13" s="766"/>
      <c r="I13" s="766">
        <v>2692</v>
      </c>
      <c r="J13" s="766">
        <v>2052</v>
      </c>
      <c r="K13" s="766">
        <v>4384</v>
      </c>
      <c r="L13" s="766">
        <v>2040</v>
      </c>
    </row>
    <row r="14" spans="1:12" x14ac:dyDescent="0.35">
      <c r="A14" s="4">
        <v>13</v>
      </c>
      <c r="B14" s="9" t="s">
        <v>15</v>
      </c>
      <c r="C14" s="774">
        <v>8140</v>
      </c>
      <c r="D14" s="770">
        <v>746</v>
      </c>
      <c r="E14" s="770">
        <v>2378</v>
      </c>
      <c r="F14" s="766">
        <v>4979</v>
      </c>
      <c r="G14" s="783">
        <v>7697</v>
      </c>
      <c r="H14" s="766"/>
      <c r="I14" s="766">
        <v>443</v>
      </c>
      <c r="J14" s="766">
        <v>2891</v>
      </c>
      <c r="K14" s="766">
        <v>3188</v>
      </c>
      <c r="L14" s="766">
        <v>2061</v>
      </c>
    </row>
    <row r="15" spans="1:12" x14ac:dyDescent="0.35">
      <c r="A15" s="4">
        <v>14</v>
      </c>
      <c r="B15" s="9" t="s">
        <v>16</v>
      </c>
      <c r="C15" s="774">
        <v>7292</v>
      </c>
      <c r="D15" s="770">
        <v>487</v>
      </c>
      <c r="E15" s="770">
        <v>1604</v>
      </c>
      <c r="F15" s="766">
        <v>23833</v>
      </c>
      <c r="G15" s="783">
        <v>6299</v>
      </c>
      <c r="H15" s="766">
        <v>106</v>
      </c>
      <c r="I15" s="766">
        <v>887</v>
      </c>
      <c r="J15" s="766">
        <v>2789</v>
      </c>
      <c r="K15" s="766">
        <v>3292</v>
      </c>
      <c r="L15" s="766">
        <v>1211</v>
      </c>
    </row>
    <row r="16" spans="1:12" x14ac:dyDescent="0.35">
      <c r="A16" s="4">
        <v>15</v>
      </c>
      <c r="B16" s="9" t="s">
        <v>17</v>
      </c>
      <c r="C16" s="774">
        <v>5161</v>
      </c>
      <c r="D16" s="770">
        <v>507</v>
      </c>
      <c r="E16" s="770">
        <v>1191</v>
      </c>
      <c r="F16" s="766">
        <v>28271</v>
      </c>
      <c r="G16" s="783">
        <v>5161</v>
      </c>
      <c r="H16" s="766"/>
      <c r="I16" s="766"/>
      <c r="J16" s="766">
        <v>1855</v>
      </c>
      <c r="K16" s="766">
        <v>2350</v>
      </c>
      <c r="L16" s="766">
        <v>956</v>
      </c>
    </row>
    <row r="17" spans="1:12" x14ac:dyDescent="0.35">
      <c r="A17" s="4">
        <v>16</v>
      </c>
      <c r="B17" s="9" t="s">
        <v>18</v>
      </c>
      <c r="C17" s="774">
        <v>57877</v>
      </c>
      <c r="D17" s="770">
        <v>910</v>
      </c>
      <c r="E17" s="770">
        <v>27384</v>
      </c>
      <c r="F17" s="766">
        <v>96799</v>
      </c>
      <c r="G17" s="783">
        <v>40957</v>
      </c>
      <c r="H17" s="766">
        <v>12313</v>
      </c>
      <c r="I17" s="766">
        <v>4607</v>
      </c>
      <c r="J17" s="766">
        <v>15106</v>
      </c>
      <c r="K17" s="766">
        <v>30082</v>
      </c>
      <c r="L17" s="766">
        <v>12689</v>
      </c>
    </row>
    <row r="18" spans="1:12" x14ac:dyDescent="0.35">
      <c r="A18" s="4">
        <v>17</v>
      </c>
      <c r="B18" s="9" t="s">
        <v>19</v>
      </c>
      <c r="C18" s="774">
        <v>14187</v>
      </c>
      <c r="D18" s="770">
        <v>620</v>
      </c>
      <c r="E18" s="770">
        <v>4616</v>
      </c>
      <c r="F18" s="766">
        <v>56599</v>
      </c>
      <c r="G18" s="783">
        <v>14141</v>
      </c>
      <c r="H18" s="766"/>
      <c r="I18" s="766">
        <v>46</v>
      </c>
      <c r="J18" s="766">
        <v>2242</v>
      </c>
      <c r="K18" s="766">
        <v>7442</v>
      </c>
      <c r="L18" s="766">
        <v>4503</v>
      </c>
    </row>
    <row r="19" spans="1:12" x14ac:dyDescent="0.35">
      <c r="A19" s="4">
        <v>18</v>
      </c>
      <c r="B19" s="9" t="s">
        <v>20</v>
      </c>
      <c r="C19" s="774">
        <v>8388</v>
      </c>
      <c r="D19" s="770">
        <v>491</v>
      </c>
      <c r="E19" s="770">
        <v>1562</v>
      </c>
      <c r="F19" s="766">
        <v>9517</v>
      </c>
      <c r="G19" s="783">
        <v>8388</v>
      </c>
      <c r="H19" s="766"/>
      <c r="I19" s="766"/>
      <c r="J19" s="766">
        <v>3172</v>
      </c>
      <c r="K19" s="766">
        <v>3183</v>
      </c>
      <c r="L19" s="766">
        <v>2044</v>
      </c>
    </row>
    <row r="20" spans="1:12" x14ac:dyDescent="0.35">
      <c r="A20" s="4">
        <v>19</v>
      </c>
      <c r="B20" s="9" t="s">
        <v>21</v>
      </c>
      <c r="C20" s="774">
        <v>57651</v>
      </c>
      <c r="D20" s="770">
        <v>636</v>
      </c>
      <c r="E20" s="770">
        <v>14553</v>
      </c>
      <c r="F20" s="766">
        <v>84689</v>
      </c>
      <c r="G20" s="783">
        <v>56576</v>
      </c>
      <c r="H20" s="766"/>
      <c r="I20" s="766">
        <v>1075</v>
      </c>
      <c r="J20" s="766">
        <v>21317</v>
      </c>
      <c r="K20" s="766">
        <v>22873</v>
      </c>
      <c r="L20" s="766">
        <v>13461</v>
      </c>
    </row>
    <row r="21" spans="1:12" x14ac:dyDescent="0.35">
      <c r="A21" s="4">
        <v>20</v>
      </c>
      <c r="B21" s="9" t="s">
        <v>22</v>
      </c>
      <c r="C21" s="774">
        <v>11301</v>
      </c>
      <c r="D21" s="770">
        <v>489</v>
      </c>
      <c r="E21" s="770">
        <v>1866</v>
      </c>
      <c r="F21" s="766">
        <v>12158</v>
      </c>
      <c r="G21" s="783">
        <v>11301</v>
      </c>
      <c r="H21" s="766"/>
      <c r="I21" s="766"/>
      <c r="J21" s="766">
        <v>4809</v>
      </c>
      <c r="K21" s="766">
        <v>3817</v>
      </c>
      <c r="L21" s="766">
        <v>2675</v>
      </c>
    </row>
    <row r="22" spans="1:12" x14ac:dyDescent="0.35">
      <c r="A22" s="4">
        <v>21</v>
      </c>
      <c r="B22" s="9" t="s">
        <v>23</v>
      </c>
      <c r="C22" s="774">
        <v>1912</v>
      </c>
      <c r="D22" s="770">
        <v>545</v>
      </c>
      <c r="E22" s="770">
        <v>576</v>
      </c>
      <c r="F22" s="766">
        <v>1725</v>
      </c>
      <c r="G22" s="783">
        <v>1912</v>
      </c>
      <c r="H22" s="766"/>
      <c r="I22" s="766"/>
      <c r="J22" s="766">
        <v>426</v>
      </c>
      <c r="K22" s="766">
        <v>1058</v>
      </c>
      <c r="L22" s="766">
        <v>428</v>
      </c>
    </row>
    <row r="23" spans="1:12" x14ac:dyDescent="0.35">
      <c r="A23" s="4">
        <v>22</v>
      </c>
      <c r="B23" s="9" t="s">
        <v>24</v>
      </c>
      <c r="C23" s="774">
        <v>558</v>
      </c>
      <c r="D23" s="770">
        <v>331</v>
      </c>
      <c r="E23" s="770">
        <v>67</v>
      </c>
      <c r="F23" s="766">
        <v>867</v>
      </c>
      <c r="G23" s="783">
        <v>558</v>
      </c>
      <c r="H23" s="766"/>
      <c r="I23" s="766"/>
      <c r="J23" s="766">
        <v>150</v>
      </c>
      <c r="K23" s="766">
        <v>202</v>
      </c>
      <c r="L23" s="766">
        <v>206</v>
      </c>
    </row>
    <row r="24" spans="1:12" x14ac:dyDescent="0.35">
      <c r="A24" s="4">
        <v>23</v>
      </c>
      <c r="B24" s="9" t="s">
        <v>25</v>
      </c>
      <c r="C24" s="774">
        <v>7929</v>
      </c>
      <c r="D24" s="770">
        <v>552</v>
      </c>
      <c r="E24" s="770">
        <v>2036</v>
      </c>
      <c r="F24" s="766">
        <v>5520</v>
      </c>
      <c r="G24" s="783">
        <v>7929</v>
      </c>
      <c r="H24" s="766"/>
      <c r="I24" s="766"/>
      <c r="J24" s="766">
        <v>1886</v>
      </c>
      <c r="K24" s="766">
        <v>3687</v>
      </c>
      <c r="L24" s="766">
        <v>2356</v>
      </c>
    </row>
    <row r="25" spans="1:12" x14ac:dyDescent="0.35">
      <c r="A25" s="4">
        <v>24</v>
      </c>
      <c r="B25" s="9" t="s">
        <v>26</v>
      </c>
      <c r="C25" s="774">
        <v>7168</v>
      </c>
      <c r="D25" s="770">
        <v>1053</v>
      </c>
      <c r="E25" s="770">
        <v>4253</v>
      </c>
      <c r="F25" s="766">
        <v>4641</v>
      </c>
      <c r="G25" s="783">
        <v>7168</v>
      </c>
      <c r="H25" s="766"/>
      <c r="I25" s="766"/>
      <c r="J25" s="766">
        <v>1325</v>
      </c>
      <c r="K25" s="766">
        <v>4039</v>
      </c>
      <c r="L25" s="766">
        <v>1804</v>
      </c>
    </row>
    <row r="26" spans="1:12" x14ac:dyDescent="0.35">
      <c r="A26" s="4">
        <v>25</v>
      </c>
      <c r="B26" s="9" t="s">
        <v>27</v>
      </c>
      <c r="C26" s="774">
        <v>17113</v>
      </c>
      <c r="D26" s="770">
        <v>752</v>
      </c>
      <c r="E26" s="770">
        <v>4143</v>
      </c>
      <c r="F26" s="766">
        <v>19907</v>
      </c>
      <c r="G26" s="783">
        <v>16720</v>
      </c>
      <c r="H26" s="766">
        <v>50</v>
      </c>
      <c r="I26" s="766">
        <v>344</v>
      </c>
      <c r="J26" s="766">
        <v>6850</v>
      </c>
      <c r="K26" s="766">
        <v>5509</v>
      </c>
      <c r="L26" s="766">
        <v>4755</v>
      </c>
    </row>
    <row r="27" spans="1:12" x14ac:dyDescent="0.35">
      <c r="A27" s="4">
        <v>26</v>
      </c>
      <c r="B27" s="9" t="s">
        <v>28</v>
      </c>
      <c r="C27" s="774">
        <v>15107</v>
      </c>
      <c r="D27" s="770">
        <v>909</v>
      </c>
      <c r="E27" s="770">
        <v>3563</v>
      </c>
      <c r="F27" s="766">
        <v>15457</v>
      </c>
      <c r="G27" s="783">
        <v>15107</v>
      </c>
      <c r="H27" s="766"/>
      <c r="I27" s="766"/>
      <c r="J27" s="766">
        <v>9151</v>
      </c>
      <c r="K27" s="766">
        <v>3919</v>
      </c>
      <c r="L27" s="766">
        <v>2037</v>
      </c>
    </row>
    <row r="28" spans="1:12" x14ac:dyDescent="0.35">
      <c r="A28" s="4">
        <v>27</v>
      </c>
      <c r="B28" s="9" t="s">
        <v>29</v>
      </c>
      <c r="C28" s="774">
        <v>289198</v>
      </c>
      <c r="D28" s="770">
        <v>843</v>
      </c>
      <c r="E28" s="770">
        <v>124921</v>
      </c>
      <c r="F28" s="766">
        <v>181369</v>
      </c>
      <c r="G28" s="783">
        <v>289194</v>
      </c>
      <c r="H28" s="766"/>
      <c r="I28" s="766">
        <v>4</v>
      </c>
      <c r="J28" s="766">
        <v>54535</v>
      </c>
      <c r="K28" s="766">
        <v>148235</v>
      </c>
      <c r="L28" s="766">
        <v>86428</v>
      </c>
    </row>
    <row r="29" spans="1:12" x14ac:dyDescent="0.35">
      <c r="A29" s="4">
        <v>28</v>
      </c>
      <c r="B29" s="9" t="s">
        <v>30</v>
      </c>
      <c r="C29" s="774">
        <v>249159</v>
      </c>
      <c r="D29" s="770">
        <v>865</v>
      </c>
      <c r="E29" s="770">
        <v>114276</v>
      </c>
      <c r="F29" s="766">
        <v>267486</v>
      </c>
      <c r="G29" s="783">
        <v>245207</v>
      </c>
      <c r="H29" s="766"/>
      <c r="I29" s="766">
        <v>3952</v>
      </c>
      <c r="J29" s="766">
        <v>25675</v>
      </c>
      <c r="K29" s="766">
        <v>132135</v>
      </c>
      <c r="L29" s="766">
        <v>91349</v>
      </c>
    </row>
    <row r="30" spans="1:12" x14ac:dyDescent="0.35">
      <c r="A30" s="4">
        <v>29</v>
      </c>
      <c r="B30" s="9" t="s">
        <v>31</v>
      </c>
      <c r="C30" s="774">
        <v>148730</v>
      </c>
      <c r="D30" s="770">
        <v>810</v>
      </c>
      <c r="E30" s="770">
        <v>61090</v>
      </c>
      <c r="F30" s="766">
        <v>136453</v>
      </c>
      <c r="G30" s="783">
        <v>148730</v>
      </c>
      <c r="H30" s="766"/>
      <c r="I30" s="766"/>
      <c r="J30" s="766">
        <v>19466</v>
      </c>
      <c r="K30" s="766">
        <v>75385</v>
      </c>
      <c r="L30" s="766">
        <v>53878</v>
      </c>
    </row>
    <row r="31" spans="1:12" x14ac:dyDescent="0.35">
      <c r="A31" s="4">
        <v>30</v>
      </c>
      <c r="B31" s="9" t="s">
        <v>32</v>
      </c>
      <c r="C31" s="774">
        <v>257582</v>
      </c>
      <c r="D31" s="770">
        <v>740</v>
      </c>
      <c r="E31" s="770">
        <v>101030</v>
      </c>
      <c r="F31" s="766">
        <v>165584</v>
      </c>
      <c r="G31" s="783">
        <v>257582</v>
      </c>
      <c r="H31" s="766"/>
      <c r="I31" s="766"/>
      <c r="J31" s="766">
        <v>36916</v>
      </c>
      <c r="K31" s="766">
        <v>136613</v>
      </c>
      <c r="L31" s="766">
        <v>84053</v>
      </c>
    </row>
    <row r="32" spans="1:12" x14ac:dyDescent="0.35">
      <c r="A32" s="4">
        <v>31</v>
      </c>
      <c r="B32" s="9" t="s">
        <v>33</v>
      </c>
      <c r="C32" s="774">
        <v>28229</v>
      </c>
      <c r="D32" s="770">
        <v>622</v>
      </c>
      <c r="E32" s="770">
        <v>8853</v>
      </c>
      <c r="F32" s="766">
        <v>33340</v>
      </c>
      <c r="G32" s="783">
        <v>24973</v>
      </c>
      <c r="H32" s="766">
        <v>2053</v>
      </c>
      <c r="I32" s="766">
        <v>1203</v>
      </c>
      <c r="J32" s="766">
        <v>5828</v>
      </c>
      <c r="K32" s="766">
        <v>14225</v>
      </c>
      <c r="L32" s="766">
        <v>8176</v>
      </c>
    </row>
    <row r="33" spans="1:12" x14ac:dyDescent="0.35">
      <c r="A33" s="4">
        <v>32</v>
      </c>
      <c r="B33" s="9" t="s">
        <v>34</v>
      </c>
      <c r="C33" s="774">
        <v>32552</v>
      </c>
      <c r="D33" s="770">
        <v>652</v>
      </c>
      <c r="E33" s="770">
        <v>8770</v>
      </c>
      <c r="F33" s="766">
        <v>24031</v>
      </c>
      <c r="G33" s="783">
        <v>32552</v>
      </c>
      <c r="H33" s="766"/>
      <c r="I33" s="766"/>
      <c r="J33" s="766">
        <v>10384</v>
      </c>
      <c r="K33" s="766">
        <v>13451</v>
      </c>
      <c r="L33" s="766">
        <v>8717</v>
      </c>
    </row>
    <row r="34" spans="1:12" x14ac:dyDescent="0.35">
      <c r="A34" s="4">
        <v>33</v>
      </c>
      <c r="B34" s="9" t="s">
        <v>35</v>
      </c>
      <c r="C34" s="774">
        <v>40223</v>
      </c>
      <c r="D34" s="770">
        <v>491</v>
      </c>
      <c r="E34" s="770">
        <v>9298</v>
      </c>
      <c r="F34" s="766">
        <v>30939</v>
      </c>
      <c r="G34" s="783">
        <v>35223</v>
      </c>
      <c r="H34" s="766"/>
      <c r="I34" s="766">
        <v>5000</v>
      </c>
      <c r="J34" s="766">
        <v>10644</v>
      </c>
      <c r="K34" s="766">
        <v>18933</v>
      </c>
      <c r="L34" s="766">
        <v>10646</v>
      </c>
    </row>
    <row r="35" spans="1:12" x14ac:dyDescent="0.35">
      <c r="A35" s="4">
        <v>34</v>
      </c>
      <c r="B35" s="9" t="s">
        <v>36</v>
      </c>
      <c r="C35" s="774">
        <v>10661</v>
      </c>
      <c r="D35" s="770">
        <v>658</v>
      </c>
      <c r="E35" s="785">
        <v>3599</v>
      </c>
      <c r="F35" s="766">
        <v>9102</v>
      </c>
      <c r="G35" s="783">
        <v>10661</v>
      </c>
      <c r="H35" s="766"/>
      <c r="I35" s="766"/>
      <c r="J35" s="766">
        <v>1252</v>
      </c>
      <c r="K35" s="766">
        <v>5468</v>
      </c>
      <c r="L35" s="766">
        <v>3941</v>
      </c>
    </row>
    <row r="36" spans="1:12" x14ac:dyDescent="0.35">
      <c r="B36" s="67" t="s">
        <v>105</v>
      </c>
      <c r="C36" s="786">
        <f>SUM(C2:C34)</f>
        <v>1710114</v>
      </c>
      <c r="D36" s="786">
        <f t="shared" ref="D36:L36" si="0">SUM(D2:D34)</f>
        <v>21963</v>
      </c>
      <c r="E36" s="786">
        <f t="shared" si="0"/>
        <v>654799</v>
      </c>
      <c r="F36" s="786">
        <f t="shared" si="0"/>
        <v>1717257</v>
      </c>
      <c r="G36" s="786">
        <f t="shared" si="0"/>
        <v>1595261</v>
      </c>
      <c r="H36" s="786">
        <f t="shared" si="0"/>
        <v>14792</v>
      </c>
      <c r="I36" s="786">
        <f t="shared" si="0"/>
        <v>27703</v>
      </c>
      <c r="J36" s="786">
        <f t="shared" si="0"/>
        <v>368661</v>
      </c>
      <c r="K36" s="786">
        <f t="shared" si="0"/>
        <v>819332</v>
      </c>
      <c r="L36" s="786">
        <f t="shared" si="0"/>
        <v>522132</v>
      </c>
    </row>
    <row r="40" spans="1:12" x14ac:dyDescent="0.35">
      <c r="L40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CA81-9D07-44FD-AC2F-E4AFA692C7BE}">
  <sheetPr>
    <tabColor rgb="FFFF0000"/>
  </sheetPr>
  <dimension ref="A1:M431"/>
  <sheetViews>
    <sheetView zoomScale="70" zoomScaleNormal="70" workbookViewId="0">
      <pane ySplit="1" topLeftCell="A401" activePane="bottomLeft" state="frozen"/>
      <selection pane="bottomLeft" activeCell="G415" sqref="G415"/>
    </sheetView>
  </sheetViews>
  <sheetFormatPr defaultRowHeight="14.5" x14ac:dyDescent="0.35"/>
  <cols>
    <col min="2" max="2" width="28.81640625" customWidth="1"/>
    <col min="3" max="3" width="22.54296875" customWidth="1"/>
    <col min="4" max="4" width="16.54296875" customWidth="1"/>
    <col min="5" max="5" width="17.54296875" customWidth="1"/>
    <col min="6" max="6" width="19.54296875" customWidth="1"/>
    <col min="7" max="7" width="26.1796875" customWidth="1"/>
    <col min="8" max="8" width="32.81640625" customWidth="1"/>
    <col min="9" max="9" width="23.81640625" customWidth="1"/>
    <col min="13" max="13" width="22.26953125" customWidth="1"/>
  </cols>
  <sheetData>
    <row r="1" spans="1:13" x14ac:dyDescent="0.35">
      <c r="A1" t="s">
        <v>0</v>
      </c>
      <c r="B1" t="s">
        <v>162</v>
      </c>
      <c r="C1" t="s">
        <v>43</v>
      </c>
      <c r="D1" t="s">
        <v>44</v>
      </c>
      <c r="E1" t="s">
        <v>45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13" x14ac:dyDescent="0.35">
      <c r="A2">
        <v>1</v>
      </c>
      <c r="B2" s="133" t="s">
        <v>178</v>
      </c>
      <c r="C2" s="866">
        <v>19886</v>
      </c>
      <c r="D2" s="866">
        <v>899</v>
      </c>
      <c r="E2" s="866">
        <v>6842</v>
      </c>
      <c r="F2" s="866">
        <v>21268</v>
      </c>
      <c r="G2" s="866"/>
      <c r="H2" s="866"/>
      <c r="I2" s="866"/>
      <c r="J2" s="866">
        <v>8180</v>
      </c>
      <c r="K2" s="866">
        <v>7609</v>
      </c>
      <c r="L2" s="866">
        <v>4097</v>
      </c>
      <c r="M2" s="352" t="s">
        <v>2</v>
      </c>
    </row>
    <row r="3" spans="1:13" x14ac:dyDescent="0.35">
      <c r="A3">
        <v>2</v>
      </c>
      <c r="B3" s="133" t="s">
        <v>170</v>
      </c>
      <c r="C3" s="866">
        <v>14780</v>
      </c>
      <c r="D3" s="866">
        <v>778</v>
      </c>
      <c r="E3" s="866">
        <v>4826</v>
      </c>
      <c r="F3" s="866">
        <v>16718</v>
      </c>
      <c r="G3" s="866"/>
      <c r="H3" s="866"/>
      <c r="I3" s="866"/>
      <c r="J3" s="866">
        <v>3886</v>
      </c>
      <c r="K3" s="866">
        <v>6204</v>
      </c>
      <c r="L3" s="866">
        <v>4690</v>
      </c>
      <c r="M3" s="352" t="s">
        <v>2</v>
      </c>
    </row>
    <row r="4" spans="1:13" x14ac:dyDescent="0.35">
      <c r="A4">
        <v>3</v>
      </c>
      <c r="B4" s="133" t="s">
        <v>175</v>
      </c>
      <c r="C4" s="866">
        <v>12760</v>
      </c>
      <c r="D4" s="866">
        <v>798</v>
      </c>
      <c r="E4" s="866">
        <v>5032</v>
      </c>
      <c r="F4" s="866">
        <v>11655</v>
      </c>
      <c r="G4" s="866"/>
      <c r="H4" s="866"/>
      <c r="I4" s="866"/>
      <c r="J4" s="866">
        <v>2961</v>
      </c>
      <c r="K4" s="866">
        <v>6304</v>
      </c>
      <c r="L4" s="866">
        <v>3495</v>
      </c>
      <c r="M4" s="352" t="s">
        <v>2</v>
      </c>
    </row>
    <row r="5" spans="1:13" x14ac:dyDescent="0.35">
      <c r="A5">
        <v>4</v>
      </c>
      <c r="B5" s="133" t="s">
        <v>169</v>
      </c>
      <c r="C5" s="866">
        <f>10376+74</f>
        <v>10450</v>
      </c>
      <c r="D5" s="866">
        <f>725+811</f>
        <v>1536</v>
      </c>
      <c r="E5" s="866">
        <f>3493+60</f>
        <v>3553</v>
      </c>
      <c r="F5" s="866">
        <f>12559+59</f>
        <v>12618</v>
      </c>
      <c r="G5" s="866"/>
      <c r="H5" s="866"/>
      <c r="I5" s="866"/>
      <c r="J5" s="866">
        <v>2538</v>
      </c>
      <c r="K5" s="866">
        <f>4820+74</f>
        <v>4894</v>
      </c>
      <c r="L5" s="866">
        <v>3018</v>
      </c>
      <c r="M5" s="352" t="s">
        <v>2</v>
      </c>
    </row>
    <row r="6" spans="1:13" x14ac:dyDescent="0.35">
      <c r="A6">
        <v>5</v>
      </c>
      <c r="B6" s="133" t="s">
        <v>173</v>
      </c>
      <c r="C6" s="866">
        <v>9213</v>
      </c>
      <c r="D6" s="866">
        <v>727</v>
      </c>
      <c r="E6" s="866">
        <v>2884</v>
      </c>
      <c r="F6" s="866">
        <v>18642</v>
      </c>
      <c r="G6" s="866"/>
      <c r="H6" s="866"/>
      <c r="I6" s="866"/>
      <c r="J6" s="866">
        <v>3245</v>
      </c>
      <c r="K6" s="866">
        <v>3968</v>
      </c>
      <c r="L6" s="866">
        <v>2000</v>
      </c>
      <c r="M6" s="352" t="s">
        <v>2</v>
      </c>
    </row>
    <row r="7" spans="1:13" x14ac:dyDescent="0.35">
      <c r="A7">
        <v>6</v>
      </c>
      <c r="B7" s="133" t="s">
        <v>171</v>
      </c>
      <c r="C7" s="866">
        <v>7370</v>
      </c>
      <c r="D7" s="866">
        <v>683</v>
      </c>
      <c r="E7" s="866">
        <v>2111</v>
      </c>
      <c r="F7" s="866">
        <v>11036</v>
      </c>
      <c r="G7" s="866"/>
      <c r="H7" s="866"/>
      <c r="I7" s="866"/>
      <c r="J7" s="866">
        <v>2681</v>
      </c>
      <c r="K7" s="866">
        <v>3090</v>
      </c>
      <c r="L7" s="866">
        <v>1536</v>
      </c>
      <c r="M7" s="352" t="s">
        <v>2</v>
      </c>
    </row>
    <row r="8" spans="1:13" x14ac:dyDescent="0.35">
      <c r="A8">
        <v>7</v>
      </c>
      <c r="B8" s="133" t="s">
        <v>182</v>
      </c>
      <c r="C8" s="866">
        <v>5312</v>
      </c>
      <c r="D8" s="866">
        <v>548</v>
      </c>
      <c r="E8" s="866">
        <v>763</v>
      </c>
      <c r="F8" s="866">
        <v>8532</v>
      </c>
      <c r="G8" s="866"/>
      <c r="H8" s="866"/>
      <c r="I8" s="866"/>
      <c r="J8" s="866">
        <v>8</v>
      </c>
      <c r="K8" s="866">
        <v>1392</v>
      </c>
      <c r="L8" s="866">
        <v>3912</v>
      </c>
      <c r="M8" s="352" t="s">
        <v>2</v>
      </c>
    </row>
    <row r="9" spans="1:13" x14ac:dyDescent="0.35">
      <c r="A9">
        <v>8</v>
      </c>
      <c r="B9" s="133" t="s">
        <v>179</v>
      </c>
      <c r="C9" s="866">
        <v>4626</v>
      </c>
      <c r="D9" s="866">
        <v>806</v>
      </c>
      <c r="E9" s="866">
        <v>1098</v>
      </c>
      <c r="F9" s="866">
        <v>4302</v>
      </c>
      <c r="G9" s="866"/>
      <c r="H9" s="866"/>
      <c r="I9" s="866"/>
      <c r="J9" s="866">
        <v>2748</v>
      </c>
      <c r="K9" s="866">
        <v>1363</v>
      </c>
      <c r="L9" s="866">
        <v>515</v>
      </c>
      <c r="M9" s="352" t="s">
        <v>2</v>
      </c>
    </row>
    <row r="10" spans="1:13" x14ac:dyDescent="0.35">
      <c r="A10">
        <v>9</v>
      </c>
      <c r="B10" s="133" t="s">
        <v>188</v>
      </c>
      <c r="C10" s="866">
        <v>3816</v>
      </c>
      <c r="D10" s="866">
        <v>686</v>
      </c>
      <c r="E10" s="866">
        <v>1754</v>
      </c>
      <c r="F10" s="866">
        <v>5223</v>
      </c>
      <c r="G10" s="866"/>
      <c r="H10" s="866"/>
      <c r="I10" s="866"/>
      <c r="J10" s="866">
        <v>200</v>
      </c>
      <c r="K10" s="866">
        <v>2558</v>
      </c>
      <c r="L10" s="866">
        <v>1058</v>
      </c>
      <c r="M10" s="352" t="s">
        <v>2</v>
      </c>
    </row>
    <row r="11" spans="1:13" x14ac:dyDescent="0.35">
      <c r="A11">
        <v>10</v>
      </c>
      <c r="B11" s="133" t="s">
        <v>214</v>
      </c>
      <c r="C11" s="866">
        <v>3375</v>
      </c>
      <c r="D11" s="866">
        <v>1019</v>
      </c>
      <c r="E11" s="866">
        <v>311</v>
      </c>
      <c r="F11" s="866">
        <v>3607</v>
      </c>
      <c r="G11" s="866"/>
      <c r="H11" s="866"/>
      <c r="I11" s="866"/>
      <c r="J11" s="866">
        <v>2834</v>
      </c>
      <c r="K11" s="866">
        <v>305</v>
      </c>
      <c r="L11" s="866">
        <v>236</v>
      </c>
      <c r="M11" s="352" t="s">
        <v>2</v>
      </c>
    </row>
    <row r="12" spans="1:13" x14ac:dyDescent="0.35">
      <c r="A12">
        <v>11</v>
      </c>
      <c r="B12" s="133" t="s">
        <v>183</v>
      </c>
      <c r="C12" s="866">
        <v>1924</v>
      </c>
      <c r="D12" s="866">
        <v>505</v>
      </c>
      <c r="E12" s="866">
        <v>201</v>
      </c>
      <c r="F12" s="866">
        <v>1405</v>
      </c>
      <c r="G12" s="866"/>
      <c r="H12" s="866"/>
      <c r="I12" s="866"/>
      <c r="J12" s="866">
        <v>745</v>
      </c>
      <c r="K12" s="866">
        <v>399</v>
      </c>
      <c r="L12" s="866">
        <v>780</v>
      </c>
      <c r="M12" s="352" t="s">
        <v>2</v>
      </c>
    </row>
    <row r="13" spans="1:13" x14ac:dyDescent="0.35">
      <c r="A13">
        <v>12</v>
      </c>
      <c r="B13" s="133" t="s">
        <v>177</v>
      </c>
      <c r="C13" s="866">
        <v>1770</v>
      </c>
      <c r="D13" s="866">
        <v>655</v>
      </c>
      <c r="E13" s="866">
        <v>517</v>
      </c>
      <c r="F13" s="866">
        <v>3568</v>
      </c>
      <c r="G13" s="866"/>
      <c r="H13" s="866"/>
      <c r="I13" s="866"/>
      <c r="J13" s="866">
        <v>489</v>
      </c>
      <c r="K13" s="866">
        <v>789</v>
      </c>
      <c r="L13" s="866">
        <v>492</v>
      </c>
      <c r="M13" s="352" t="s">
        <v>2</v>
      </c>
    </row>
    <row r="14" spans="1:13" x14ac:dyDescent="0.35">
      <c r="A14">
        <v>13</v>
      </c>
      <c r="B14" s="133" t="s">
        <v>185</v>
      </c>
      <c r="C14" s="866">
        <v>1586</v>
      </c>
      <c r="D14" s="866">
        <v>505</v>
      </c>
      <c r="E14" s="866">
        <v>317</v>
      </c>
      <c r="F14" s="866">
        <v>2885</v>
      </c>
      <c r="G14" s="866"/>
      <c r="H14" s="866"/>
      <c r="I14" s="866"/>
      <c r="J14" s="866">
        <v>546</v>
      </c>
      <c r="K14" s="866">
        <v>627</v>
      </c>
      <c r="L14" s="866">
        <v>413</v>
      </c>
      <c r="M14" s="352" t="s">
        <v>2</v>
      </c>
    </row>
    <row r="15" spans="1:13" x14ac:dyDescent="0.35">
      <c r="A15">
        <v>14</v>
      </c>
      <c r="B15" s="133" t="s">
        <v>187</v>
      </c>
      <c r="C15" s="866">
        <v>1331</v>
      </c>
      <c r="D15" s="866">
        <v>856</v>
      </c>
      <c r="E15" s="866">
        <v>360</v>
      </c>
      <c r="F15" s="866">
        <v>1754</v>
      </c>
      <c r="G15" s="866"/>
      <c r="H15" s="866"/>
      <c r="I15" s="866"/>
      <c r="J15" s="866">
        <v>762</v>
      </c>
      <c r="K15" s="866">
        <v>421</v>
      </c>
      <c r="L15" s="866">
        <v>148</v>
      </c>
      <c r="M15" s="352" t="s">
        <v>2</v>
      </c>
    </row>
    <row r="16" spans="1:13" x14ac:dyDescent="0.35">
      <c r="A16">
        <v>15</v>
      </c>
      <c r="B16" s="133" t="s">
        <v>180</v>
      </c>
      <c r="C16" s="866">
        <v>1167</v>
      </c>
      <c r="D16" s="866">
        <v>734</v>
      </c>
      <c r="E16" s="866">
        <v>131</v>
      </c>
      <c r="F16" s="866">
        <v>669</v>
      </c>
      <c r="G16" s="866"/>
      <c r="H16" s="866"/>
      <c r="I16" s="866"/>
      <c r="J16" s="866">
        <v>374</v>
      </c>
      <c r="K16" s="866">
        <v>178</v>
      </c>
      <c r="L16" s="866">
        <v>615</v>
      </c>
      <c r="M16" s="352" t="s">
        <v>2</v>
      </c>
    </row>
    <row r="17" spans="1:13" x14ac:dyDescent="0.35">
      <c r="A17">
        <v>16</v>
      </c>
      <c r="B17" s="133" t="s">
        <v>181</v>
      </c>
      <c r="C17" s="866">
        <v>972</v>
      </c>
      <c r="D17" s="866">
        <v>672</v>
      </c>
      <c r="E17" s="866">
        <v>266</v>
      </c>
      <c r="F17" s="866">
        <v>1416</v>
      </c>
      <c r="G17" s="866"/>
      <c r="H17" s="866"/>
      <c r="I17" s="866"/>
      <c r="J17" s="866">
        <v>293</v>
      </c>
      <c r="K17" s="866">
        <v>397</v>
      </c>
      <c r="L17" s="866">
        <v>282</v>
      </c>
      <c r="M17" s="352" t="s">
        <v>2</v>
      </c>
    </row>
    <row r="18" spans="1:13" x14ac:dyDescent="0.35">
      <c r="A18">
        <v>17</v>
      </c>
      <c r="B18" s="133" t="s">
        <v>186</v>
      </c>
      <c r="C18" s="866">
        <v>755</v>
      </c>
      <c r="D18" s="866">
        <v>618</v>
      </c>
      <c r="E18" s="866">
        <v>174</v>
      </c>
      <c r="F18" s="866">
        <v>1194</v>
      </c>
      <c r="G18" s="866"/>
      <c r="H18" s="866"/>
      <c r="I18" s="866"/>
      <c r="J18" s="866">
        <v>281</v>
      </c>
      <c r="K18" s="866">
        <v>281</v>
      </c>
      <c r="L18" s="866">
        <v>193</v>
      </c>
      <c r="M18" s="352" t="s">
        <v>2</v>
      </c>
    </row>
    <row r="19" spans="1:13" x14ac:dyDescent="0.35">
      <c r="A19">
        <v>18</v>
      </c>
      <c r="B19" s="133" t="s">
        <v>618</v>
      </c>
      <c r="C19" s="866">
        <v>740</v>
      </c>
      <c r="D19" s="866">
        <v>955</v>
      </c>
      <c r="E19" s="866">
        <v>189</v>
      </c>
      <c r="F19" s="866">
        <v>1122</v>
      </c>
      <c r="G19" s="866"/>
      <c r="H19" s="866"/>
      <c r="I19" s="866"/>
      <c r="J19" s="866">
        <v>179</v>
      </c>
      <c r="K19" s="866">
        <v>198</v>
      </c>
      <c r="L19" s="866">
        <v>363</v>
      </c>
      <c r="M19" s="352" t="s">
        <v>2</v>
      </c>
    </row>
    <row r="20" spans="1:13" x14ac:dyDescent="0.35">
      <c r="A20">
        <v>19</v>
      </c>
      <c r="B20" s="133" t="s">
        <v>184</v>
      </c>
      <c r="C20" s="866">
        <v>630</v>
      </c>
      <c r="D20" s="866">
        <v>864</v>
      </c>
      <c r="E20" s="866">
        <v>132</v>
      </c>
      <c r="F20" s="866">
        <v>1160</v>
      </c>
      <c r="G20" s="866"/>
      <c r="H20" s="866"/>
      <c r="I20" s="866"/>
      <c r="J20" s="866">
        <v>152</v>
      </c>
      <c r="K20" s="866">
        <v>152</v>
      </c>
      <c r="L20" s="866">
        <v>326</v>
      </c>
      <c r="M20" s="352" t="s">
        <v>2</v>
      </c>
    </row>
    <row r="21" spans="1:13" x14ac:dyDescent="0.35">
      <c r="A21">
        <v>20</v>
      </c>
      <c r="B21" s="133" t="s">
        <v>172</v>
      </c>
      <c r="C21" s="866">
        <v>609</v>
      </c>
      <c r="D21" s="866">
        <v>631</v>
      </c>
      <c r="E21" s="866">
        <v>229</v>
      </c>
      <c r="F21" s="866">
        <v>918</v>
      </c>
      <c r="G21" s="866"/>
      <c r="H21" s="866"/>
      <c r="I21" s="866"/>
      <c r="J21" s="866">
        <v>75</v>
      </c>
      <c r="K21" s="866">
        <v>363</v>
      </c>
      <c r="L21" s="866">
        <v>171</v>
      </c>
      <c r="M21" s="352" t="s">
        <v>2</v>
      </c>
    </row>
    <row r="22" spans="1:13" x14ac:dyDescent="0.35">
      <c r="A22">
        <v>21</v>
      </c>
      <c r="B22" s="133" t="s">
        <v>176</v>
      </c>
      <c r="C22" s="866">
        <v>244</v>
      </c>
      <c r="D22" s="866">
        <v>503</v>
      </c>
      <c r="E22" s="866">
        <v>70</v>
      </c>
      <c r="F22" s="866">
        <v>435</v>
      </c>
      <c r="G22" s="866"/>
      <c r="H22" s="866"/>
      <c r="I22" s="866"/>
      <c r="J22" s="866">
        <v>50</v>
      </c>
      <c r="K22" s="866">
        <v>140</v>
      </c>
      <c r="L22" s="866">
        <v>54</v>
      </c>
      <c r="M22" s="352" t="s">
        <v>2</v>
      </c>
    </row>
    <row r="23" spans="1:13" x14ac:dyDescent="0.35">
      <c r="A23">
        <v>22</v>
      </c>
      <c r="B23" s="133" t="s">
        <v>174</v>
      </c>
      <c r="C23" s="866">
        <v>137</v>
      </c>
      <c r="D23" s="866">
        <v>886</v>
      </c>
      <c r="E23" s="866">
        <v>52</v>
      </c>
      <c r="F23" s="866">
        <v>158</v>
      </c>
      <c r="G23" s="866"/>
      <c r="H23" s="866"/>
      <c r="I23" s="866"/>
      <c r="J23" s="866">
        <v>55</v>
      </c>
      <c r="K23" s="866">
        <v>58</v>
      </c>
      <c r="L23" s="866">
        <v>24</v>
      </c>
      <c r="M23" s="352" t="s">
        <v>2</v>
      </c>
    </row>
    <row r="24" spans="1:13" x14ac:dyDescent="0.35">
      <c r="A24">
        <v>23</v>
      </c>
      <c r="B24" s="135" t="s">
        <v>205</v>
      </c>
      <c r="C24" s="867">
        <v>8553</v>
      </c>
      <c r="D24" s="867">
        <v>826</v>
      </c>
      <c r="E24" s="867">
        <v>2231</v>
      </c>
      <c r="F24" s="867">
        <v>6659</v>
      </c>
      <c r="G24" s="867"/>
      <c r="H24" s="867"/>
      <c r="I24" s="867"/>
      <c r="J24" s="867">
        <v>1583</v>
      </c>
      <c r="K24" s="867">
        <v>2700</v>
      </c>
      <c r="L24" s="867">
        <v>4270</v>
      </c>
      <c r="M24" s="352" t="s">
        <v>3</v>
      </c>
    </row>
    <row r="25" spans="1:13" x14ac:dyDescent="0.35">
      <c r="A25">
        <v>24</v>
      </c>
      <c r="B25" s="135" t="s">
        <v>197</v>
      </c>
      <c r="C25" s="867">
        <v>6497</v>
      </c>
      <c r="D25" s="867">
        <v>953</v>
      </c>
      <c r="E25" s="867">
        <v>1309</v>
      </c>
      <c r="F25" s="867">
        <v>3784</v>
      </c>
      <c r="G25" s="867"/>
      <c r="H25" s="867"/>
      <c r="I25" s="867"/>
      <c r="J25" s="867">
        <v>3123</v>
      </c>
      <c r="K25" s="867">
        <v>1374</v>
      </c>
      <c r="L25" s="867">
        <v>2000</v>
      </c>
      <c r="M25" s="352" t="s">
        <v>3</v>
      </c>
    </row>
    <row r="26" spans="1:13" x14ac:dyDescent="0.35">
      <c r="A26">
        <v>25</v>
      </c>
      <c r="B26" s="135" t="s">
        <v>189</v>
      </c>
      <c r="C26" s="867">
        <f>6152+120</f>
        <v>6272</v>
      </c>
      <c r="D26" s="867">
        <f>1057+1283</f>
        <v>2340</v>
      </c>
      <c r="E26" s="867">
        <f>2319+154</f>
        <v>2473</v>
      </c>
      <c r="F26" s="867">
        <f>8398+96</f>
        <v>8494</v>
      </c>
      <c r="G26" s="867"/>
      <c r="H26" s="867"/>
      <c r="I26" s="867"/>
      <c r="J26" s="867">
        <v>1215</v>
      </c>
      <c r="K26" s="867">
        <f>2194+120</f>
        <v>2314</v>
      </c>
      <c r="L26" s="867">
        <v>2743</v>
      </c>
      <c r="M26" s="352" t="s">
        <v>3</v>
      </c>
    </row>
    <row r="27" spans="1:13" x14ac:dyDescent="0.35">
      <c r="A27">
        <v>26</v>
      </c>
      <c r="B27" s="135" t="s">
        <v>191</v>
      </c>
      <c r="C27" s="867">
        <f>5825+60</f>
        <v>5885</v>
      </c>
      <c r="D27" s="867">
        <f>1065+1582</f>
        <v>2647</v>
      </c>
      <c r="E27" s="867">
        <f>2855+87</f>
        <v>2942</v>
      </c>
      <c r="F27" s="867">
        <f>6431+343</f>
        <v>6774</v>
      </c>
      <c r="G27" s="867"/>
      <c r="H27" s="867"/>
      <c r="I27" s="867"/>
      <c r="J27" s="867">
        <f>316+5</f>
        <v>321</v>
      </c>
      <c r="K27" s="867">
        <f>2680+55</f>
        <v>2735</v>
      </c>
      <c r="L27" s="867">
        <v>2829</v>
      </c>
      <c r="M27" s="352" t="s">
        <v>3</v>
      </c>
    </row>
    <row r="28" spans="1:13" x14ac:dyDescent="0.35">
      <c r="A28">
        <v>27</v>
      </c>
      <c r="B28" s="135" t="s">
        <v>190</v>
      </c>
      <c r="C28" s="867">
        <f>3160+2066</f>
        <v>5226</v>
      </c>
      <c r="D28" s="867">
        <f>1013+1501</f>
        <v>2514</v>
      </c>
      <c r="E28" s="867">
        <f>1255+3101</f>
        <v>4356</v>
      </c>
      <c r="F28" s="867">
        <f>2506+1653</f>
        <v>4159</v>
      </c>
      <c r="G28" s="867"/>
      <c r="H28" s="867"/>
      <c r="I28" s="867"/>
      <c r="J28" s="867">
        <v>578</v>
      </c>
      <c r="K28" s="867">
        <f>1239+2066</f>
        <v>3305</v>
      </c>
      <c r="L28" s="867">
        <v>1343</v>
      </c>
      <c r="M28" s="352" t="s">
        <v>3</v>
      </c>
    </row>
    <row r="29" spans="1:13" x14ac:dyDescent="0.35">
      <c r="A29">
        <v>28</v>
      </c>
      <c r="B29" s="135" t="s">
        <v>206</v>
      </c>
      <c r="C29" s="867">
        <f>4389+448</f>
        <v>4837</v>
      </c>
      <c r="D29" s="867">
        <f>1011+1460</f>
        <v>2471</v>
      </c>
      <c r="E29" s="867">
        <f>1821+654</f>
        <v>2475</v>
      </c>
      <c r="F29" s="867">
        <f>3438+358</f>
        <v>3796</v>
      </c>
      <c r="G29" s="867"/>
      <c r="H29" s="867"/>
      <c r="I29" s="867"/>
      <c r="J29" s="867">
        <v>402</v>
      </c>
      <c r="K29" s="867">
        <f>1801+448</f>
        <v>2249</v>
      </c>
      <c r="L29" s="867">
        <v>2186</v>
      </c>
      <c r="M29" s="352" t="s">
        <v>3</v>
      </c>
    </row>
    <row r="30" spans="1:13" x14ac:dyDescent="0.35">
      <c r="A30">
        <v>29</v>
      </c>
      <c r="B30" s="135" t="s">
        <v>200</v>
      </c>
      <c r="C30" s="867">
        <v>4809</v>
      </c>
      <c r="D30" s="867">
        <v>879</v>
      </c>
      <c r="E30" s="867">
        <v>1326</v>
      </c>
      <c r="F30" s="867">
        <v>3922</v>
      </c>
      <c r="G30" s="867"/>
      <c r="H30" s="867"/>
      <c r="I30" s="867"/>
      <c r="J30" s="867">
        <v>1592</v>
      </c>
      <c r="K30" s="867">
        <v>1508</v>
      </c>
      <c r="L30" s="867">
        <v>1709</v>
      </c>
      <c r="M30" s="352" t="s">
        <v>3</v>
      </c>
    </row>
    <row r="31" spans="1:13" x14ac:dyDescent="0.35">
      <c r="A31">
        <v>30</v>
      </c>
      <c r="B31" s="135" t="s">
        <v>192</v>
      </c>
      <c r="C31" s="867">
        <v>4760</v>
      </c>
      <c r="D31" s="867">
        <v>751</v>
      </c>
      <c r="E31" s="867">
        <v>1238</v>
      </c>
      <c r="F31" s="867">
        <v>6977</v>
      </c>
      <c r="G31" s="867"/>
      <c r="H31" s="867"/>
      <c r="I31" s="867"/>
      <c r="J31" s="867">
        <v>1387</v>
      </c>
      <c r="K31" s="867">
        <v>1647</v>
      </c>
      <c r="L31" s="867">
        <v>1726</v>
      </c>
      <c r="M31" s="352" t="s">
        <v>3</v>
      </c>
    </row>
    <row r="32" spans="1:13" x14ac:dyDescent="0.35">
      <c r="A32">
        <v>31</v>
      </c>
      <c r="B32" s="135" t="s">
        <v>201</v>
      </c>
      <c r="C32" s="867">
        <v>3776</v>
      </c>
      <c r="D32" s="867">
        <v>847</v>
      </c>
      <c r="E32" s="867">
        <v>1052</v>
      </c>
      <c r="F32" s="867">
        <v>6217</v>
      </c>
      <c r="G32" s="867"/>
      <c r="H32" s="867"/>
      <c r="I32" s="867"/>
      <c r="J32" s="867">
        <v>1045</v>
      </c>
      <c r="K32" s="867">
        <v>1242</v>
      </c>
      <c r="L32" s="867">
        <v>1489</v>
      </c>
      <c r="M32" s="352" t="s">
        <v>3</v>
      </c>
    </row>
    <row r="33" spans="1:13" x14ac:dyDescent="0.35">
      <c r="A33">
        <v>32</v>
      </c>
      <c r="B33" s="135" t="s">
        <v>195</v>
      </c>
      <c r="C33" s="867">
        <v>3136</v>
      </c>
      <c r="D33" s="867">
        <v>1283</v>
      </c>
      <c r="E33" s="867">
        <v>1259</v>
      </c>
      <c r="F33" s="867">
        <v>4104</v>
      </c>
      <c r="G33" s="867"/>
      <c r="H33" s="867"/>
      <c r="I33" s="867"/>
      <c r="J33" s="867">
        <v>1030</v>
      </c>
      <c r="K33" s="867">
        <v>981</v>
      </c>
      <c r="L33" s="867">
        <v>1125</v>
      </c>
      <c r="M33" s="352" t="s">
        <v>3</v>
      </c>
    </row>
    <row r="34" spans="1:13" x14ac:dyDescent="0.35">
      <c r="A34">
        <v>33</v>
      </c>
      <c r="B34" s="135" t="s">
        <v>194</v>
      </c>
      <c r="C34" s="867">
        <v>3031</v>
      </c>
      <c r="D34" s="867">
        <v>1075</v>
      </c>
      <c r="E34" s="867">
        <v>990</v>
      </c>
      <c r="F34" s="867">
        <v>3657</v>
      </c>
      <c r="G34" s="867"/>
      <c r="H34" s="867"/>
      <c r="I34" s="867"/>
      <c r="J34" s="867">
        <v>1084</v>
      </c>
      <c r="K34" s="867">
        <v>921</v>
      </c>
      <c r="L34" s="867">
        <v>1026</v>
      </c>
      <c r="M34" s="352" t="s">
        <v>3</v>
      </c>
    </row>
    <row r="35" spans="1:13" x14ac:dyDescent="0.35">
      <c r="A35">
        <v>34</v>
      </c>
      <c r="B35" s="135" t="s">
        <v>208</v>
      </c>
      <c r="C35" s="867">
        <v>1649</v>
      </c>
      <c r="D35" s="867">
        <v>768</v>
      </c>
      <c r="E35" s="867">
        <v>288</v>
      </c>
      <c r="F35" s="867">
        <v>2297</v>
      </c>
      <c r="G35" s="867"/>
      <c r="H35" s="867"/>
      <c r="I35" s="867"/>
      <c r="J35" s="867">
        <v>793</v>
      </c>
      <c r="K35" s="867">
        <v>375</v>
      </c>
      <c r="L35" s="867">
        <v>481</v>
      </c>
      <c r="M35" s="352" t="s">
        <v>3</v>
      </c>
    </row>
    <row r="36" spans="1:13" x14ac:dyDescent="0.35">
      <c r="A36">
        <v>35</v>
      </c>
      <c r="B36" s="135" t="s">
        <v>213</v>
      </c>
      <c r="C36" s="867">
        <v>1429</v>
      </c>
      <c r="D36" s="867">
        <v>1126</v>
      </c>
      <c r="E36" s="867">
        <v>572</v>
      </c>
      <c r="F36" s="867">
        <v>1424</v>
      </c>
      <c r="G36" s="867"/>
      <c r="H36" s="867"/>
      <c r="I36" s="867"/>
      <c r="J36" s="867">
        <v>279</v>
      </c>
      <c r="K36" s="867">
        <v>508</v>
      </c>
      <c r="L36" s="867">
        <v>642</v>
      </c>
      <c r="M36" s="352" t="s">
        <v>3</v>
      </c>
    </row>
    <row r="37" spans="1:13" x14ac:dyDescent="0.35">
      <c r="A37">
        <v>36</v>
      </c>
      <c r="B37" s="135" t="s">
        <v>196</v>
      </c>
      <c r="C37" s="867">
        <v>1394</v>
      </c>
      <c r="D37" s="867">
        <v>1048</v>
      </c>
      <c r="E37" s="867">
        <v>404</v>
      </c>
      <c r="F37" s="867">
        <v>2931</v>
      </c>
      <c r="G37" s="867"/>
      <c r="H37" s="867"/>
      <c r="I37" s="867"/>
      <c r="J37" s="867">
        <v>340</v>
      </c>
      <c r="K37" s="867">
        <v>386</v>
      </c>
      <c r="L37" s="867">
        <v>668</v>
      </c>
      <c r="M37" s="352" t="s">
        <v>3</v>
      </c>
    </row>
    <row r="38" spans="1:13" x14ac:dyDescent="0.35">
      <c r="A38">
        <v>37</v>
      </c>
      <c r="B38" s="135" t="s">
        <v>211</v>
      </c>
      <c r="C38" s="867">
        <f>1122+150</f>
        <v>1272</v>
      </c>
      <c r="D38" s="867">
        <f>905+1280</f>
        <v>2185</v>
      </c>
      <c r="E38" s="867">
        <f>467+192</f>
        <v>659</v>
      </c>
      <c r="F38" s="867">
        <f>4773+120</f>
        <v>4893</v>
      </c>
      <c r="G38" s="867"/>
      <c r="H38" s="867"/>
      <c r="I38" s="867"/>
      <c r="J38" s="867">
        <v>51</v>
      </c>
      <c r="K38" s="867">
        <f>516+150</f>
        <v>666</v>
      </c>
      <c r="L38" s="867">
        <v>555</v>
      </c>
      <c r="M38" s="352" t="s">
        <v>3</v>
      </c>
    </row>
    <row r="39" spans="1:13" x14ac:dyDescent="0.35">
      <c r="A39">
        <v>38</v>
      </c>
      <c r="B39" s="135" t="s">
        <v>198</v>
      </c>
      <c r="C39" s="867">
        <v>1191</v>
      </c>
      <c r="D39" s="867">
        <v>888</v>
      </c>
      <c r="E39" s="867">
        <v>256</v>
      </c>
      <c r="F39" s="867">
        <v>1320</v>
      </c>
      <c r="G39" s="867"/>
      <c r="H39" s="867"/>
      <c r="I39" s="867"/>
      <c r="J39" s="867">
        <v>260</v>
      </c>
      <c r="K39" s="867">
        <v>289</v>
      </c>
      <c r="L39" s="867">
        <v>642</v>
      </c>
      <c r="M39" s="352" t="s">
        <v>3</v>
      </c>
    </row>
    <row r="40" spans="1:13" x14ac:dyDescent="0.35">
      <c r="A40">
        <v>39</v>
      </c>
      <c r="B40" s="135" t="s">
        <v>212</v>
      </c>
      <c r="C40" s="867">
        <v>901</v>
      </c>
      <c r="D40" s="867">
        <v>831</v>
      </c>
      <c r="E40" s="867">
        <v>220</v>
      </c>
      <c r="F40" s="867">
        <v>1049</v>
      </c>
      <c r="G40" s="867"/>
      <c r="H40" s="867"/>
      <c r="I40" s="867"/>
      <c r="J40" s="867">
        <v>300</v>
      </c>
      <c r="K40" s="867">
        <v>265</v>
      </c>
      <c r="L40" s="867">
        <v>336</v>
      </c>
      <c r="M40" s="352" t="s">
        <v>3</v>
      </c>
    </row>
    <row r="41" spans="1:13" x14ac:dyDescent="0.35">
      <c r="A41">
        <v>40</v>
      </c>
      <c r="B41" s="135" t="s">
        <v>193</v>
      </c>
      <c r="C41" s="867">
        <v>641</v>
      </c>
      <c r="D41" s="867">
        <v>967</v>
      </c>
      <c r="E41" s="867">
        <v>161</v>
      </c>
      <c r="F41" s="867">
        <v>1143</v>
      </c>
      <c r="G41" s="867"/>
      <c r="H41" s="867"/>
      <c r="I41" s="867"/>
      <c r="J41" s="867">
        <v>286</v>
      </c>
      <c r="K41" s="867">
        <v>167</v>
      </c>
      <c r="L41" s="867">
        <v>188</v>
      </c>
      <c r="M41" s="352" t="s">
        <v>3</v>
      </c>
    </row>
    <row r="42" spans="1:13" x14ac:dyDescent="0.35">
      <c r="A42">
        <v>41</v>
      </c>
      <c r="B42" s="135" t="s">
        <v>202</v>
      </c>
      <c r="C42" s="867">
        <v>539</v>
      </c>
      <c r="D42" s="867">
        <v>888</v>
      </c>
      <c r="E42" s="867">
        <v>203</v>
      </c>
      <c r="F42" s="867">
        <v>457</v>
      </c>
      <c r="G42" s="867"/>
      <c r="H42" s="867"/>
      <c r="I42" s="867"/>
      <c r="J42" s="867">
        <v>56</v>
      </c>
      <c r="K42" s="867">
        <v>229</v>
      </c>
      <c r="L42" s="867">
        <v>254</v>
      </c>
      <c r="M42" s="352" t="s">
        <v>3</v>
      </c>
    </row>
    <row r="43" spans="1:13" x14ac:dyDescent="0.35">
      <c r="A43">
        <v>42</v>
      </c>
      <c r="B43" s="135" t="s">
        <v>203</v>
      </c>
      <c r="C43" s="867">
        <v>529</v>
      </c>
      <c r="D43" s="867">
        <v>953</v>
      </c>
      <c r="E43" s="867">
        <v>180</v>
      </c>
      <c r="F43" s="867">
        <v>336</v>
      </c>
      <c r="G43" s="867"/>
      <c r="H43" s="867"/>
      <c r="I43" s="867"/>
      <c r="J43" s="867">
        <v>125</v>
      </c>
      <c r="K43" s="867">
        <v>188</v>
      </c>
      <c r="L43" s="867">
        <v>126</v>
      </c>
      <c r="M43" s="352" t="s">
        <v>3</v>
      </c>
    </row>
    <row r="44" spans="1:13" x14ac:dyDescent="0.35">
      <c r="A44">
        <v>43</v>
      </c>
      <c r="B44" s="135" t="s">
        <v>212</v>
      </c>
      <c r="C44" s="867">
        <v>447</v>
      </c>
      <c r="D44" s="867">
        <v>801</v>
      </c>
      <c r="E44" s="867">
        <v>91</v>
      </c>
      <c r="F44" s="867">
        <v>287</v>
      </c>
      <c r="G44" s="867"/>
      <c r="H44" s="867"/>
      <c r="I44" s="867"/>
      <c r="J44" s="867">
        <v>159</v>
      </c>
      <c r="K44" s="867">
        <v>114</v>
      </c>
      <c r="L44" s="867">
        <v>174</v>
      </c>
      <c r="M44" s="352" t="s">
        <v>3</v>
      </c>
    </row>
    <row r="45" spans="1:13" x14ac:dyDescent="0.35">
      <c r="A45">
        <v>44</v>
      </c>
      <c r="B45" s="135" t="s">
        <v>199</v>
      </c>
      <c r="C45" s="867">
        <v>428</v>
      </c>
      <c r="D45" s="867">
        <v>1242</v>
      </c>
      <c r="E45" s="867">
        <v>134</v>
      </c>
      <c r="F45" s="867">
        <v>634</v>
      </c>
      <c r="G45" s="867"/>
      <c r="H45" s="867"/>
      <c r="I45" s="867"/>
      <c r="J45" s="867">
        <v>181</v>
      </c>
      <c r="K45" s="867">
        <v>108</v>
      </c>
      <c r="L45" s="867">
        <v>139</v>
      </c>
      <c r="M45" s="352" t="s">
        <v>3</v>
      </c>
    </row>
    <row r="46" spans="1:13" x14ac:dyDescent="0.35">
      <c r="A46">
        <v>45</v>
      </c>
      <c r="B46" s="135" t="s">
        <v>210</v>
      </c>
      <c r="C46" s="867">
        <v>305</v>
      </c>
      <c r="D46" s="867">
        <v>975</v>
      </c>
      <c r="E46" s="867">
        <v>58</v>
      </c>
      <c r="F46" s="867">
        <v>894</v>
      </c>
      <c r="G46" s="867"/>
      <c r="H46" s="867"/>
      <c r="I46" s="867"/>
      <c r="J46" s="867">
        <v>161</v>
      </c>
      <c r="K46" s="867">
        <v>60</v>
      </c>
      <c r="L46" s="867">
        <v>84</v>
      </c>
      <c r="M46" s="352" t="s">
        <v>3</v>
      </c>
    </row>
    <row r="47" spans="1:13" x14ac:dyDescent="0.35">
      <c r="A47">
        <v>46</v>
      </c>
      <c r="B47" s="135" t="s">
        <v>204</v>
      </c>
      <c r="C47" s="867">
        <v>282</v>
      </c>
      <c r="D47" s="867">
        <v>805</v>
      </c>
      <c r="E47" s="867">
        <v>87</v>
      </c>
      <c r="F47" s="867">
        <v>166</v>
      </c>
      <c r="G47" s="867"/>
      <c r="H47" s="867"/>
      <c r="I47" s="867"/>
      <c r="J47" s="867">
        <v>48</v>
      </c>
      <c r="K47" s="867">
        <v>108</v>
      </c>
      <c r="L47" s="867">
        <v>126</v>
      </c>
      <c r="M47" s="352" t="s">
        <v>3</v>
      </c>
    </row>
    <row r="48" spans="1:13" x14ac:dyDescent="0.35">
      <c r="A48">
        <v>47</v>
      </c>
      <c r="B48" s="135" t="s">
        <v>209</v>
      </c>
      <c r="C48" s="867">
        <v>248</v>
      </c>
      <c r="D48" s="867">
        <v>953</v>
      </c>
      <c r="E48" s="867">
        <v>80</v>
      </c>
      <c r="F48" s="867">
        <v>247</v>
      </c>
      <c r="G48" s="867"/>
      <c r="H48" s="867"/>
      <c r="I48" s="867"/>
      <c r="J48" s="867">
        <v>49</v>
      </c>
      <c r="K48" s="867">
        <v>84</v>
      </c>
      <c r="L48" s="867">
        <v>115</v>
      </c>
      <c r="M48" s="352" t="s">
        <v>3</v>
      </c>
    </row>
    <row r="49" spans="1:13" x14ac:dyDescent="0.35">
      <c r="A49">
        <v>48</v>
      </c>
      <c r="B49" s="135" t="s">
        <v>207</v>
      </c>
      <c r="C49" s="867">
        <v>134</v>
      </c>
      <c r="D49" s="867">
        <v>667</v>
      </c>
      <c r="E49" s="867">
        <v>26</v>
      </c>
      <c r="F49" s="867">
        <v>145</v>
      </c>
      <c r="G49" s="867"/>
      <c r="H49" s="867"/>
      <c r="I49" s="867"/>
      <c r="J49" s="867">
        <v>52</v>
      </c>
      <c r="K49" s="867">
        <v>38</v>
      </c>
      <c r="L49" s="867">
        <v>44</v>
      </c>
      <c r="M49" s="352" t="s">
        <v>3</v>
      </c>
    </row>
    <row r="50" spans="1:13" x14ac:dyDescent="0.35">
      <c r="A50">
        <v>49</v>
      </c>
      <c r="B50" s="135" t="s">
        <v>623</v>
      </c>
      <c r="C50" s="867">
        <v>110</v>
      </c>
      <c r="D50" s="867">
        <v>900</v>
      </c>
      <c r="E50" s="867">
        <v>44</v>
      </c>
      <c r="F50" s="867">
        <v>145</v>
      </c>
      <c r="G50" s="867"/>
      <c r="H50" s="867"/>
      <c r="I50" s="867"/>
      <c r="J50" s="867">
        <v>6</v>
      </c>
      <c r="K50" s="867">
        <v>49</v>
      </c>
      <c r="L50" s="867">
        <v>55</v>
      </c>
      <c r="M50" s="352" t="s">
        <v>3</v>
      </c>
    </row>
    <row r="51" spans="1:13" x14ac:dyDescent="0.35">
      <c r="A51">
        <v>50</v>
      </c>
      <c r="B51" s="868" t="s">
        <v>221</v>
      </c>
      <c r="C51" s="869">
        <v>33841</v>
      </c>
      <c r="D51" s="869">
        <v>923</v>
      </c>
      <c r="E51" s="869">
        <v>9441</v>
      </c>
      <c r="F51" s="869">
        <v>12650</v>
      </c>
      <c r="G51" s="869"/>
      <c r="H51" s="869"/>
      <c r="I51" s="869"/>
      <c r="J51" s="869">
        <v>11408</v>
      </c>
      <c r="K51" s="869">
        <v>10234</v>
      </c>
      <c r="L51" s="869">
        <v>12199</v>
      </c>
      <c r="M51" s="352" t="s">
        <v>4</v>
      </c>
    </row>
    <row r="52" spans="1:13" x14ac:dyDescent="0.35">
      <c r="A52">
        <v>51</v>
      </c>
      <c r="B52" s="868" t="s">
        <v>225</v>
      </c>
      <c r="C52" s="869">
        <v>29273</v>
      </c>
      <c r="D52" s="869">
        <v>962</v>
      </c>
      <c r="E52" s="869">
        <v>12997</v>
      </c>
      <c r="F52" s="869">
        <v>19505</v>
      </c>
      <c r="G52" s="869"/>
      <c r="H52" s="869"/>
      <c r="I52" s="869"/>
      <c r="J52" s="869">
        <v>7368</v>
      </c>
      <c r="K52" s="869">
        <v>13512</v>
      </c>
      <c r="L52" s="869">
        <v>8393</v>
      </c>
      <c r="M52" s="352" t="s">
        <v>4</v>
      </c>
    </row>
    <row r="53" spans="1:13" x14ac:dyDescent="0.35">
      <c r="A53">
        <v>52</v>
      </c>
      <c r="B53" s="868" t="s">
        <v>228</v>
      </c>
      <c r="C53" s="869">
        <v>23404</v>
      </c>
      <c r="D53" s="869">
        <v>905</v>
      </c>
      <c r="E53" s="869">
        <v>6955</v>
      </c>
      <c r="F53" s="869">
        <v>7984</v>
      </c>
      <c r="G53" s="869"/>
      <c r="H53" s="869"/>
      <c r="I53" s="869"/>
      <c r="J53" s="869">
        <v>8319</v>
      </c>
      <c r="K53" s="869">
        <v>7687</v>
      </c>
      <c r="L53" s="869">
        <v>7398</v>
      </c>
      <c r="M53" s="352" t="s">
        <v>4</v>
      </c>
    </row>
    <row r="54" spans="1:13" x14ac:dyDescent="0.35">
      <c r="A54">
        <v>53</v>
      </c>
      <c r="B54" s="868" t="s">
        <v>223</v>
      </c>
      <c r="C54" s="869">
        <f>9751+2049</f>
        <v>11800</v>
      </c>
      <c r="D54" s="869">
        <f>970+1278</f>
        <v>2248</v>
      </c>
      <c r="E54" s="869">
        <f>3743+2618</f>
        <v>6361</v>
      </c>
      <c r="F54" s="869">
        <f>10097+1639</f>
        <v>11736</v>
      </c>
      <c r="G54" s="869"/>
      <c r="H54" s="869"/>
      <c r="I54" s="869"/>
      <c r="J54" s="869">
        <v>4312</v>
      </c>
      <c r="K54" s="869">
        <f>3858+2049</f>
        <v>5907</v>
      </c>
      <c r="L54" s="869">
        <v>1581</v>
      </c>
      <c r="M54" s="352" t="s">
        <v>4</v>
      </c>
    </row>
    <row r="55" spans="1:13" x14ac:dyDescent="0.35">
      <c r="A55">
        <v>54</v>
      </c>
      <c r="B55" s="868" t="s">
        <v>224</v>
      </c>
      <c r="C55" s="869">
        <v>10823</v>
      </c>
      <c r="D55" s="869">
        <v>865</v>
      </c>
      <c r="E55" s="869">
        <v>3253</v>
      </c>
      <c r="F55" s="869">
        <v>9587</v>
      </c>
      <c r="G55" s="869"/>
      <c r="H55" s="869"/>
      <c r="I55" s="869"/>
      <c r="J55" s="869">
        <v>4972</v>
      </c>
      <c r="K55" s="869">
        <v>3758</v>
      </c>
      <c r="L55" s="869">
        <v>2093</v>
      </c>
      <c r="M55" s="352" t="s">
        <v>4</v>
      </c>
    </row>
    <row r="56" spans="1:13" x14ac:dyDescent="0.35">
      <c r="A56">
        <v>55</v>
      </c>
      <c r="B56" s="868" t="s">
        <v>220</v>
      </c>
      <c r="C56" s="869">
        <v>8497</v>
      </c>
      <c r="D56" s="869">
        <v>1034</v>
      </c>
      <c r="E56" s="869">
        <v>3100</v>
      </c>
      <c r="F56" s="869">
        <v>12401</v>
      </c>
      <c r="G56" s="869"/>
      <c r="H56" s="869"/>
      <c r="I56" s="869"/>
      <c r="J56" s="869">
        <v>3729</v>
      </c>
      <c r="K56" s="869">
        <v>2998</v>
      </c>
      <c r="L56" s="869">
        <v>1770</v>
      </c>
      <c r="M56" s="352" t="s">
        <v>4</v>
      </c>
    </row>
    <row r="57" spans="1:13" x14ac:dyDescent="0.35">
      <c r="A57">
        <v>56</v>
      </c>
      <c r="B57" s="868" t="s">
        <v>219</v>
      </c>
      <c r="C57" s="869">
        <v>5843</v>
      </c>
      <c r="D57" s="869">
        <v>887</v>
      </c>
      <c r="E57" s="869">
        <v>1749</v>
      </c>
      <c r="F57" s="869">
        <v>4651</v>
      </c>
      <c r="G57" s="869"/>
      <c r="H57" s="869"/>
      <c r="I57" s="869"/>
      <c r="J57" s="869">
        <v>2720</v>
      </c>
      <c r="K57" s="869">
        <v>1972</v>
      </c>
      <c r="L57" s="869">
        <v>1151</v>
      </c>
      <c r="M57" s="352" t="s">
        <v>4</v>
      </c>
    </row>
    <row r="58" spans="1:13" x14ac:dyDescent="0.35">
      <c r="A58">
        <v>57</v>
      </c>
      <c r="B58" s="868" t="s">
        <v>217</v>
      </c>
      <c r="C58" s="869">
        <v>5343</v>
      </c>
      <c r="D58" s="869">
        <v>389</v>
      </c>
      <c r="E58" s="869">
        <v>839</v>
      </c>
      <c r="F58" s="869">
        <v>7070</v>
      </c>
      <c r="G58" s="869"/>
      <c r="H58" s="869"/>
      <c r="I58" s="869"/>
      <c r="J58" s="869">
        <v>2240</v>
      </c>
      <c r="K58" s="869">
        <v>2158</v>
      </c>
      <c r="L58" s="869">
        <v>945</v>
      </c>
      <c r="M58" s="352" t="s">
        <v>4</v>
      </c>
    </row>
    <row r="59" spans="1:13" x14ac:dyDescent="0.35">
      <c r="A59">
        <v>58</v>
      </c>
      <c r="B59" s="868" t="s">
        <v>218</v>
      </c>
      <c r="C59" s="869">
        <v>5266</v>
      </c>
      <c r="D59" s="869">
        <v>962</v>
      </c>
      <c r="E59" s="869">
        <v>1931</v>
      </c>
      <c r="F59" s="869">
        <v>5341</v>
      </c>
      <c r="G59" s="869"/>
      <c r="H59" s="869"/>
      <c r="I59" s="869"/>
      <c r="J59" s="869">
        <v>2546</v>
      </c>
      <c r="K59" s="869">
        <v>2007</v>
      </c>
      <c r="L59" s="869">
        <v>714</v>
      </c>
      <c r="M59" s="352" t="s">
        <v>4</v>
      </c>
    </row>
    <row r="60" spans="1:13" x14ac:dyDescent="0.35">
      <c r="A60">
        <v>59</v>
      </c>
      <c r="B60" s="868" t="s">
        <v>231</v>
      </c>
      <c r="C60" s="869">
        <v>4729</v>
      </c>
      <c r="D60" s="869">
        <v>789</v>
      </c>
      <c r="E60" s="869">
        <v>1457</v>
      </c>
      <c r="F60" s="869">
        <v>4420</v>
      </c>
      <c r="G60" s="869"/>
      <c r="H60" s="869"/>
      <c r="I60" s="869"/>
      <c r="J60" s="869">
        <v>2105</v>
      </c>
      <c r="K60" s="869">
        <v>1847</v>
      </c>
      <c r="L60" s="869">
        <v>777</v>
      </c>
      <c r="M60" s="352" t="s">
        <v>4</v>
      </c>
    </row>
    <row r="61" spans="1:13" x14ac:dyDescent="0.35">
      <c r="A61">
        <v>60</v>
      </c>
      <c r="B61" s="868" t="s">
        <v>227</v>
      </c>
      <c r="C61" s="869">
        <v>4645</v>
      </c>
      <c r="D61" s="869">
        <v>731</v>
      </c>
      <c r="E61" s="869">
        <v>1506</v>
      </c>
      <c r="F61" s="869">
        <v>7764</v>
      </c>
      <c r="G61" s="869"/>
      <c r="H61" s="869"/>
      <c r="I61" s="869"/>
      <c r="J61" s="869">
        <v>1534</v>
      </c>
      <c r="K61" s="869">
        <v>2061</v>
      </c>
      <c r="L61" s="869">
        <v>1050</v>
      </c>
      <c r="M61" s="352" t="s">
        <v>4</v>
      </c>
    </row>
    <row r="62" spans="1:13" x14ac:dyDescent="0.35">
      <c r="A62">
        <v>61</v>
      </c>
      <c r="B62" s="868" t="s">
        <v>234</v>
      </c>
      <c r="C62" s="869">
        <v>3371</v>
      </c>
      <c r="D62" s="869">
        <v>642</v>
      </c>
      <c r="E62" s="869">
        <v>808</v>
      </c>
      <c r="F62" s="869">
        <v>7356</v>
      </c>
      <c r="G62" s="869"/>
      <c r="H62" s="869"/>
      <c r="I62" s="869"/>
      <c r="J62" s="869">
        <v>1594</v>
      </c>
      <c r="K62" s="869">
        <v>1259</v>
      </c>
      <c r="L62" s="869">
        <v>518</v>
      </c>
      <c r="M62" s="352" t="s">
        <v>4</v>
      </c>
    </row>
    <row r="63" spans="1:13" x14ac:dyDescent="0.35">
      <c r="A63">
        <v>62</v>
      </c>
      <c r="B63" s="868" t="s">
        <v>216</v>
      </c>
      <c r="C63" s="869">
        <v>3362</v>
      </c>
      <c r="D63" s="869">
        <v>41</v>
      </c>
      <c r="E63" s="869">
        <v>76</v>
      </c>
      <c r="F63" s="869">
        <v>2592</v>
      </c>
      <c r="G63" s="869"/>
      <c r="H63" s="869"/>
      <c r="I63" s="869"/>
      <c r="J63" s="869">
        <v>417</v>
      </c>
      <c r="K63" s="869">
        <v>1860</v>
      </c>
      <c r="L63" s="869">
        <v>1085</v>
      </c>
      <c r="M63" s="352" t="s">
        <v>4</v>
      </c>
    </row>
    <row r="64" spans="1:13" x14ac:dyDescent="0.35">
      <c r="A64">
        <v>63</v>
      </c>
      <c r="B64" s="868" t="s">
        <v>226</v>
      </c>
      <c r="C64" s="869">
        <v>3045</v>
      </c>
      <c r="D64" s="869">
        <v>757</v>
      </c>
      <c r="E64" s="869">
        <v>773</v>
      </c>
      <c r="F64" s="869">
        <v>5179</v>
      </c>
      <c r="G64" s="869"/>
      <c r="H64" s="869"/>
      <c r="I64" s="869"/>
      <c r="J64" s="869">
        <v>1317</v>
      </c>
      <c r="K64" s="869">
        <v>1022</v>
      </c>
      <c r="L64" s="869">
        <v>706</v>
      </c>
      <c r="M64" s="352" t="s">
        <v>4</v>
      </c>
    </row>
    <row r="65" spans="1:13" x14ac:dyDescent="0.35">
      <c r="A65">
        <v>64</v>
      </c>
      <c r="B65" s="868" t="s">
        <v>229</v>
      </c>
      <c r="C65" s="869">
        <v>1884</v>
      </c>
      <c r="D65" s="869">
        <v>735</v>
      </c>
      <c r="E65" s="869">
        <v>600</v>
      </c>
      <c r="F65" s="869">
        <v>2052</v>
      </c>
      <c r="G65" s="869"/>
      <c r="H65" s="869"/>
      <c r="I65" s="869"/>
      <c r="J65" s="869">
        <v>642</v>
      </c>
      <c r="K65" s="869">
        <v>816</v>
      </c>
      <c r="L65" s="869">
        <v>426</v>
      </c>
      <c r="M65" s="352" t="s">
        <v>4</v>
      </c>
    </row>
    <row r="66" spans="1:13" x14ac:dyDescent="0.35">
      <c r="A66">
        <v>65</v>
      </c>
      <c r="B66" s="868" t="s">
        <v>222</v>
      </c>
      <c r="C66" s="869">
        <v>1858</v>
      </c>
      <c r="D66" s="869">
        <v>143</v>
      </c>
      <c r="E66" s="869">
        <v>105</v>
      </c>
      <c r="F66" s="869">
        <v>1160</v>
      </c>
      <c r="G66" s="869"/>
      <c r="H66" s="869"/>
      <c r="I66" s="869"/>
      <c r="J66" s="869">
        <v>673</v>
      </c>
      <c r="K66" s="869">
        <v>735</v>
      </c>
      <c r="L66" s="869">
        <v>450</v>
      </c>
      <c r="M66" s="352" t="s">
        <v>4</v>
      </c>
    </row>
    <row r="67" spans="1:13" x14ac:dyDescent="0.35">
      <c r="A67">
        <v>66</v>
      </c>
      <c r="B67" s="868" t="s">
        <v>230</v>
      </c>
      <c r="C67" s="869">
        <v>755</v>
      </c>
      <c r="D67" s="869">
        <v>476</v>
      </c>
      <c r="E67" s="869">
        <v>170</v>
      </c>
      <c r="F67" s="869">
        <v>534</v>
      </c>
      <c r="G67" s="869"/>
      <c r="H67" s="869"/>
      <c r="I67" s="869"/>
      <c r="J67" s="869">
        <v>152</v>
      </c>
      <c r="K67" s="869">
        <v>357</v>
      </c>
      <c r="L67" s="869">
        <v>246</v>
      </c>
      <c r="M67" s="352" t="s">
        <v>4</v>
      </c>
    </row>
    <row r="68" spans="1:13" x14ac:dyDescent="0.35">
      <c r="A68">
        <v>67</v>
      </c>
      <c r="B68" s="868" t="s">
        <v>233</v>
      </c>
      <c r="C68" s="869">
        <v>76</v>
      </c>
      <c r="D68" s="869">
        <v>466</v>
      </c>
      <c r="E68" s="869">
        <v>13</v>
      </c>
      <c r="F68" s="869">
        <v>968</v>
      </c>
      <c r="G68" s="869"/>
      <c r="H68" s="869"/>
      <c r="I68" s="869"/>
      <c r="J68" s="869">
        <v>17</v>
      </c>
      <c r="K68" s="869">
        <v>29</v>
      </c>
      <c r="L68" s="869">
        <v>30</v>
      </c>
      <c r="M68" s="352" t="s">
        <v>4</v>
      </c>
    </row>
    <row r="69" spans="1:13" x14ac:dyDescent="0.35">
      <c r="A69">
        <v>68</v>
      </c>
      <c r="B69" s="870" t="s">
        <v>232</v>
      </c>
      <c r="C69" s="869">
        <v>42</v>
      </c>
      <c r="D69" s="869">
        <v>897</v>
      </c>
      <c r="E69" s="869">
        <v>19</v>
      </c>
      <c r="F69" s="869">
        <v>140</v>
      </c>
      <c r="G69" s="869"/>
      <c r="H69" s="869"/>
      <c r="I69" s="869"/>
      <c r="J69" s="869">
        <v>9</v>
      </c>
      <c r="K69" s="869">
        <v>21</v>
      </c>
      <c r="L69" s="869">
        <v>12</v>
      </c>
      <c r="M69" s="352" t="s">
        <v>4</v>
      </c>
    </row>
    <row r="70" spans="1:13" x14ac:dyDescent="0.35">
      <c r="A70">
        <v>69</v>
      </c>
      <c r="B70" s="144" t="s">
        <v>239</v>
      </c>
      <c r="C70" s="546">
        <f>510+1961</f>
        <v>2471</v>
      </c>
      <c r="D70" s="546">
        <f>219+323</f>
        <v>542</v>
      </c>
      <c r="E70" s="546">
        <f>27+634</f>
        <v>661</v>
      </c>
      <c r="F70" s="546">
        <f>3373+1569</f>
        <v>4942</v>
      </c>
      <c r="G70" s="546"/>
      <c r="H70" s="546"/>
      <c r="I70" s="546"/>
      <c r="J70" s="546">
        <v>322</v>
      </c>
      <c r="K70" s="546">
        <f>125+1961</f>
        <v>2086</v>
      </c>
      <c r="L70" s="546">
        <v>63</v>
      </c>
      <c r="M70" s="352" t="s">
        <v>5</v>
      </c>
    </row>
    <row r="71" spans="1:13" x14ac:dyDescent="0.35">
      <c r="A71">
        <v>70</v>
      </c>
      <c r="B71" s="144" t="s">
        <v>244</v>
      </c>
      <c r="C71" s="546">
        <v>1889</v>
      </c>
      <c r="D71" s="546">
        <v>1790</v>
      </c>
      <c r="E71" s="546">
        <v>1198</v>
      </c>
      <c r="F71" s="546">
        <v>1023</v>
      </c>
      <c r="G71" s="546"/>
      <c r="H71" s="546"/>
      <c r="I71" s="546"/>
      <c r="J71" s="546">
        <v>632</v>
      </c>
      <c r="K71" s="546">
        <v>669</v>
      </c>
      <c r="L71" s="546">
        <v>588</v>
      </c>
      <c r="M71" s="352" t="s">
        <v>5</v>
      </c>
    </row>
    <row r="72" spans="1:13" x14ac:dyDescent="0.35">
      <c r="A72">
        <v>71</v>
      </c>
      <c r="B72" s="144" t="s">
        <v>237</v>
      </c>
      <c r="C72" s="546">
        <v>706</v>
      </c>
      <c r="D72" s="546">
        <v>421</v>
      </c>
      <c r="E72" s="546">
        <v>61</v>
      </c>
      <c r="F72" s="546">
        <v>495</v>
      </c>
      <c r="G72" s="546"/>
      <c r="H72" s="546"/>
      <c r="I72" s="546"/>
      <c r="J72" s="546">
        <v>509</v>
      </c>
      <c r="K72" s="546">
        <v>146</v>
      </c>
      <c r="L72" s="546">
        <v>51</v>
      </c>
      <c r="M72" s="352" t="s">
        <v>5</v>
      </c>
    </row>
    <row r="73" spans="1:13" x14ac:dyDescent="0.35">
      <c r="A73">
        <v>72</v>
      </c>
      <c r="B73" s="144" t="s">
        <v>238</v>
      </c>
      <c r="C73" s="546">
        <v>638</v>
      </c>
      <c r="D73" s="546">
        <v>370</v>
      </c>
      <c r="E73" s="546">
        <v>150</v>
      </c>
      <c r="F73" s="546">
        <v>2654</v>
      </c>
      <c r="G73" s="546"/>
      <c r="H73" s="546"/>
      <c r="I73" s="546"/>
      <c r="J73" s="546">
        <v>52</v>
      </c>
      <c r="K73" s="546">
        <v>404</v>
      </c>
      <c r="L73" s="546">
        <v>182</v>
      </c>
      <c r="M73" s="352" t="s">
        <v>5</v>
      </c>
    </row>
    <row r="74" spans="1:13" x14ac:dyDescent="0.35">
      <c r="A74">
        <v>73</v>
      </c>
      <c r="B74" s="144" t="s">
        <v>235</v>
      </c>
      <c r="C74" s="546">
        <v>318</v>
      </c>
      <c r="D74" s="546">
        <v>223</v>
      </c>
      <c r="E74" s="546">
        <v>34</v>
      </c>
      <c r="F74" s="546">
        <v>5396</v>
      </c>
      <c r="G74" s="546"/>
      <c r="H74" s="546"/>
      <c r="I74" s="546"/>
      <c r="J74" s="546">
        <v>88</v>
      </c>
      <c r="K74" s="546">
        <v>152</v>
      </c>
      <c r="L74" s="546">
        <v>78</v>
      </c>
      <c r="M74" s="352" t="s">
        <v>5</v>
      </c>
    </row>
    <row r="75" spans="1:13" x14ac:dyDescent="0.35">
      <c r="A75">
        <v>74</v>
      </c>
      <c r="B75" s="144" t="s">
        <v>241</v>
      </c>
      <c r="C75" s="546">
        <v>269</v>
      </c>
      <c r="D75" s="546">
        <v>628</v>
      </c>
      <c r="E75" s="546">
        <v>84</v>
      </c>
      <c r="F75" s="546">
        <v>487</v>
      </c>
      <c r="G75" s="546"/>
      <c r="H75" s="546"/>
      <c r="I75" s="546"/>
      <c r="J75" s="546">
        <v>62</v>
      </c>
      <c r="K75" s="546">
        <v>134</v>
      </c>
      <c r="L75" s="546">
        <v>73</v>
      </c>
      <c r="M75" s="352" t="s">
        <v>5</v>
      </c>
    </row>
    <row r="76" spans="1:13" x14ac:dyDescent="0.35">
      <c r="A76">
        <v>75</v>
      </c>
      <c r="B76" s="144" t="s">
        <v>236</v>
      </c>
      <c r="C76" s="546">
        <v>195</v>
      </c>
      <c r="D76" s="546">
        <v>614</v>
      </c>
      <c r="E76" s="546">
        <v>87</v>
      </c>
      <c r="F76" s="546">
        <v>492</v>
      </c>
      <c r="G76" s="546"/>
      <c r="H76" s="546"/>
      <c r="I76" s="546"/>
      <c r="J76" s="546"/>
      <c r="K76" s="546">
        <v>141</v>
      </c>
      <c r="L76" s="546">
        <v>54</v>
      </c>
      <c r="M76" s="352" t="s">
        <v>5</v>
      </c>
    </row>
    <row r="77" spans="1:13" x14ac:dyDescent="0.35">
      <c r="A77">
        <v>76</v>
      </c>
      <c r="B77" s="144" t="s">
        <v>243</v>
      </c>
      <c r="C77" s="546">
        <v>59</v>
      </c>
      <c r="D77" s="546">
        <v>660</v>
      </c>
      <c r="E77" s="546">
        <v>12</v>
      </c>
      <c r="F77" s="546">
        <v>138</v>
      </c>
      <c r="G77" s="546"/>
      <c r="H77" s="546"/>
      <c r="I77" s="546"/>
      <c r="J77" s="546">
        <v>27</v>
      </c>
      <c r="K77" s="546">
        <v>19</v>
      </c>
      <c r="L77" s="546">
        <v>13</v>
      </c>
      <c r="M77" s="352" t="s">
        <v>5</v>
      </c>
    </row>
    <row r="78" spans="1:13" x14ac:dyDescent="0.35">
      <c r="A78">
        <v>77</v>
      </c>
      <c r="B78" s="144" t="s">
        <v>242</v>
      </c>
      <c r="C78" s="546">
        <v>23</v>
      </c>
      <c r="D78" s="546">
        <v>643</v>
      </c>
      <c r="E78" s="546">
        <v>7</v>
      </c>
      <c r="F78" s="546">
        <v>41</v>
      </c>
      <c r="G78" s="546"/>
      <c r="H78" s="546"/>
      <c r="I78" s="546"/>
      <c r="J78" s="546">
        <v>5</v>
      </c>
      <c r="K78" s="546">
        <v>10</v>
      </c>
      <c r="L78" s="546">
        <v>8</v>
      </c>
      <c r="M78" s="352" t="s">
        <v>5</v>
      </c>
    </row>
    <row r="79" spans="1:13" x14ac:dyDescent="0.35">
      <c r="A79">
        <v>78</v>
      </c>
      <c r="B79" s="144" t="s">
        <v>245</v>
      </c>
      <c r="C79" s="546">
        <v>13</v>
      </c>
      <c r="D79" s="546"/>
      <c r="E79" s="546"/>
      <c r="F79" s="546">
        <v>36</v>
      </c>
      <c r="G79" s="546"/>
      <c r="H79" s="546"/>
      <c r="I79" s="546"/>
      <c r="J79" s="546">
        <v>13</v>
      </c>
      <c r="K79" s="546"/>
      <c r="L79" s="546"/>
      <c r="M79" s="352" t="s">
        <v>5</v>
      </c>
    </row>
    <row r="80" spans="1:13" x14ac:dyDescent="0.35">
      <c r="A80">
        <v>79</v>
      </c>
      <c r="B80" s="144" t="s">
        <v>240</v>
      </c>
      <c r="C80" s="546"/>
      <c r="D80" s="546"/>
      <c r="E80" s="546"/>
      <c r="F80" s="546"/>
      <c r="G80" s="546"/>
      <c r="H80" s="546"/>
      <c r="I80" s="546"/>
      <c r="J80" s="546"/>
      <c r="K80" s="546"/>
      <c r="L80" s="546"/>
      <c r="M80" s="352" t="s">
        <v>5</v>
      </c>
    </row>
    <row r="81" spans="1:13" x14ac:dyDescent="0.35">
      <c r="A81">
        <v>80</v>
      </c>
      <c r="B81" s="144" t="s">
        <v>246</v>
      </c>
      <c r="C81" s="546"/>
      <c r="D81" s="546"/>
      <c r="E81" s="546"/>
      <c r="F81" s="546"/>
      <c r="G81" s="546"/>
      <c r="H81" s="546"/>
      <c r="I81" s="546"/>
      <c r="J81" s="546"/>
      <c r="K81" s="546"/>
      <c r="L81" s="546"/>
      <c r="M81" s="352" t="s">
        <v>5</v>
      </c>
    </row>
    <row r="82" spans="1:13" x14ac:dyDescent="0.35">
      <c r="A82">
        <v>81</v>
      </c>
      <c r="B82" s="871" t="s">
        <v>247</v>
      </c>
      <c r="C82" s="872">
        <v>25</v>
      </c>
      <c r="D82" s="872">
        <v>329</v>
      </c>
      <c r="E82" s="872">
        <v>2</v>
      </c>
      <c r="F82" s="872">
        <v>212</v>
      </c>
      <c r="G82" s="872"/>
      <c r="H82" s="872"/>
      <c r="I82" s="872"/>
      <c r="J82" s="872">
        <v>18</v>
      </c>
      <c r="K82" s="872">
        <v>5</v>
      </c>
      <c r="L82" s="872">
        <v>2</v>
      </c>
      <c r="M82" s="352" t="s">
        <v>6</v>
      </c>
    </row>
    <row r="83" spans="1:13" x14ac:dyDescent="0.35">
      <c r="A83">
        <v>82</v>
      </c>
      <c r="B83" s="871" t="s">
        <v>660</v>
      </c>
      <c r="C83" s="872">
        <v>18</v>
      </c>
      <c r="D83" s="872"/>
      <c r="E83" s="872"/>
      <c r="F83" s="872">
        <v>17</v>
      </c>
      <c r="G83" s="872"/>
      <c r="H83" s="872"/>
      <c r="I83" s="872"/>
      <c r="J83" s="872">
        <v>18</v>
      </c>
      <c r="K83" s="872"/>
      <c r="L83" s="872"/>
      <c r="M83" s="352" t="s">
        <v>6</v>
      </c>
    </row>
    <row r="84" spans="1:13" x14ac:dyDescent="0.35">
      <c r="A84">
        <v>83</v>
      </c>
      <c r="B84" s="871" t="s">
        <v>249</v>
      </c>
      <c r="C84" s="872">
        <v>2</v>
      </c>
      <c r="D84" s="872"/>
      <c r="E84" s="872"/>
      <c r="F84" s="872">
        <v>2</v>
      </c>
      <c r="G84" s="872"/>
      <c r="H84" s="872"/>
      <c r="I84" s="872"/>
      <c r="J84" s="872">
        <v>1</v>
      </c>
      <c r="K84" s="872"/>
      <c r="L84" s="872">
        <v>1</v>
      </c>
      <c r="M84" s="352" t="s">
        <v>6</v>
      </c>
    </row>
    <row r="85" spans="1:13" x14ac:dyDescent="0.35">
      <c r="A85">
        <v>84</v>
      </c>
      <c r="B85" s="873" t="s">
        <v>248</v>
      </c>
      <c r="C85" s="872"/>
      <c r="D85" s="872"/>
      <c r="E85" s="872"/>
      <c r="F85" s="872"/>
      <c r="G85" s="872"/>
      <c r="H85" s="872"/>
      <c r="I85" s="872"/>
      <c r="J85" s="872"/>
      <c r="K85" s="872"/>
      <c r="L85" s="872"/>
      <c r="M85" s="352" t="s">
        <v>6</v>
      </c>
    </row>
    <row r="86" spans="1:13" x14ac:dyDescent="0.35">
      <c r="A86">
        <v>85</v>
      </c>
      <c r="B86" s="874" t="s">
        <v>251</v>
      </c>
      <c r="C86" s="875">
        <v>784</v>
      </c>
      <c r="D86" s="579">
        <v>737</v>
      </c>
      <c r="E86" s="579">
        <v>212</v>
      </c>
      <c r="F86" s="875">
        <v>1077</v>
      </c>
      <c r="G86" s="579"/>
      <c r="H86" s="579"/>
      <c r="I86" s="579"/>
      <c r="J86" s="875">
        <v>280</v>
      </c>
      <c r="K86" s="579">
        <v>287</v>
      </c>
      <c r="L86" s="875">
        <v>217</v>
      </c>
      <c r="M86" s="352" t="s">
        <v>7</v>
      </c>
    </row>
    <row r="87" spans="1:13" x14ac:dyDescent="0.35">
      <c r="A87">
        <v>86</v>
      </c>
      <c r="B87" s="874" t="s">
        <v>257</v>
      </c>
      <c r="C87" s="875">
        <v>384</v>
      </c>
      <c r="D87" s="579">
        <v>755</v>
      </c>
      <c r="E87" s="579">
        <v>128</v>
      </c>
      <c r="F87" s="875">
        <v>692</v>
      </c>
      <c r="G87" s="579"/>
      <c r="H87" s="579"/>
      <c r="I87" s="579"/>
      <c r="J87" s="875">
        <v>68</v>
      </c>
      <c r="K87" s="579">
        <v>170</v>
      </c>
      <c r="L87" s="875">
        <v>146</v>
      </c>
      <c r="M87" s="352" t="s">
        <v>7</v>
      </c>
    </row>
    <row r="88" spans="1:13" x14ac:dyDescent="0.35">
      <c r="A88">
        <v>87</v>
      </c>
      <c r="B88" s="874" t="s">
        <v>256</v>
      </c>
      <c r="C88" s="875">
        <v>358</v>
      </c>
      <c r="D88" s="579">
        <v>152</v>
      </c>
      <c r="E88" s="579">
        <v>27</v>
      </c>
      <c r="F88" s="875">
        <v>190</v>
      </c>
      <c r="G88" s="579"/>
      <c r="H88" s="579"/>
      <c r="I88" s="579"/>
      <c r="J88" s="875">
        <v>110</v>
      </c>
      <c r="K88" s="579">
        <v>181</v>
      </c>
      <c r="L88" s="875">
        <v>67</v>
      </c>
      <c r="M88" s="352" t="s">
        <v>7</v>
      </c>
    </row>
    <row r="89" spans="1:13" x14ac:dyDescent="0.35">
      <c r="A89">
        <v>88</v>
      </c>
      <c r="B89" s="874" t="s">
        <v>258</v>
      </c>
      <c r="C89" s="875">
        <v>220</v>
      </c>
      <c r="D89" s="579">
        <v>480</v>
      </c>
      <c r="E89" s="579">
        <v>18</v>
      </c>
      <c r="F89" s="875">
        <v>440</v>
      </c>
      <c r="G89" s="579"/>
      <c r="H89" s="579"/>
      <c r="I89" s="579"/>
      <c r="J89" s="875">
        <v>162</v>
      </c>
      <c r="K89" s="579">
        <v>37</v>
      </c>
      <c r="L89" s="875">
        <v>21</v>
      </c>
      <c r="M89" s="352" t="s">
        <v>7</v>
      </c>
    </row>
    <row r="90" spans="1:13" x14ac:dyDescent="0.35">
      <c r="A90">
        <v>89</v>
      </c>
      <c r="B90" s="874" t="s">
        <v>253</v>
      </c>
      <c r="C90" s="875">
        <v>203</v>
      </c>
      <c r="D90" s="579">
        <v>515</v>
      </c>
      <c r="E90" s="579">
        <v>25</v>
      </c>
      <c r="F90" s="875">
        <v>580</v>
      </c>
      <c r="G90" s="579"/>
      <c r="H90" s="579"/>
      <c r="I90" s="579"/>
      <c r="J90" s="875">
        <v>137</v>
      </c>
      <c r="K90" s="579">
        <v>49</v>
      </c>
      <c r="L90" s="875">
        <v>17</v>
      </c>
      <c r="M90" s="352" t="s">
        <v>7</v>
      </c>
    </row>
    <row r="91" spans="1:13" x14ac:dyDescent="0.35">
      <c r="A91">
        <v>90</v>
      </c>
      <c r="B91" s="874" t="s">
        <v>254</v>
      </c>
      <c r="C91" s="875">
        <v>183</v>
      </c>
      <c r="D91" s="579">
        <v>632</v>
      </c>
      <c r="E91" s="579">
        <v>41</v>
      </c>
      <c r="F91" s="875">
        <v>2235</v>
      </c>
      <c r="G91" s="579"/>
      <c r="H91" s="579"/>
      <c r="I91" s="579"/>
      <c r="J91" s="875">
        <v>89</v>
      </c>
      <c r="K91" s="579">
        <v>64</v>
      </c>
      <c r="L91" s="875">
        <v>30</v>
      </c>
      <c r="M91" s="352" t="s">
        <v>7</v>
      </c>
    </row>
    <row r="92" spans="1:13" x14ac:dyDescent="0.35">
      <c r="A92">
        <v>91</v>
      </c>
      <c r="B92" s="874" t="s">
        <v>259</v>
      </c>
      <c r="C92" s="875">
        <v>113</v>
      </c>
      <c r="D92" s="579">
        <v>492</v>
      </c>
      <c r="E92" s="579">
        <v>22</v>
      </c>
      <c r="F92" s="875">
        <v>237</v>
      </c>
      <c r="G92" s="579"/>
      <c r="H92" s="579"/>
      <c r="I92" s="579"/>
      <c r="J92" s="875">
        <v>52</v>
      </c>
      <c r="K92" s="579">
        <v>45</v>
      </c>
      <c r="L92" s="875">
        <v>16</v>
      </c>
      <c r="M92" s="352" t="s">
        <v>7</v>
      </c>
    </row>
    <row r="93" spans="1:13" x14ac:dyDescent="0.35">
      <c r="A93">
        <v>92</v>
      </c>
      <c r="B93" s="874" t="s">
        <v>250</v>
      </c>
      <c r="C93" s="875">
        <v>45</v>
      </c>
      <c r="D93" s="579">
        <v>944</v>
      </c>
      <c r="E93" s="579">
        <v>25</v>
      </c>
      <c r="F93" s="875">
        <v>368</v>
      </c>
      <c r="G93" s="579"/>
      <c r="H93" s="579"/>
      <c r="I93" s="579"/>
      <c r="J93" s="875">
        <v>2</v>
      </c>
      <c r="K93" s="579">
        <v>27</v>
      </c>
      <c r="L93" s="579">
        <v>16</v>
      </c>
      <c r="M93" s="352" t="s">
        <v>7</v>
      </c>
    </row>
    <row r="94" spans="1:13" x14ac:dyDescent="0.35">
      <c r="A94">
        <v>93</v>
      </c>
      <c r="B94" s="874" t="s">
        <v>252</v>
      </c>
      <c r="C94" s="875">
        <v>41</v>
      </c>
      <c r="D94" s="579">
        <v>1154</v>
      </c>
      <c r="E94" s="579">
        <v>22</v>
      </c>
      <c r="F94" s="875">
        <v>53</v>
      </c>
      <c r="G94" s="579"/>
      <c r="H94" s="579"/>
      <c r="I94" s="579"/>
      <c r="J94" s="875">
        <v>13</v>
      </c>
      <c r="K94" s="579">
        <v>19</v>
      </c>
      <c r="L94" s="875">
        <v>9</v>
      </c>
      <c r="M94" s="352" t="s">
        <v>7</v>
      </c>
    </row>
    <row r="95" spans="1:13" x14ac:dyDescent="0.35">
      <c r="A95">
        <v>94</v>
      </c>
      <c r="B95" s="874" t="s">
        <v>255</v>
      </c>
      <c r="C95" s="875">
        <v>23</v>
      </c>
      <c r="D95" s="579"/>
      <c r="E95" s="579"/>
      <c r="F95" s="875">
        <v>23</v>
      </c>
      <c r="G95" s="579"/>
      <c r="H95" s="579"/>
      <c r="I95" s="579"/>
      <c r="J95" s="875">
        <v>23</v>
      </c>
      <c r="K95" s="579"/>
      <c r="L95" s="579"/>
      <c r="M95" s="352" t="s">
        <v>7</v>
      </c>
    </row>
    <row r="96" spans="1:13" x14ac:dyDescent="0.35">
      <c r="A96">
        <v>95</v>
      </c>
      <c r="B96" s="876" t="s">
        <v>260</v>
      </c>
      <c r="C96" s="877">
        <v>4483</v>
      </c>
      <c r="D96" s="878">
        <v>1040</v>
      </c>
      <c r="E96" s="878">
        <v>1703</v>
      </c>
      <c r="F96" s="877">
        <v>2672</v>
      </c>
      <c r="G96" s="878"/>
      <c r="H96" s="878"/>
      <c r="I96" s="878"/>
      <c r="J96" s="877">
        <v>2254</v>
      </c>
      <c r="K96" s="878">
        <v>1637</v>
      </c>
      <c r="L96" s="877">
        <v>592</v>
      </c>
      <c r="M96" s="352" t="s">
        <v>8</v>
      </c>
    </row>
    <row r="97" spans="1:13" x14ac:dyDescent="0.35">
      <c r="A97">
        <v>96</v>
      </c>
      <c r="B97" s="183" t="s">
        <v>270</v>
      </c>
      <c r="C97" s="877">
        <v>1734</v>
      </c>
      <c r="D97" s="878">
        <v>800</v>
      </c>
      <c r="E97" s="878">
        <v>594</v>
      </c>
      <c r="F97" s="877">
        <v>3420</v>
      </c>
      <c r="G97" s="878"/>
      <c r="H97" s="878"/>
      <c r="I97" s="878"/>
      <c r="J97" s="877">
        <v>665</v>
      </c>
      <c r="K97" s="878">
        <v>743</v>
      </c>
      <c r="L97" s="877">
        <v>326</v>
      </c>
      <c r="M97" s="352" t="s">
        <v>8</v>
      </c>
    </row>
    <row r="98" spans="1:13" x14ac:dyDescent="0.35">
      <c r="A98">
        <v>97</v>
      </c>
      <c r="B98" s="183" t="s">
        <v>262</v>
      </c>
      <c r="C98" s="877">
        <v>1209</v>
      </c>
      <c r="D98" s="878">
        <v>578</v>
      </c>
      <c r="E98" s="878">
        <v>218</v>
      </c>
      <c r="F98" s="877">
        <v>990</v>
      </c>
      <c r="G98" s="878"/>
      <c r="H98" s="878"/>
      <c r="I98" s="878"/>
      <c r="J98" s="877">
        <v>699</v>
      </c>
      <c r="K98" s="878">
        <v>378</v>
      </c>
      <c r="L98" s="877">
        <v>132</v>
      </c>
      <c r="M98" s="352" t="s">
        <v>8</v>
      </c>
    </row>
    <row r="99" spans="1:13" x14ac:dyDescent="0.35">
      <c r="A99">
        <v>98</v>
      </c>
      <c r="B99" s="183" t="s">
        <v>261</v>
      </c>
      <c r="C99" s="877">
        <v>979</v>
      </c>
      <c r="D99" s="878">
        <v>616</v>
      </c>
      <c r="E99" s="878">
        <v>185</v>
      </c>
      <c r="F99" s="877">
        <v>636</v>
      </c>
      <c r="G99" s="878"/>
      <c r="H99" s="878"/>
      <c r="I99" s="878"/>
      <c r="J99" s="877">
        <v>348</v>
      </c>
      <c r="K99" s="878">
        <v>301</v>
      </c>
      <c r="L99" s="877">
        <v>330</v>
      </c>
      <c r="M99" s="352" t="s">
        <v>8</v>
      </c>
    </row>
    <row r="100" spans="1:13" x14ac:dyDescent="0.35">
      <c r="A100">
        <v>99</v>
      </c>
      <c r="B100" s="183" t="s">
        <v>271</v>
      </c>
      <c r="C100" s="877">
        <v>836</v>
      </c>
      <c r="D100" s="878">
        <v>897</v>
      </c>
      <c r="E100" s="878">
        <v>312</v>
      </c>
      <c r="F100" s="877">
        <v>2021</v>
      </c>
      <c r="G100" s="878"/>
      <c r="H100" s="878"/>
      <c r="I100" s="878"/>
      <c r="J100" s="877">
        <v>367</v>
      </c>
      <c r="K100" s="878">
        <v>347</v>
      </c>
      <c r="L100" s="877">
        <v>122</v>
      </c>
      <c r="M100" s="352" t="s">
        <v>8</v>
      </c>
    </row>
    <row r="101" spans="1:13" x14ac:dyDescent="0.35">
      <c r="A101">
        <v>100</v>
      </c>
      <c r="B101" s="183" t="s">
        <v>272</v>
      </c>
      <c r="C101" s="877">
        <v>569</v>
      </c>
      <c r="D101" s="878">
        <v>1000</v>
      </c>
      <c r="E101" s="878">
        <v>70</v>
      </c>
      <c r="F101" s="877">
        <v>805</v>
      </c>
      <c r="G101" s="878"/>
      <c r="H101" s="878"/>
      <c r="I101" s="878"/>
      <c r="J101" s="877">
        <v>475</v>
      </c>
      <c r="K101" s="878">
        <v>70</v>
      </c>
      <c r="L101" s="877">
        <v>24</v>
      </c>
      <c r="M101" s="352" t="s">
        <v>8</v>
      </c>
    </row>
    <row r="102" spans="1:13" x14ac:dyDescent="0.35">
      <c r="A102">
        <v>101</v>
      </c>
      <c r="B102" s="183" t="s">
        <v>264</v>
      </c>
      <c r="C102" s="877">
        <v>474</v>
      </c>
      <c r="D102" s="878">
        <v>117</v>
      </c>
      <c r="E102" s="878">
        <v>27</v>
      </c>
      <c r="F102" s="877">
        <v>398</v>
      </c>
      <c r="G102" s="878"/>
      <c r="H102" s="878"/>
      <c r="I102" s="878"/>
      <c r="J102" s="877">
        <v>70</v>
      </c>
      <c r="K102" s="878">
        <v>227</v>
      </c>
      <c r="L102" s="877">
        <v>177</v>
      </c>
      <c r="M102" s="352" t="s">
        <v>8</v>
      </c>
    </row>
    <row r="103" spans="1:13" x14ac:dyDescent="0.35">
      <c r="A103">
        <v>102</v>
      </c>
      <c r="B103" s="183" t="s">
        <v>265</v>
      </c>
      <c r="C103" s="877">
        <v>158</v>
      </c>
      <c r="D103" s="878">
        <v>1225</v>
      </c>
      <c r="E103" s="878">
        <v>81</v>
      </c>
      <c r="F103" s="877">
        <v>234</v>
      </c>
      <c r="G103" s="878"/>
      <c r="H103" s="878"/>
      <c r="I103" s="878"/>
      <c r="J103" s="877">
        <v>60</v>
      </c>
      <c r="K103" s="878">
        <v>66</v>
      </c>
      <c r="L103" s="877">
        <v>32</v>
      </c>
      <c r="M103" s="352" t="s">
        <v>8</v>
      </c>
    </row>
    <row r="104" spans="1:13" x14ac:dyDescent="0.35">
      <c r="A104">
        <v>103</v>
      </c>
      <c r="B104" s="183" t="s">
        <v>268</v>
      </c>
      <c r="C104" s="877">
        <v>154</v>
      </c>
      <c r="D104" s="878">
        <v>462</v>
      </c>
      <c r="E104" s="878">
        <v>41</v>
      </c>
      <c r="F104" s="877">
        <v>436</v>
      </c>
      <c r="G104" s="878"/>
      <c r="H104" s="878"/>
      <c r="I104" s="878"/>
      <c r="J104" s="877">
        <v>30</v>
      </c>
      <c r="K104" s="878">
        <v>88</v>
      </c>
      <c r="L104" s="877">
        <v>36</v>
      </c>
      <c r="M104" s="352" t="s">
        <v>8</v>
      </c>
    </row>
    <row r="105" spans="1:13" x14ac:dyDescent="0.35">
      <c r="A105">
        <v>104</v>
      </c>
      <c r="B105" s="879" t="s">
        <v>267</v>
      </c>
      <c r="C105" s="877">
        <v>103</v>
      </c>
      <c r="D105" s="878">
        <v>1085</v>
      </c>
      <c r="E105" s="878">
        <v>38</v>
      </c>
      <c r="F105" s="877">
        <v>87</v>
      </c>
      <c r="G105" s="878"/>
      <c r="H105" s="878"/>
      <c r="I105" s="878"/>
      <c r="J105" s="877">
        <v>51</v>
      </c>
      <c r="K105" s="878">
        <v>35</v>
      </c>
      <c r="L105" s="877">
        <v>17</v>
      </c>
      <c r="M105" s="352" t="s">
        <v>8</v>
      </c>
    </row>
    <row r="106" spans="1:13" x14ac:dyDescent="0.35">
      <c r="A106">
        <v>105</v>
      </c>
      <c r="B106" s="183" t="s">
        <v>266</v>
      </c>
      <c r="C106" s="877">
        <v>68</v>
      </c>
      <c r="D106" s="878"/>
      <c r="E106" s="878"/>
      <c r="F106" s="877">
        <v>140</v>
      </c>
      <c r="G106" s="878"/>
      <c r="H106" s="878"/>
      <c r="I106" s="878"/>
      <c r="J106" s="877">
        <v>68</v>
      </c>
      <c r="K106" s="878"/>
      <c r="L106" s="878"/>
      <c r="M106" s="352" t="s">
        <v>8</v>
      </c>
    </row>
    <row r="107" spans="1:13" x14ac:dyDescent="0.35">
      <c r="A107">
        <v>106</v>
      </c>
      <c r="B107" s="183" t="s">
        <v>273</v>
      </c>
      <c r="C107" s="877">
        <v>54</v>
      </c>
      <c r="D107" s="878">
        <v>2778</v>
      </c>
      <c r="E107" s="878">
        <v>19</v>
      </c>
      <c r="F107" s="878"/>
      <c r="G107" s="878"/>
      <c r="H107" s="878"/>
      <c r="I107" s="878"/>
      <c r="J107" s="877">
        <v>40</v>
      </c>
      <c r="K107" s="878">
        <v>7</v>
      </c>
      <c r="L107" s="877">
        <v>7</v>
      </c>
      <c r="M107" s="352" t="s">
        <v>8</v>
      </c>
    </row>
    <row r="108" spans="1:13" x14ac:dyDescent="0.35">
      <c r="A108">
        <v>107</v>
      </c>
      <c r="B108" s="183" t="s">
        <v>263</v>
      </c>
      <c r="C108" s="877">
        <v>25</v>
      </c>
      <c r="D108" s="878">
        <v>1000</v>
      </c>
      <c r="E108" s="878">
        <v>1</v>
      </c>
      <c r="F108" s="877">
        <v>230</v>
      </c>
      <c r="G108" s="878"/>
      <c r="H108" s="878"/>
      <c r="I108" s="878"/>
      <c r="J108" s="877">
        <v>23</v>
      </c>
      <c r="K108" s="878">
        <v>1</v>
      </c>
      <c r="L108" s="877">
        <v>1</v>
      </c>
      <c r="M108" s="352" t="s">
        <v>8</v>
      </c>
    </row>
    <row r="109" spans="1:13" x14ac:dyDescent="0.35">
      <c r="A109">
        <v>108</v>
      </c>
      <c r="B109" s="183" t="s">
        <v>269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352" t="s">
        <v>8</v>
      </c>
    </row>
    <row r="110" spans="1:13" x14ac:dyDescent="0.35">
      <c r="A110">
        <v>109</v>
      </c>
      <c r="B110" s="156" t="s">
        <v>274</v>
      </c>
      <c r="C110" s="880">
        <v>500</v>
      </c>
      <c r="D110" s="881">
        <v>809</v>
      </c>
      <c r="E110" s="881">
        <v>125</v>
      </c>
      <c r="F110" s="880">
        <v>336</v>
      </c>
      <c r="G110" s="881"/>
      <c r="H110" s="881"/>
      <c r="I110" s="881"/>
      <c r="J110" s="880">
        <v>269</v>
      </c>
      <c r="K110" s="881">
        <v>155</v>
      </c>
      <c r="L110" s="880">
        <v>77</v>
      </c>
      <c r="M110" s="352" t="s">
        <v>9</v>
      </c>
    </row>
    <row r="111" spans="1:13" x14ac:dyDescent="0.35">
      <c r="A111">
        <v>110</v>
      </c>
      <c r="B111" s="156" t="s">
        <v>276</v>
      </c>
      <c r="C111" s="880">
        <v>127</v>
      </c>
      <c r="D111" s="881">
        <v>637</v>
      </c>
      <c r="E111" s="881">
        <v>31</v>
      </c>
      <c r="F111" s="880">
        <v>82</v>
      </c>
      <c r="G111" s="881"/>
      <c r="H111" s="881"/>
      <c r="I111" s="881"/>
      <c r="J111" s="880">
        <v>52</v>
      </c>
      <c r="K111" s="881">
        <v>48</v>
      </c>
      <c r="L111" s="880">
        <v>27</v>
      </c>
      <c r="M111" s="352" t="s">
        <v>9</v>
      </c>
    </row>
    <row r="112" spans="1:13" x14ac:dyDescent="0.35">
      <c r="A112">
        <v>111</v>
      </c>
      <c r="B112" s="156" t="s">
        <v>275</v>
      </c>
      <c r="C112" s="880">
        <v>98</v>
      </c>
      <c r="D112" s="881">
        <v>754</v>
      </c>
      <c r="E112" s="881">
        <v>34</v>
      </c>
      <c r="F112" s="880">
        <v>208</v>
      </c>
      <c r="G112" s="881"/>
      <c r="H112" s="881"/>
      <c r="I112" s="881"/>
      <c r="J112" s="880">
        <v>12</v>
      </c>
      <c r="K112" s="881">
        <v>45</v>
      </c>
      <c r="L112" s="880">
        <v>41</v>
      </c>
      <c r="M112" s="352" t="s">
        <v>9</v>
      </c>
    </row>
    <row r="113" spans="1:13" x14ac:dyDescent="0.35">
      <c r="A113">
        <v>112</v>
      </c>
      <c r="B113" s="156" t="s">
        <v>277</v>
      </c>
      <c r="C113" s="880">
        <v>25</v>
      </c>
      <c r="D113" s="881">
        <v>457</v>
      </c>
      <c r="E113" s="881">
        <v>5</v>
      </c>
      <c r="F113" s="880">
        <v>64</v>
      </c>
      <c r="G113" s="881"/>
      <c r="H113" s="881"/>
      <c r="I113" s="881"/>
      <c r="J113" s="880">
        <v>7</v>
      </c>
      <c r="K113" s="881">
        <v>11</v>
      </c>
      <c r="L113" s="880">
        <v>7</v>
      </c>
      <c r="M113" s="352" t="s">
        <v>9</v>
      </c>
    </row>
    <row r="114" spans="1:13" x14ac:dyDescent="0.35">
      <c r="A114">
        <v>113</v>
      </c>
      <c r="B114" s="156" t="s">
        <v>278</v>
      </c>
      <c r="C114" s="880">
        <v>18</v>
      </c>
      <c r="D114" s="881">
        <v>400</v>
      </c>
      <c r="E114" s="881">
        <v>4</v>
      </c>
      <c r="F114" s="880">
        <v>45</v>
      </c>
      <c r="G114" s="881"/>
      <c r="H114" s="881"/>
      <c r="I114" s="881"/>
      <c r="J114" s="881"/>
      <c r="K114" s="881">
        <v>10</v>
      </c>
      <c r="L114" s="880">
        <v>8</v>
      </c>
      <c r="M114" s="352" t="s">
        <v>9</v>
      </c>
    </row>
    <row r="115" spans="1:13" x14ac:dyDescent="0.35">
      <c r="A115">
        <v>114</v>
      </c>
      <c r="B115" s="156" t="s">
        <v>279</v>
      </c>
      <c r="C115" s="881"/>
      <c r="D115" s="881"/>
      <c r="E115" s="881"/>
      <c r="F115" s="881"/>
      <c r="G115" s="881"/>
      <c r="H115" s="881"/>
      <c r="I115" s="881"/>
      <c r="J115" s="881"/>
      <c r="K115" s="881"/>
      <c r="L115" s="881"/>
      <c r="M115" s="352" t="s">
        <v>9</v>
      </c>
    </row>
    <row r="116" spans="1:13" x14ac:dyDescent="0.35">
      <c r="A116">
        <v>115</v>
      </c>
      <c r="B116" s="156" t="s">
        <v>280</v>
      </c>
      <c r="C116" s="881"/>
      <c r="D116" s="881"/>
      <c r="E116" s="881"/>
      <c r="F116" s="881"/>
      <c r="G116" s="881"/>
      <c r="H116" s="881"/>
      <c r="I116" s="881"/>
      <c r="J116" s="881"/>
      <c r="K116" s="881"/>
      <c r="L116" s="881"/>
      <c r="M116" s="352" t="s">
        <v>9</v>
      </c>
    </row>
    <row r="117" spans="1:13" x14ac:dyDescent="0.35">
      <c r="A117">
        <v>116</v>
      </c>
      <c r="B117" s="882" t="s">
        <v>284</v>
      </c>
      <c r="C117" s="883">
        <v>4555</v>
      </c>
      <c r="D117" s="884">
        <v>623</v>
      </c>
      <c r="E117" s="884">
        <v>814</v>
      </c>
      <c r="F117" s="883">
        <v>8975</v>
      </c>
      <c r="G117" s="884"/>
      <c r="H117" s="884"/>
      <c r="I117" s="884"/>
      <c r="J117" s="883">
        <v>1380</v>
      </c>
      <c r="K117" s="884">
        <v>1306</v>
      </c>
      <c r="L117" s="883">
        <v>1869</v>
      </c>
      <c r="M117" s="352" t="s">
        <v>1341</v>
      </c>
    </row>
    <row r="118" spans="1:13" x14ac:dyDescent="0.35">
      <c r="A118">
        <v>117</v>
      </c>
      <c r="B118" s="158" t="s">
        <v>281</v>
      </c>
      <c r="C118" s="884">
        <v>2471</v>
      </c>
      <c r="D118" s="884">
        <v>856</v>
      </c>
      <c r="E118" s="884">
        <v>1011</v>
      </c>
      <c r="F118" s="884">
        <v>2607</v>
      </c>
      <c r="G118" s="884"/>
      <c r="H118" s="884"/>
      <c r="I118" s="884"/>
      <c r="J118" s="884">
        <v>826</v>
      </c>
      <c r="K118" s="884">
        <v>1181</v>
      </c>
      <c r="L118" s="884">
        <v>464</v>
      </c>
      <c r="M118" s="352" t="s">
        <v>1341</v>
      </c>
    </row>
    <row r="119" spans="1:13" x14ac:dyDescent="0.35">
      <c r="A119">
        <v>118</v>
      </c>
      <c r="B119" s="158" t="s">
        <v>288</v>
      </c>
      <c r="C119" s="883">
        <v>2240</v>
      </c>
      <c r="D119" s="884">
        <v>899</v>
      </c>
      <c r="E119" s="884">
        <v>1006</v>
      </c>
      <c r="F119" s="883">
        <v>2869</v>
      </c>
      <c r="G119" s="884"/>
      <c r="H119" s="884"/>
      <c r="I119" s="884"/>
      <c r="J119" s="883">
        <v>674</v>
      </c>
      <c r="K119" s="884">
        <v>1118</v>
      </c>
      <c r="L119" s="883">
        <v>448</v>
      </c>
      <c r="M119" s="352" t="s">
        <v>1341</v>
      </c>
    </row>
    <row r="120" spans="1:13" x14ac:dyDescent="0.35">
      <c r="A120">
        <v>119</v>
      </c>
      <c r="B120" s="158" t="s">
        <v>286</v>
      </c>
      <c r="C120" s="883">
        <v>1258</v>
      </c>
      <c r="D120" s="884">
        <v>549</v>
      </c>
      <c r="E120" s="884">
        <v>399</v>
      </c>
      <c r="F120" s="883">
        <v>1877</v>
      </c>
      <c r="G120" s="884"/>
      <c r="H120" s="884"/>
      <c r="I120" s="884"/>
      <c r="J120" s="883">
        <v>260</v>
      </c>
      <c r="K120" s="884">
        <v>727</v>
      </c>
      <c r="L120" s="883">
        <v>271</v>
      </c>
      <c r="M120" s="352" t="s">
        <v>1341</v>
      </c>
    </row>
    <row r="121" spans="1:13" x14ac:dyDescent="0.35">
      <c r="A121">
        <v>120</v>
      </c>
      <c r="B121" s="158" t="s">
        <v>287</v>
      </c>
      <c r="C121" s="883">
        <v>866</v>
      </c>
      <c r="D121" s="884">
        <v>823</v>
      </c>
      <c r="E121" s="884">
        <v>386</v>
      </c>
      <c r="F121" s="883">
        <v>1382</v>
      </c>
      <c r="G121" s="884"/>
      <c r="H121" s="884"/>
      <c r="I121" s="884"/>
      <c r="J121" s="883">
        <v>218</v>
      </c>
      <c r="K121" s="884">
        <v>469</v>
      </c>
      <c r="L121" s="883">
        <v>179</v>
      </c>
      <c r="M121" s="352" t="s">
        <v>1341</v>
      </c>
    </row>
    <row r="122" spans="1:13" x14ac:dyDescent="0.35">
      <c r="A122">
        <v>121</v>
      </c>
      <c r="B122" s="158" t="s">
        <v>283</v>
      </c>
      <c r="C122" s="883">
        <v>591</v>
      </c>
      <c r="D122" s="884">
        <v>726</v>
      </c>
      <c r="E122" s="884">
        <v>232</v>
      </c>
      <c r="F122" s="883">
        <v>800</v>
      </c>
      <c r="G122" s="884"/>
      <c r="H122" s="884"/>
      <c r="I122" s="884"/>
      <c r="J122" s="883">
        <v>127</v>
      </c>
      <c r="K122" s="884">
        <v>319</v>
      </c>
      <c r="L122" s="883">
        <v>145</v>
      </c>
      <c r="M122" s="352" t="s">
        <v>1341</v>
      </c>
    </row>
    <row r="123" spans="1:13" x14ac:dyDescent="0.35">
      <c r="A123">
        <v>122</v>
      </c>
      <c r="B123" s="158" t="s">
        <v>290</v>
      </c>
      <c r="C123" s="883">
        <v>413</v>
      </c>
      <c r="D123" s="884">
        <v>854</v>
      </c>
      <c r="E123" s="884">
        <v>247</v>
      </c>
      <c r="F123" s="883">
        <v>691</v>
      </c>
      <c r="G123" s="884"/>
      <c r="H123" s="884"/>
      <c r="I123" s="884"/>
      <c r="J123" s="883">
        <v>22</v>
      </c>
      <c r="K123" s="884">
        <v>289</v>
      </c>
      <c r="L123" s="883">
        <v>102</v>
      </c>
      <c r="M123" s="352" t="s">
        <v>1341</v>
      </c>
    </row>
    <row r="124" spans="1:13" x14ac:dyDescent="0.35">
      <c r="A124">
        <v>123</v>
      </c>
      <c r="B124" s="158" t="s">
        <v>285</v>
      </c>
      <c r="C124" s="883">
        <v>392</v>
      </c>
      <c r="D124" s="884">
        <v>891</v>
      </c>
      <c r="E124" s="884">
        <v>115</v>
      </c>
      <c r="F124" s="883">
        <v>745</v>
      </c>
      <c r="G124" s="884"/>
      <c r="H124" s="884"/>
      <c r="I124" s="884"/>
      <c r="J124" s="883">
        <v>200</v>
      </c>
      <c r="K124" s="884">
        <v>130</v>
      </c>
      <c r="L124" s="883">
        <v>62</v>
      </c>
      <c r="M124" s="352" t="s">
        <v>1341</v>
      </c>
    </row>
    <row r="125" spans="1:13" x14ac:dyDescent="0.35">
      <c r="A125">
        <v>124</v>
      </c>
      <c r="B125" s="158" t="s">
        <v>282</v>
      </c>
      <c r="C125" s="883">
        <v>99</v>
      </c>
      <c r="D125" s="884">
        <v>875</v>
      </c>
      <c r="E125" s="884">
        <v>57</v>
      </c>
      <c r="F125" s="883">
        <v>210</v>
      </c>
      <c r="G125" s="884"/>
      <c r="H125" s="884"/>
      <c r="I125" s="884"/>
      <c r="J125" s="883">
        <v>9</v>
      </c>
      <c r="K125" s="884">
        <v>65</v>
      </c>
      <c r="L125" s="883">
        <v>25</v>
      </c>
      <c r="M125" s="352" t="s">
        <v>1341</v>
      </c>
    </row>
    <row r="126" spans="1:13" x14ac:dyDescent="0.35">
      <c r="A126">
        <v>125</v>
      </c>
      <c r="B126" s="885" t="s">
        <v>289</v>
      </c>
      <c r="C126" s="883">
        <v>24</v>
      </c>
      <c r="D126" s="884">
        <v>386</v>
      </c>
      <c r="E126" s="884">
        <v>4</v>
      </c>
      <c r="F126" s="883">
        <v>40</v>
      </c>
      <c r="G126" s="884"/>
      <c r="H126" s="884"/>
      <c r="I126" s="884"/>
      <c r="J126" s="883">
        <v>6</v>
      </c>
      <c r="K126" s="884">
        <v>10</v>
      </c>
      <c r="L126" s="883">
        <v>8</v>
      </c>
      <c r="M126" s="352" t="s">
        <v>1341</v>
      </c>
    </row>
    <row r="127" spans="1:13" x14ac:dyDescent="0.35">
      <c r="A127">
        <v>126</v>
      </c>
      <c r="B127" s="886" t="s">
        <v>293</v>
      </c>
      <c r="C127" s="887">
        <f>15823+43</f>
        <v>15866</v>
      </c>
      <c r="D127" s="888">
        <f>881+884</f>
        <v>1765</v>
      </c>
      <c r="E127" s="888">
        <f>7572+38</f>
        <v>7610</v>
      </c>
      <c r="F127" s="887">
        <f>13269+34</f>
        <v>13303</v>
      </c>
      <c r="G127" s="888"/>
      <c r="H127" s="888"/>
      <c r="I127" s="888"/>
      <c r="J127" s="887">
        <v>2979</v>
      </c>
      <c r="K127" s="888">
        <f>8592+43</f>
        <v>8635</v>
      </c>
      <c r="L127" s="887">
        <v>4252</v>
      </c>
      <c r="M127" s="352" t="s">
        <v>1342</v>
      </c>
    </row>
    <row r="128" spans="1:13" x14ac:dyDescent="0.35">
      <c r="A128">
        <v>127</v>
      </c>
      <c r="B128" s="886" t="s">
        <v>300</v>
      </c>
      <c r="C128" s="887">
        <f>14846+389</f>
        <v>15235</v>
      </c>
      <c r="D128" s="888">
        <f>623+941</f>
        <v>1564</v>
      </c>
      <c r="E128" s="888">
        <f>5170+366</f>
        <v>5536</v>
      </c>
      <c r="F128" s="887">
        <f>17981+311</f>
        <v>18292</v>
      </c>
      <c r="G128" s="888"/>
      <c r="H128" s="888"/>
      <c r="I128" s="888"/>
      <c r="J128" s="887">
        <v>1692</v>
      </c>
      <c r="K128" s="888">
        <f>8293+389</f>
        <v>8682</v>
      </c>
      <c r="L128" s="887">
        <v>4861</v>
      </c>
      <c r="M128" s="352" t="s">
        <v>1342</v>
      </c>
    </row>
    <row r="129" spans="1:13" x14ac:dyDescent="0.35">
      <c r="A129">
        <v>128</v>
      </c>
      <c r="B129" s="886" t="s">
        <v>292</v>
      </c>
      <c r="C129" s="887">
        <v>14994</v>
      </c>
      <c r="D129" s="888">
        <v>1306</v>
      </c>
      <c r="E129" s="888">
        <v>11778</v>
      </c>
      <c r="F129" s="887">
        <v>18357</v>
      </c>
      <c r="G129" s="888"/>
      <c r="H129" s="888"/>
      <c r="I129" s="888"/>
      <c r="J129" s="887">
        <v>2093</v>
      </c>
      <c r="K129" s="888">
        <v>9020</v>
      </c>
      <c r="L129" s="887">
        <v>3881</v>
      </c>
      <c r="M129" s="352" t="s">
        <v>1342</v>
      </c>
    </row>
    <row r="130" spans="1:13" x14ac:dyDescent="0.35">
      <c r="A130">
        <v>129</v>
      </c>
      <c r="B130" s="886" t="s">
        <v>295</v>
      </c>
      <c r="C130" s="887">
        <v>10991</v>
      </c>
      <c r="D130" s="888">
        <v>505</v>
      </c>
      <c r="E130" s="888">
        <v>2623</v>
      </c>
      <c r="F130" s="887">
        <v>24424</v>
      </c>
      <c r="G130" s="888"/>
      <c r="H130" s="888"/>
      <c r="I130" s="888"/>
      <c r="J130" s="887">
        <v>2093</v>
      </c>
      <c r="K130" s="888">
        <v>5196</v>
      </c>
      <c r="L130" s="887">
        <v>3702</v>
      </c>
      <c r="M130" s="352" t="s">
        <v>1342</v>
      </c>
    </row>
    <row r="131" spans="1:13" x14ac:dyDescent="0.35">
      <c r="A131">
        <v>130</v>
      </c>
      <c r="B131" s="886" t="s">
        <v>294</v>
      </c>
      <c r="C131" s="887">
        <v>5234</v>
      </c>
      <c r="D131" s="888">
        <v>747</v>
      </c>
      <c r="E131" s="888">
        <v>2214</v>
      </c>
      <c r="F131" s="887">
        <v>22017</v>
      </c>
      <c r="G131" s="888"/>
      <c r="H131" s="888"/>
      <c r="I131" s="888"/>
      <c r="J131" s="887">
        <v>1114</v>
      </c>
      <c r="K131" s="888">
        <v>2965</v>
      </c>
      <c r="L131" s="887">
        <v>1155</v>
      </c>
      <c r="M131" s="352" t="s">
        <v>1342</v>
      </c>
    </row>
    <row r="132" spans="1:13" x14ac:dyDescent="0.35">
      <c r="A132">
        <v>131</v>
      </c>
      <c r="B132" s="886" t="s">
        <v>302</v>
      </c>
      <c r="C132" s="887">
        <v>5061</v>
      </c>
      <c r="D132" s="888">
        <v>890</v>
      </c>
      <c r="E132" s="888">
        <v>2424</v>
      </c>
      <c r="F132" s="887">
        <v>4389</v>
      </c>
      <c r="G132" s="888"/>
      <c r="H132" s="888"/>
      <c r="I132" s="888"/>
      <c r="J132" s="887">
        <v>547</v>
      </c>
      <c r="K132" s="888">
        <v>2724</v>
      </c>
      <c r="L132" s="887">
        <v>1790</v>
      </c>
      <c r="M132" s="352" t="s">
        <v>1342</v>
      </c>
    </row>
    <row r="133" spans="1:13" x14ac:dyDescent="0.35">
      <c r="A133">
        <v>132</v>
      </c>
      <c r="B133" s="886" t="s">
        <v>297</v>
      </c>
      <c r="C133" s="887">
        <v>1456</v>
      </c>
      <c r="D133" s="888">
        <v>807</v>
      </c>
      <c r="E133" s="888">
        <v>711</v>
      </c>
      <c r="F133" s="887">
        <v>2170</v>
      </c>
      <c r="G133" s="888"/>
      <c r="H133" s="888"/>
      <c r="I133" s="888"/>
      <c r="J133" s="887">
        <v>117</v>
      </c>
      <c r="K133" s="888">
        <v>880</v>
      </c>
      <c r="L133" s="887">
        <v>459</v>
      </c>
      <c r="M133" s="352" t="s">
        <v>1342</v>
      </c>
    </row>
    <row r="134" spans="1:13" x14ac:dyDescent="0.35">
      <c r="A134">
        <v>133</v>
      </c>
      <c r="B134" s="886" t="s">
        <v>298</v>
      </c>
      <c r="C134" s="887">
        <v>1211</v>
      </c>
      <c r="D134" s="888">
        <v>900</v>
      </c>
      <c r="E134" s="888">
        <v>513</v>
      </c>
      <c r="F134" s="887">
        <v>1730</v>
      </c>
      <c r="G134" s="888"/>
      <c r="H134" s="888"/>
      <c r="I134" s="888"/>
      <c r="J134" s="887">
        <v>283</v>
      </c>
      <c r="K134" s="888">
        <v>570</v>
      </c>
      <c r="L134" s="887">
        <v>358</v>
      </c>
      <c r="M134" s="352" t="s">
        <v>1342</v>
      </c>
    </row>
    <row r="135" spans="1:13" x14ac:dyDescent="0.35">
      <c r="A135">
        <v>134</v>
      </c>
      <c r="B135" s="886" t="s">
        <v>306</v>
      </c>
      <c r="C135" s="887">
        <v>1187</v>
      </c>
      <c r="D135" s="888">
        <v>976</v>
      </c>
      <c r="E135" s="888">
        <v>599</v>
      </c>
      <c r="F135" s="887">
        <v>982</v>
      </c>
      <c r="G135" s="888"/>
      <c r="H135" s="888"/>
      <c r="I135" s="888"/>
      <c r="J135" s="887">
        <v>159</v>
      </c>
      <c r="K135" s="888">
        <v>614</v>
      </c>
      <c r="L135" s="887">
        <v>414</v>
      </c>
      <c r="M135" s="352" t="s">
        <v>1342</v>
      </c>
    </row>
    <row r="136" spans="1:13" x14ac:dyDescent="0.35">
      <c r="A136">
        <v>135</v>
      </c>
      <c r="B136" s="886" t="s">
        <v>296</v>
      </c>
      <c r="C136" s="887">
        <v>847</v>
      </c>
      <c r="D136" s="888">
        <v>486</v>
      </c>
      <c r="E136" s="888">
        <v>204</v>
      </c>
      <c r="F136" s="887">
        <v>1560</v>
      </c>
      <c r="G136" s="888"/>
      <c r="H136" s="888"/>
      <c r="I136" s="888"/>
      <c r="J136" s="887">
        <v>205</v>
      </c>
      <c r="K136" s="888">
        <v>419</v>
      </c>
      <c r="L136" s="887">
        <v>223</v>
      </c>
      <c r="M136" s="352" t="s">
        <v>1342</v>
      </c>
    </row>
    <row r="137" spans="1:13" x14ac:dyDescent="0.35">
      <c r="A137">
        <v>136</v>
      </c>
      <c r="B137" s="886" t="s">
        <v>301</v>
      </c>
      <c r="C137" s="887">
        <v>555</v>
      </c>
      <c r="D137" s="888">
        <v>1000</v>
      </c>
      <c r="E137" s="888">
        <v>386</v>
      </c>
      <c r="F137" s="887">
        <v>711</v>
      </c>
      <c r="G137" s="888"/>
      <c r="H137" s="888"/>
      <c r="I137" s="888"/>
      <c r="J137" s="887">
        <v>20</v>
      </c>
      <c r="K137" s="888">
        <v>386</v>
      </c>
      <c r="L137" s="887">
        <v>149</v>
      </c>
      <c r="M137" s="352" t="s">
        <v>1342</v>
      </c>
    </row>
    <row r="138" spans="1:13" x14ac:dyDescent="0.35">
      <c r="A138">
        <v>137</v>
      </c>
      <c r="B138" s="886" t="s">
        <v>299</v>
      </c>
      <c r="C138" s="887">
        <v>206</v>
      </c>
      <c r="D138" s="888">
        <v>1044</v>
      </c>
      <c r="E138" s="888">
        <v>88</v>
      </c>
      <c r="F138" s="887">
        <v>2060</v>
      </c>
      <c r="G138" s="888"/>
      <c r="H138" s="888"/>
      <c r="I138" s="888"/>
      <c r="J138" s="887">
        <v>90</v>
      </c>
      <c r="K138" s="888">
        <v>84</v>
      </c>
      <c r="L138" s="887">
        <v>32</v>
      </c>
      <c r="M138" s="352" t="s">
        <v>1342</v>
      </c>
    </row>
    <row r="139" spans="1:13" x14ac:dyDescent="0.35">
      <c r="A139">
        <v>138</v>
      </c>
      <c r="B139" s="886" t="s">
        <v>304</v>
      </c>
      <c r="C139" s="887">
        <v>167</v>
      </c>
      <c r="D139" s="888">
        <v>533</v>
      </c>
      <c r="E139" s="888">
        <v>59</v>
      </c>
      <c r="F139" s="887">
        <v>1443</v>
      </c>
      <c r="G139" s="888"/>
      <c r="H139" s="888"/>
      <c r="I139" s="888"/>
      <c r="J139" s="887">
        <v>17</v>
      </c>
      <c r="K139" s="888">
        <v>111</v>
      </c>
      <c r="L139" s="887">
        <v>39</v>
      </c>
      <c r="M139" s="352" t="s">
        <v>1342</v>
      </c>
    </row>
    <row r="140" spans="1:13" x14ac:dyDescent="0.35">
      <c r="A140">
        <v>139</v>
      </c>
      <c r="B140" s="886" t="s">
        <v>305</v>
      </c>
      <c r="C140" s="887">
        <v>77</v>
      </c>
      <c r="D140" s="888">
        <v>953</v>
      </c>
      <c r="E140" s="888">
        <v>45</v>
      </c>
      <c r="F140" s="887">
        <v>3480</v>
      </c>
      <c r="G140" s="888"/>
      <c r="H140" s="888"/>
      <c r="I140" s="888"/>
      <c r="J140" s="887">
        <v>8</v>
      </c>
      <c r="K140" s="888">
        <v>47</v>
      </c>
      <c r="L140" s="887">
        <v>22</v>
      </c>
      <c r="M140" s="352" t="s">
        <v>1342</v>
      </c>
    </row>
    <row r="141" spans="1:13" x14ac:dyDescent="0.35">
      <c r="A141">
        <v>140</v>
      </c>
      <c r="B141" s="886" t="s">
        <v>303</v>
      </c>
      <c r="C141" s="887">
        <v>64</v>
      </c>
      <c r="D141" s="888">
        <v>714</v>
      </c>
      <c r="E141" s="888">
        <v>19</v>
      </c>
      <c r="F141" s="887">
        <v>711</v>
      </c>
      <c r="G141" s="888"/>
      <c r="H141" s="888"/>
      <c r="I141" s="888"/>
      <c r="J141" s="887">
        <v>18</v>
      </c>
      <c r="K141" s="888">
        <v>26</v>
      </c>
      <c r="L141" s="887">
        <v>20</v>
      </c>
      <c r="M141" s="352" t="s">
        <v>1342</v>
      </c>
    </row>
    <row r="142" spans="1:13" x14ac:dyDescent="0.35">
      <c r="A142">
        <v>141</v>
      </c>
      <c r="B142" s="889" t="s">
        <v>327</v>
      </c>
      <c r="C142" s="890">
        <v>2301</v>
      </c>
      <c r="D142" s="890">
        <v>250</v>
      </c>
      <c r="E142" s="890">
        <v>259</v>
      </c>
      <c r="F142" s="890">
        <v>7673</v>
      </c>
      <c r="G142" s="890"/>
      <c r="H142" s="890"/>
      <c r="I142" s="890"/>
      <c r="J142" s="890">
        <v>272</v>
      </c>
      <c r="K142" s="890">
        <v>1037</v>
      </c>
      <c r="L142" s="890">
        <v>993</v>
      </c>
      <c r="M142" s="352" t="s">
        <v>14</v>
      </c>
    </row>
    <row r="143" spans="1:13" x14ac:dyDescent="0.35">
      <c r="A143">
        <v>142</v>
      </c>
      <c r="B143" s="889" t="s">
        <v>309</v>
      </c>
      <c r="C143" s="891">
        <f>380+1480</f>
        <v>1860</v>
      </c>
      <c r="D143" s="890">
        <f>250+92</f>
        <v>342</v>
      </c>
      <c r="E143" s="890">
        <f>38+115</f>
        <v>153</v>
      </c>
      <c r="F143" s="891">
        <f>1521+1273</f>
        <v>2794</v>
      </c>
      <c r="G143" s="890"/>
      <c r="H143" s="890"/>
      <c r="I143" s="890"/>
      <c r="J143" s="891">
        <f>105+216</f>
        <v>321</v>
      </c>
      <c r="K143" s="890">
        <f>151+1252</f>
        <v>1403</v>
      </c>
      <c r="L143" s="891">
        <f>124+12</f>
        <v>136</v>
      </c>
      <c r="M143" s="352" t="s">
        <v>14</v>
      </c>
    </row>
    <row r="144" spans="1:13" x14ac:dyDescent="0.35">
      <c r="A144">
        <v>143</v>
      </c>
      <c r="B144" s="889" t="s">
        <v>330</v>
      </c>
      <c r="C144" s="890">
        <v>1020</v>
      </c>
      <c r="D144" s="890">
        <v>354</v>
      </c>
      <c r="E144" s="890">
        <v>174</v>
      </c>
      <c r="F144" s="890">
        <v>2984</v>
      </c>
      <c r="G144" s="890"/>
      <c r="H144" s="890"/>
      <c r="I144" s="890"/>
      <c r="J144" s="890">
        <v>166</v>
      </c>
      <c r="K144" s="890">
        <v>493</v>
      </c>
      <c r="L144" s="890">
        <v>361</v>
      </c>
      <c r="M144" s="352" t="s">
        <v>14</v>
      </c>
    </row>
    <row r="145" spans="1:13" x14ac:dyDescent="0.35">
      <c r="A145">
        <v>144</v>
      </c>
      <c r="B145" s="889" t="s">
        <v>311</v>
      </c>
      <c r="C145" s="891">
        <f>130+619</f>
        <v>749</v>
      </c>
      <c r="D145" s="890">
        <f>856+1381</f>
        <v>2237</v>
      </c>
      <c r="E145" s="890">
        <f>30+850</f>
        <v>880</v>
      </c>
      <c r="F145" s="891">
        <f>952+493</f>
        <v>1445</v>
      </c>
      <c r="G145" s="890"/>
      <c r="H145" s="890"/>
      <c r="I145" s="890"/>
      <c r="J145" s="891">
        <v>5</v>
      </c>
      <c r="K145" s="890">
        <f>35+616</f>
        <v>651</v>
      </c>
      <c r="L145" s="891">
        <f>90+4</f>
        <v>94</v>
      </c>
      <c r="M145" s="352" t="s">
        <v>14</v>
      </c>
    </row>
    <row r="146" spans="1:13" x14ac:dyDescent="0.35">
      <c r="A146">
        <v>145</v>
      </c>
      <c r="B146" s="889" t="s">
        <v>325</v>
      </c>
      <c r="C146" s="890">
        <v>749</v>
      </c>
      <c r="D146" s="890">
        <v>750</v>
      </c>
      <c r="E146" s="890">
        <v>127</v>
      </c>
      <c r="F146" s="890">
        <v>2495</v>
      </c>
      <c r="G146" s="890"/>
      <c r="H146" s="890"/>
      <c r="I146" s="890"/>
      <c r="J146" s="890">
        <v>493</v>
      </c>
      <c r="K146" s="890">
        <v>169</v>
      </c>
      <c r="L146" s="890">
        <v>87</v>
      </c>
      <c r="M146" s="352" t="s">
        <v>14</v>
      </c>
    </row>
    <row r="147" spans="1:13" x14ac:dyDescent="0.35">
      <c r="A147">
        <v>146</v>
      </c>
      <c r="B147" s="889" t="s">
        <v>329</v>
      </c>
      <c r="C147" s="890">
        <f>14+441</f>
        <v>455</v>
      </c>
      <c r="D147" s="890">
        <f>100+1427</f>
        <v>1527</v>
      </c>
      <c r="E147" s="890">
        <f>0+630</f>
        <v>630</v>
      </c>
      <c r="F147" s="890">
        <f>19+353</f>
        <v>372</v>
      </c>
      <c r="G147" s="890"/>
      <c r="H147" s="890"/>
      <c r="I147" s="890"/>
      <c r="J147" s="890">
        <v>12</v>
      </c>
      <c r="K147" s="890">
        <f>2+441</f>
        <v>443</v>
      </c>
      <c r="L147" s="890">
        <v>1</v>
      </c>
      <c r="M147" s="352" t="s">
        <v>14</v>
      </c>
    </row>
    <row r="148" spans="1:13" x14ac:dyDescent="0.35">
      <c r="A148">
        <v>147</v>
      </c>
      <c r="B148" s="889" t="s">
        <v>319</v>
      </c>
      <c r="C148" s="890">
        <v>422</v>
      </c>
      <c r="D148" s="890">
        <v>332</v>
      </c>
      <c r="E148" s="890">
        <v>22</v>
      </c>
      <c r="F148" s="890">
        <v>721</v>
      </c>
      <c r="G148" s="890"/>
      <c r="H148" s="890"/>
      <c r="I148" s="890"/>
      <c r="J148" s="890">
        <v>321</v>
      </c>
      <c r="K148" s="890">
        <v>66</v>
      </c>
      <c r="L148" s="890">
        <v>35</v>
      </c>
      <c r="M148" s="352" t="s">
        <v>14</v>
      </c>
    </row>
    <row r="149" spans="1:13" x14ac:dyDescent="0.35">
      <c r="A149">
        <v>148</v>
      </c>
      <c r="B149" s="889" t="s">
        <v>328</v>
      </c>
      <c r="C149" s="890">
        <v>401</v>
      </c>
      <c r="D149" s="890">
        <v>274</v>
      </c>
      <c r="E149" s="890">
        <v>5</v>
      </c>
      <c r="F149" s="890">
        <v>1045</v>
      </c>
      <c r="G149" s="890"/>
      <c r="H149" s="890"/>
      <c r="I149" s="890"/>
      <c r="J149" s="890">
        <v>250</v>
      </c>
      <c r="K149" s="890">
        <v>19</v>
      </c>
      <c r="L149" s="890">
        <v>131</v>
      </c>
      <c r="M149" s="352" t="s">
        <v>14</v>
      </c>
    </row>
    <row r="150" spans="1:13" x14ac:dyDescent="0.35">
      <c r="A150">
        <v>149</v>
      </c>
      <c r="B150" s="889" t="s">
        <v>307</v>
      </c>
      <c r="C150" s="891">
        <f>50+151</f>
        <v>201</v>
      </c>
      <c r="D150" s="890">
        <f>800+1000</f>
        <v>1800</v>
      </c>
      <c r="E150" s="890">
        <f>17+18</f>
        <v>35</v>
      </c>
      <c r="F150" s="891">
        <f>23+241</f>
        <v>264</v>
      </c>
      <c r="G150" s="890"/>
      <c r="H150" s="890"/>
      <c r="I150" s="890"/>
      <c r="J150" s="891">
        <f>20+28</f>
        <v>48</v>
      </c>
      <c r="K150" s="890">
        <f>21+18</f>
        <v>39</v>
      </c>
      <c r="L150" s="891">
        <f>9+105</f>
        <v>114</v>
      </c>
      <c r="M150" s="352" t="s">
        <v>14</v>
      </c>
    </row>
    <row r="151" spans="1:13" x14ac:dyDescent="0.35">
      <c r="A151">
        <v>150</v>
      </c>
      <c r="B151" s="889" t="s">
        <v>326</v>
      </c>
      <c r="C151" s="890">
        <v>183</v>
      </c>
      <c r="D151" s="890">
        <v>325</v>
      </c>
      <c r="E151" s="890">
        <v>13</v>
      </c>
      <c r="F151" s="890">
        <v>355</v>
      </c>
      <c r="G151" s="890"/>
      <c r="H151" s="890"/>
      <c r="I151" s="890"/>
      <c r="J151" s="890">
        <v>121</v>
      </c>
      <c r="K151" s="890">
        <v>40</v>
      </c>
      <c r="L151" s="890">
        <v>22</v>
      </c>
      <c r="M151" s="352" t="s">
        <v>14</v>
      </c>
    </row>
    <row r="152" spans="1:13" x14ac:dyDescent="0.35">
      <c r="A152">
        <v>151</v>
      </c>
      <c r="B152" s="889" t="s">
        <v>323</v>
      </c>
      <c r="C152" s="890">
        <v>56</v>
      </c>
      <c r="D152" s="890">
        <v>329</v>
      </c>
      <c r="E152" s="890">
        <v>6</v>
      </c>
      <c r="F152" s="890">
        <v>322</v>
      </c>
      <c r="G152" s="890"/>
      <c r="H152" s="890"/>
      <c r="I152" s="890"/>
      <c r="J152" s="890">
        <v>19</v>
      </c>
      <c r="K152" s="890">
        <v>19</v>
      </c>
      <c r="L152" s="890">
        <v>18</v>
      </c>
      <c r="M152" s="352" t="s">
        <v>14</v>
      </c>
    </row>
    <row r="153" spans="1:13" x14ac:dyDescent="0.35">
      <c r="A153">
        <v>152</v>
      </c>
      <c r="B153" s="889" t="s">
        <v>321</v>
      </c>
      <c r="C153" s="890">
        <v>40</v>
      </c>
      <c r="D153" s="890"/>
      <c r="E153" s="890"/>
      <c r="F153" s="890">
        <v>80</v>
      </c>
      <c r="G153" s="890"/>
      <c r="H153" s="890"/>
      <c r="I153" s="890"/>
      <c r="J153" s="890"/>
      <c r="K153" s="890"/>
      <c r="L153" s="890">
        <v>40</v>
      </c>
      <c r="M153" s="352" t="s">
        <v>14</v>
      </c>
    </row>
    <row r="154" spans="1:13" x14ac:dyDescent="0.35">
      <c r="A154">
        <v>153</v>
      </c>
      <c r="B154" s="889" t="s">
        <v>313</v>
      </c>
      <c r="C154" s="890">
        <v>34</v>
      </c>
      <c r="D154" s="890">
        <v>561</v>
      </c>
      <c r="E154" s="890">
        <v>2</v>
      </c>
      <c r="F154" s="890">
        <v>277</v>
      </c>
      <c r="G154" s="890"/>
      <c r="H154" s="890"/>
      <c r="I154" s="890"/>
      <c r="J154" s="890">
        <v>24</v>
      </c>
      <c r="K154" s="890">
        <v>4</v>
      </c>
      <c r="L154" s="890">
        <v>6</v>
      </c>
      <c r="M154" s="352" t="s">
        <v>14</v>
      </c>
    </row>
    <row r="155" spans="1:13" x14ac:dyDescent="0.35">
      <c r="A155">
        <v>154</v>
      </c>
      <c r="B155" s="889" t="s">
        <v>324</v>
      </c>
      <c r="C155" s="890">
        <v>5</v>
      </c>
      <c r="D155" s="890">
        <v>200</v>
      </c>
      <c r="E155" s="890">
        <v>1</v>
      </c>
      <c r="F155" s="890">
        <v>12</v>
      </c>
      <c r="G155" s="890"/>
      <c r="H155" s="890"/>
      <c r="I155" s="890"/>
      <c r="J155" s="890"/>
      <c r="K155" s="890">
        <v>4</v>
      </c>
      <c r="L155" s="890">
        <v>1</v>
      </c>
      <c r="M155" s="352" t="s">
        <v>14</v>
      </c>
    </row>
    <row r="156" spans="1:13" x14ac:dyDescent="0.35">
      <c r="A156">
        <v>155</v>
      </c>
      <c r="B156" s="889" t="s">
        <v>308</v>
      </c>
      <c r="C156" s="890"/>
      <c r="D156" s="890"/>
      <c r="E156" s="890"/>
      <c r="F156" s="890"/>
      <c r="G156" s="890"/>
      <c r="H156" s="890"/>
      <c r="I156" s="890"/>
      <c r="J156" s="890"/>
      <c r="K156" s="890"/>
      <c r="L156" s="890"/>
      <c r="M156" s="352" t="s">
        <v>14</v>
      </c>
    </row>
    <row r="157" spans="1:13" x14ac:dyDescent="0.35">
      <c r="A157">
        <v>156</v>
      </c>
      <c r="B157" s="889" t="s">
        <v>310</v>
      </c>
      <c r="C157" s="890"/>
      <c r="D157" s="890"/>
      <c r="E157" s="890"/>
      <c r="F157" s="890"/>
      <c r="G157" s="890"/>
      <c r="H157" s="890"/>
      <c r="I157" s="890"/>
      <c r="J157" s="890"/>
      <c r="K157" s="890"/>
      <c r="L157" s="890"/>
      <c r="M157" s="352" t="s">
        <v>14</v>
      </c>
    </row>
    <row r="158" spans="1:13" x14ac:dyDescent="0.35">
      <c r="A158">
        <v>157</v>
      </c>
      <c r="B158" s="889" t="s">
        <v>312</v>
      </c>
      <c r="C158" s="890"/>
      <c r="D158" s="890"/>
      <c r="E158" s="890"/>
      <c r="F158" s="890"/>
      <c r="G158" s="890"/>
      <c r="H158" s="890"/>
      <c r="I158" s="890"/>
      <c r="J158" s="890"/>
      <c r="K158" s="890"/>
      <c r="L158" s="890"/>
      <c r="M158" s="352" t="s">
        <v>14</v>
      </c>
    </row>
    <row r="159" spans="1:13" x14ac:dyDescent="0.35">
      <c r="A159">
        <v>158</v>
      </c>
      <c r="B159" s="889" t="s">
        <v>314</v>
      </c>
      <c r="C159" s="890"/>
      <c r="D159" s="890"/>
      <c r="E159" s="890"/>
      <c r="F159" s="890"/>
      <c r="G159" s="890"/>
      <c r="H159" s="890"/>
      <c r="I159" s="890"/>
      <c r="J159" s="890"/>
      <c r="K159" s="890"/>
      <c r="L159" s="890"/>
      <c r="M159" s="352" t="s">
        <v>14</v>
      </c>
    </row>
    <row r="160" spans="1:13" x14ac:dyDescent="0.35">
      <c r="A160">
        <v>159</v>
      </c>
      <c r="B160" s="889" t="s">
        <v>315</v>
      </c>
      <c r="C160" s="890"/>
      <c r="D160" s="890"/>
      <c r="E160" s="890"/>
      <c r="F160" s="890"/>
      <c r="G160" s="890"/>
      <c r="H160" s="890"/>
      <c r="I160" s="890"/>
      <c r="J160" s="890"/>
      <c r="K160" s="890"/>
      <c r="L160" s="890"/>
      <c r="M160" s="352" t="s">
        <v>14</v>
      </c>
    </row>
    <row r="161" spans="1:13" x14ac:dyDescent="0.35">
      <c r="A161">
        <v>160</v>
      </c>
      <c r="B161" s="889" t="s">
        <v>316</v>
      </c>
      <c r="C161" s="890"/>
      <c r="D161" s="890"/>
      <c r="E161" s="890"/>
      <c r="F161" s="890"/>
      <c r="G161" s="890"/>
      <c r="H161" s="890"/>
      <c r="I161" s="890"/>
      <c r="J161" s="890"/>
      <c r="K161" s="890"/>
      <c r="L161" s="890"/>
      <c r="M161" s="352" t="s">
        <v>14</v>
      </c>
    </row>
    <row r="162" spans="1:13" x14ac:dyDescent="0.35">
      <c r="A162">
        <v>161</v>
      </c>
      <c r="B162" s="889" t="s">
        <v>317</v>
      </c>
      <c r="C162" s="890"/>
      <c r="D162" s="890"/>
      <c r="E162" s="890"/>
      <c r="F162" s="890"/>
      <c r="G162" s="890"/>
      <c r="H162" s="890"/>
      <c r="I162" s="890"/>
      <c r="J162" s="890"/>
      <c r="K162" s="890"/>
      <c r="L162" s="890"/>
      <c r="M162" s="352" t="s">
        <v>14</v>
      </c>
    </row>
    <row r="163" spans="1:13" x14ac:dyDescent="0.35">
      <c r="A163">
        <v>162</v>
      </c>
      <c r="B163" s="889" t="s">
        <v>318</v>
      </c>
      <c r="C163" s="890"/>
      <c r="D163" s="890"/>
      <c r="E163" s="890"/>
      <c r="F163" s="890"/>
      <c r="G163" s="890"/>
      <c r="H163" s="890"/>
      <c r="I163" s="890"/>
      <c r="J163" s="890"/>
      <c r="K163" s="890"/>
      <c r="L163" s="890"/>
      <c r="M163" s="352" t="s">
        <v>14</v>
      </c>
    </row>
    <row r="164" spans="1:13" x14ac:dyDescent="0.35">
      <c r="A164">
        <v>163</v>
      </c>
      <c r="B164" s="889" t="s">
        <v>320</v>
      </c>
      <c r="C164" s="890"/>
      <c r="D164" s="890"/>
      <c r="E164" s="890"/>
      <c r="F164" s="890"/>
      <c r="G164" s="890"/>
      <c r="H164" s="890"/>
      <c r="I164" s="890"/>
      <c r="J164" s="890"/>
      <c r="K164" s="890"/>
      <c r="L164" s="890"/>
      <c r="M164" s="352" t="s">
        <v>14</v>
      </c>
    </row>
    <row r="165" spans="1:13" x14ac:dyDescent="0.35">
      <c r="A165">
        <v>164</v>
      </c>
      <c r="B165" s="889" t="s">
        <v>322</v>
      </c>
      <c r="C165" s="890"/>
      <c r="D165" s="890"/>
      <c r="E165" s="890"/>
      <c r="F165" s="890"/>
      <c r="G165" s="890"/>
      <c r="H165" s="890"/>
      <c r="I165" s="890"/>
      <c r="J165" s="890"/>
      <c r="K165" s="890"/>
      <c r="L165" s="890"/>
      <c r="M165" s="352" t="s">
        <v>14</v>
      </c>
    </row>
    <row r="166" spans="1:13" x14ac:dyDescent="0.35">
      <c r="A166">
        <v>165</v>
      </c>
      <c r="B166" s="183" t="s">
        <v>332</v>
      </c>
      <c r="C166" s="878">
        <f>3375+443</f>
        <v>3818</v>
      </c>
      <c r="D166" s="878">
        <f>1066+1043</f>
        <v>2109</v>
      </c>
      <c r="E166" s="878">
        <f>1019+462</f>
        <v>1481</v>
      </c>
      <c r="F166" s="878">
        <f>1365+265</f>
        <v>1630</v>
      </c>
      <c r="G166" s="878"/>
      <c r="H166" s="878"/>
      <c r="I166" s="878"/>
      <c r="J166" s="878">
        <v>1476</v>
      </c>
      <c r="K166" s="878">
        <f>956+443</f>
        <v>1399</v>
      </c>
      <c r="L166" s="878">
        <v>943</v>
      </c>
      <c r="M166" s="352" t="s">
        <v>15</v>
      </c>
    </row>
    <row r="167" spans="1:13" x14ac:dyDescent="0.35">
      <c r="A167">
        <v>166</v>
      </c>
      <c r="B167" s="183" t="s">
        <v>331</v>
      </c>
      <c r="C167" s="878">
        <v>2465</v>
      </c>
      <c r="D167" s="878">
        <v>652</v>
      </c>
      <c r="E167" s="878">
        <v>571</v>
      </c>
      <c r="F167" s="878">
        <v>2523</v>
      </c>
      <c r="G167" s="878"/>
      <c r="H167" s="878"/>
      <c r="I167" s="878"/>
      <c r="J167" s="878">
        <v>897</v>
      </c>
      <c r="K167" s="878">
        <v>876</v>
      </c>
      <c r="L167" s="878">
        <v>692</v>
      </c>
      <c r="M167" s="352" t="s">
        <v>15</v>
      </c>
    </row>
    <row r="168" spans="1:13" x14ac:dyDescent="0.35">
      <c r="A168">
        <v>167</v>
      </c>
      <c r="B168" s="183" t="s">
        <v>333</v>
      </c>
      <c r="C168" s="878">
        <v>1734</v>
      </c>
      <c r="D168" s="878">
        <v>343</v>
      </c>
      <c r="E168" s="878">
        <v>303</v>
      </c>
      <c r="F168" s="878">
        <v>775</v>
      </c>
      <c r="G168" s="878"/>
      <c r="H168" s="878"/>
      <c r="I168" s="878"/>
      <c r="J168" s="878">
        <v>453</v>
      </c>
      <c r="K168" s="878">
        <v>885</v>
      </c>
      <c r="L168" s="878">
        <v>396</v>
      </c>
      <c r="M168" s="352" t="s">
        <v>15</v>
      </c>
    </row>
    <row r="169" spans="1:13" x14ac:dyDescent="0.35">
      <c r="A169">
        <v>168</v>
      </c>
      <c r="B169" s="183" t="s">
        <v>335</v>
      </c>
      <c r="C169" s="878">
        <v>123</v>
      </c>
      <c r="D169" s="878">
        <v>489</v>
      </c>
      <c r="E169" s="878">
        <v>22</v>
      </c>
      <c r="F169" s="878">
        <v>316</v>
      </c>
      <c r="G169" s="878"/>
      <c r="H169" s="878"/>
      <c r="I169" s="878"/>
      <c r="J169" s="878">
        <v>65</v>
      </c>
      <c r="K169" s="878">
        <v>28</v>
      </c>
      <c r="L169" s="878">
        <v>30</v>
      </c>
      <c r="M169" s="352" t="s">
        <v>15</v>
      </c>
    </row>
    <row r="170" spans="1:13" x14ac:dyDescent="0.35">
      <c r="A170">
        <v>169</v>
      </c>
      <c r="B170" s="183" t="s">
        <v>334</v>
      </c>
      <c r="C170" s="878"/>
      <c r="D170" s="878"/>
      <c r="E170" s="878"/>
      <c r="F170" s="878"/>
      <c r="G170" s="878"/>
      <c r="H170" s="878"/>
      <c r="I170" s="878"/>
      <c r="J170" s="878"/>
      <c r="K170" s="878"/>
      <c r="L170" s="878"/>
      <c r="M170" s="352" t="s">
        <v>15</v>
      </c>
    </row>
    <row r="171" spans="1:13" x14ac:dyDescent="0.35">
      <c r="A171">
        <v>170</v>
      </c>
      <c r="B171" s="183" t="s">
        <v>336</v>
      </c>
      <c r="C171" s="878"/>
      <c r="D171" s="878"/>
      <c r="E171" s="878"/>
      <c r="F171" s="878"/>
      <c r="G171" s="878"/>
      <c r="H171" s="878"/>
      <c r="I171" s="878"/>
      <c r="J171" s="878"/>
      <c r="K171" s="878"/>
      <c r="L171" s="878"/>
      <c r="M171" s="352" t="s">
        <v>15</v>
      </c>
    </row>
    <row r="172" spans="1:13" x14ac:dyDescent="0.35">
      <c r="A172">
        <v>171</v>
      </c>
      <c r="B172" s="874" t="s">
        <v>341</v>
      </c>
      <c r="C172" s="579">
        <f>1043+165</f>
        <v>1208</v>
      </c>
      <c r="D172" s="579">
        <f>642+384</f>
        <v>1026</v>
      </c>
      <c r="E172" s="579">
        <f>331+63</f>
        <v>394</v>
      </c>
      <c r="F172" s="579">
        <f>2899+132</f>
        <v>3031</v>
      </c>
      <c r="G172" s="579"/>
      <c r="H172" s="579"/>
      <c r="I172" s="579"/>
      <c r="J172" s="579">
        <v>334</v>
      </c>
      <c r="K172" s="579">
        <f>516+165</f>
        <v>681</v>
      </c>
      <c r="L172" s="579">
        <v>194</v>
      </c>
      <c r="M172" s="352" t="s">
        <v>16</v>
      </c>
    </row>
    <row r="173" spans="1:13" x14ac:dyDescent="0.35">
      <c r="A173">
        <v>172</v>
      </c>
      <c r="B173" s="874" t="s">
        <v>354</v>
      </c>
      <c r="C173" s="579">
        <v>1196</v>
      </c>
      <c r="D173" s="579">
        <v>514</v>
      </c>
      <c r="E173" s="579">
        <v>309</v>
      </c>
      <c r="F173" s="579">
        <v>1417</v>
      </c>
      <c r="G173" s="579"/>
      <c r="H173" s="579"/>
      <c r="I173" s="579"/>
      <c r="J173" s="579">
        <v>292</v>
      </c>
      <c r="K173" s="579">
        <v>601</v>
      </c>
      <c r="L173" s="579">
        <v>303</v>
      </c>
      <c r="M173" s="352" t="s">
        <v>16</v>
      </c>
    </row>
    <row r="174" spans="1:13" x14ac:dyDescent="0.35">
      <c r="A174">
        <v>173</v>
      </c>
      <c r="B174" s="874" t="s">
        <v>357</v>
      </c>
      <c r="C174" s="579">
        <f>551+106</f>
        <v>657</v>
      </c>
      <c r="D174" s="579">
        <v>204</v>
      </c>
      <c r="E174" s="579">
        <v>23</v>
      </c>
      <c r="F174" s="579">
        <f>381+61</f>
        <v>442</v>
      </c>
      <c r="G174" s="579"/>
      <c r="H174" s="579"/>
      <c r="I174" s="579"/>
      <c r="J174" s="579">
        <v>391</v>
      </c>
      <c r="K174" s="579">
        <v>111</v>
      </c>
      <c r="L174" s="579">
        <f>50+106</f>
        <v>156</v>
      </c>
      <c r="M174" s="352" t="s">
        <v>16</v>
      </c>
    </row>
    <row r="175" spans="1:13" x14ac:dyDescent="0.35">
      <c r="A175">
        <v>174</v>
      </c>
      <c r="B175" s="874" t="s">
        <v>338</v>
      </c>
      <c r="C175" s="579">
        <f>375+192</f>
        <v>567</v>
      </c>
      <c r="D175" s="579">
        <f>2473+389</f>
        <v>2862</v>
      </c>
      <c r="E175" s="579">
        <f>147+75</f>
        <v>222</v>
      </c>
      <c r="F175" s="579">
        <f>661+153</f>
        <v>814</v>
      </c>
      <c r="G175" s="579"/>
      <c r="H175" s="579"/>
      <c r="I175" s="579"/>
      <c r="J175" s="579">
        <v>283</v>
      </c>
      <c r="K175" s="579">
        <f>59+192</f>
        <v>251</v>
      </c>
      <c r="L175" s="579">
        <v>32</v>
      </c>
      <c r="M175" s="352" t="s">
        <v>16</v>
      </c>
    </row>
    <row r="176" spans="1:13" x14ac:dyDescent="0.35">
      <c r="A176">
        <v>175</v>
      </c>
      <c r="B176" s="874" t="s">
        <v>345</v>
      </c>
      <c r="C176" s="579">
        <f>164+401</f>
        <v>565</v>
      </c>
      <c r="D176" s="579">
        <v>599</v>
      </c>
      <c r="E176" s="579">
        <v>29</v>
      </c>
      <c r="F176" s="579">
        <f>284+321</f>
        <v>605</v>
      </c>
      <c r="G176" s="579"/>
      <c r="H176" s="579"/>
      <c r="I176" s="579"/>
      <c r="J176" s="579">
        <v>87</v>
      </c>
      <c r="K176" s="579">
        <f>49+401</f>
        <v>450</v>
      </c>
      <c r="L176" s="579">
        <v>28</v>
      </c>
      <c r="M176" s="352" t="s">
        <v>16</v>
      </c>
    </row>
    <row r="177" spans="1:13" x14ac:dyDescent="0.35">
      <c r="A177">
        <v>176</v>
      </c>
      <c r="B177" s="874" t="s">
        <v>348</v>
      </c>
      <c r="C177" s="579">
        <v>494</v>
      </c>
      <c r="D177" s="579">
        <v>694</v>
      </c>
      <c r="E177" s="579">
        <v>185</v>
      </c>
      <c r="F177" s="579">
        <v>2053</v>
      </c>
      <c r="G177" s="579"/>
      <c r="H177" s="579"/>
      <c r="I177" s="579"/>
      <c r="J177" s="579">
        <v>132</v>
      </c>
      <c r="K177" s="579">
        <v>266</v>
      </c>
      <c r="L177" s="579">
        <v>96</v>
      </c>
      <c r="M177" s="352" t="s">
        <v>16</v>
      </c>
    </row>
    <row r="178" spans="1:13" x14ac:dyDescent="0.35">
      <c r="A178">
        <v>177</v>
      </c>
      <c r="B178" s="874" t="s">
        <v>353</v>
      </c>
      <c r="C178" s="579">
        <v>486</v>
      </c>
      <c r="D178" s="579">
        <v>848</v>
      </c>
      <c r="E178" s="579">
        <v>103</v>
      </c>
      <c r="F178" s="579">
        <v>2571</v>
      </c>
      <c r="G178" s="579"/>
      <c r="H178" s="579"/>
      <c r="I178" s="579"/>
      <c r="J178" s="579">
        <v>322</v>
      </c>
      <c r="K178" s="579">
        <v>121</v>
      </c>
      <c r="L178" s="579">
        <v>43</v>
      </c>
      <c r="M178" s="352" t="s">
        <v>16</v>
      </c>
    </row>
    <row r="179" spans="1:13" x14ac:dyDescent="0.35">
      <c r="A179">
        <v>178</v>
      </c>
      <c r="B179" s="874" t="s">
        <v>346</v>
      </c>
      <c r="C179" s="579">
        <f>183+129</f>
        <v>312</v>
      </c>
      <c r="D179" s="579">
        <v>721</v>
      </c>
      <c r="E179" s="579">
        <v>37</v>
      </c>
      <c r="F179" s="579">
        <f>867+104</f>
        <v>971</v>
      </c>
      <c r="G179" s="579"/>
      <c r="H179" s="579"/>
      <c r="I179" s="579"/>
      <c r="J179" s="579">
        <v>108</v>
      </c>
      <c r="K179" s="579">
        <f>52+129</f>
        <v>181</v>
      </c>
      <c r="L179" s="579">
        <v>23</v>
      </c>
      <c r="M179" s="352" t="s">
        <v>16</v>
      </c>
    </row>
    <row r="180" spans="1:13" x14ac:dyDescent="0.35">
      <c r="A180">
        <v>179</v>
      </c>
      <c r="B180" s="874" t="s">
        <v>350</v>
      </c>
      <c r="C180" s="579">
        <v>260</v>
      </c>
      <c r="D180" s="579">
        <v>432</v>
      </c>
      <c r="E180" s="579">
        <v>22</v>
      </c>
      <c r="F180" s="579">
        <v>570</v>
      </c>
      <c r="G180" s="579"/>
      <c r="H180" s="579"/>
      <c r="I180" s="579"/>
      <c r="J180" s="579">
        <v>184</v>
      </c>
      <c r="K180" s="579">
        <v>53</v>
      </c>
      <c r="L180" s="579">
        <v>23</v>
      </c>
      <c r="M180" s="352" t="s">
        <v>16</v>
      </c>
    </row>
    <row r="181" spans="1:13" x14ac:dyDescent="0.35">
      <c r="A181">
        <v>180</v>
      </c>
      <c r="B181" s="874" t="s">
        <v>352</v>
      </c>
      <c r="C181" s="579">
        <v>254</v>
      </c>
      <c r="D181" s="579">
        <v>346</v>
      </c>
      <c r="E181" s="579">
        <v>46</v>
      </c>
      <c r="F181" s="579">
        <v>3886</v>
      </c>
      <c r="G181" s="579"/>
      <c r="H181" s="579"/>
      <c r="I181" s="579"/>
      <c r="J181" s="579">
        <v>37</v>
      </c>
      <c r="K181" s="579">
        <v>133</v>
      </c>
      <c r="L181" s="579">
        <v>84</v>
      </c>
      <c r="M181" s="352" t="s">
        <v>16</v>
      </c>
    </row>
    <row r="182" spans="1:13" x14ac:dyDescent="0.35">
      <c r="A182">
        <v>181</v>
      </c>
      <c r="B182" s="874" t="s">
        <v>347</v>
      </c>
      <c r="C182" s="579">
        <v>216</v>
      </c>
      <c r="D182" s="579">
        <v>421</v>
      </c>
      <c r="E182" s="579">
        <v>48</v>
      </c>
      <c r="F182" s="579">
        <v>480</v>
      </c>
      <c r="G182" s="579"/>
      <c r="H182" s="579"/>
      <c r="I182" s="579"/>
      <c r="J182" s="579">
        <v>52</v>
      </c>
      <c r="K182" s="579">
        <v>113</v>
      </c>
      <c r="L182" s="579">
        <v>51</v>
      </c>
      <c r="M182" s="352" t="s">
        <v>16</v>
      </c>
    </row>
    <row r="183" spans="1:13" x14ac:dyDescent="0.35">
      <c r="A183">
        <v>182</v>
      </c>
      <c r="B183" s="874" t="s">
        <v>349</v>
      </c>
      <c r="C183" s="579">
        <v>214</v>
      </c>
      <c r="D183" s="579">
        <v>1122</v>
      </c>
      <c r="E183" s="579">
        <v>106</v>
      </c>
      <c r="F183" s="579">
        <v>2213</v>
      </c>
      <c r="G183" s="579"/>
      <c r="H183" s="579"/>
      <c r="I183" s="579"/>
      <c r="J183" s="579">
        <v>82</v>
      </c>
      <c r="K183" s="579">
        <v>94</v>
      </c>
      <c r="L183" s="579">
        <v>38</v>
      </c>
      <c r="M183" s="352" t="s">
        <v>16</v>
      </c>
    </row>
    <row r="184" spans="1:13" x14ac:dyDescent="0.35">
      <c r="A184">
        <v>183</v>
      </c>
      <c r="B184" s="874" t="s">
        <v>337</v>
      </c>
      <c r="C184" s="579">
        <v>180</v>
      </c>
      <c r="D184" s="579">
        <v>153</v>
      </c>
      <c r="E184" s="579">
        <v>7</v>
      </c>
      <c r="F184" s="579">
        <v>3525</v>
      </c>
      <c r="G184" s="579"/>
      <c r="H184" s="579"/>
      <c r="I184" s="579"/>
      <c r="J184" s="579">
        <v>91</v>
      </c>
      <c r="K184" s="579">
        <v>46</v>
      </c>
      <c r="L184" s="579">
        <v>43</v>
      </c>
      <c r="M184" s="352" t="s">
        <v>16</v>
      </c>
    </row>
    <row r="185" spans="1:13" x14ac:dyDescent="0.35">
      <c r="A185">
        <v>184</v>
      </c>
      <c r="B185" s="874" t="s">
        <v>342</v>
      </c>
      <c r="C185" s="579">
        <v>145</v>
      </c>
      <c r="D185" s="579">
        <v>89</v>
      </c>
      <c r="E185" s="579">
        <v>4</v>
      </c>
      <c r="F185" s="579">
        <v>490</v>
      </c>
      <c r="G185" s="579"/>
      <c r="H185" s="579"/>
      <c r="I185" s="579"/>
      <c r="J185" s="579">
        <v>75</v>
      </c>
      <c r="K185" s="579">
        <v>50</v>
      </c>
      <c r="L185" s="579">
        <v>20</v>
      </c>
      <c r="M185" s="352" t="s">
        <v>16</v>
      </c>
    </row>
    <row r="186" spans="1:13" x14ac:dyDescent="0.35">
      <c r="A186">
        <v>185</v>
      </c>
      <c r="B186" s="874" t="s">
        <v>356</v>
      </c>
      <c r="C186" s="579">
        <v>143</v>
      </c>
      <c r="D186" s="579">
        <v>588</v>
      </c>
      <c r="E186" s="579">
        <v>9</v>
      </c>
      <c r="F186" s="579">
        <v>196</v>
      </c>
      <c r="G186" s="579"/>
      <c r="H186" s="579"/>
      <c r="I186" s="579"/>
      <c r="J186" s="579">
        <v>127</v>
      </c>
      <c r="K186" s="579">
        <v>15</v>
      </c>
      <c r="L186" s="579">
        <v>1</v>
      </c>
      <c r="M186" s="352" t="s">
        <v>16</v>
      </c>
    </row>
    <row r="187" spans="1:13" x14ac:dyDescent="0.35">
      <c r="A187">
        <v>186</v>
      </c>
      <c r="B187" s="874" t="s">
        <v>344</v>
      </c>
      <c r="C187" s="579">
        <v>118</v>
      </c>
      <c r="D187" s="579">
        <v>116</v>
      </c>
      <c r="E187" s="579">
        <v>5</v>
      </c>
      <c r="F187" s="579">
        <v>492</v>
      </c>
      <c r="G187" s="579"/>
      <c r="H187" s="579"/>
      <c r="I187" s="579"/>
      <c r="J187" s="579">
        <v>57</v>
      </c>
      <c r="K187" s="579">
        <v>42</v>
      </c>
      <c r="L187" s="579">
        <v>19</v>
      </c>
      <c r="M187" s="352" t="s">
        <v>16</v>
      </c>
    </row>
    <row r="188" spans="1:13" x14ac:dyDescent="0.35">
      <c r="A188">
        <v>187</v>
      </c>
      <c r="B188" s="874" t="s">
        <v>358</v>
      </c>
      <c r="C188" s="579">
        <v>95</v>
      </c>
      <c r="D188" s="579">
        <v>626</v>
      </c>
      <c r="E188" s="579">
        <v>15</v>
      </c>
      <c r="F188" s="579">
        <v>366</v>
      </c>
      <c r="G188" s="579"/>
      <c r="H188" s="579"/>
      <c r="I188" s="579"/>
      <c r="J188" s="579">
        <v>50</v>
      </c>
      <c r="K188" s="579">
        <v>23</v>
      </c>
      <c r="L188" s="579">
        <v>22</v>
      </c>
      <c r="M188" s="352" t="s">
        <v>16</v>
      </c>
    </row>
    <row r="189" spans="1:13" x14ac:dyDescent="0.35">
      <c r="A189">
        <v>188</v>
      </c>
      <c r="B189" s="874" t="s">
        <v>340</v>
      </c>
      <c r="C189" s="579">
        <v>63</v>
      </c>
      <c r="D189" s="579">
        <v>583</v>
      </c>
      <c r="E189" s="579">
        <v>12</v>
      </c>
      <c r="F189" s="579">
        <v>99</v>
      </c>
      <c r="G189" s="579"/>
      <c r="H189" s="579"/>
      <c r="I189" s="579"/>
      <c r="J189" s="579">
        <v>33</v>
      </c>
      <c r="K189" s="579">
        <v>20</v>
      </c>
      <c r="L189" s="579">
        <v>10</v>
      </c>
      <c r="M189" s="352" t="s">
        <v>16</v>
      </c>
    </row>
    <row r="190" spans="1:13" x14ac:dyDescent="0.35">
      <c r="A190">
        <v>189</v>
      </c>
      <c r="B190" s="874" t="s">
        <v>339</v>
      </c>
      <c r="C190" s="579">
        <v>45</v>
      </c>
      <c r="D190" s="579">
        <v>412</v>
      </c>
      <c r="E190" s="579">
        <v>5</v>
      </c>
      <c r="F190" s="579">
        <v>70</v>
      </c>
      <c r="G190" s="579"/>
      <c r="H190" s="579"/>
      <c r="I190" s="579"/>
      <c r="J190" s="579">
        <v>19</v>
      </c>
      <c r="K190" s="579">
        <v>13</v>
      </c>
      <c r="L190" s="579">
        <v>13</v>
      </c>
      <c r="M190" s="352" t="s">
        <v>16</v>
      </c>
    </row>
    <row r="191" spans="1:13" x14ac:dyDescent="0.35">
      <c r="A191">
        <v>190</v>
      </c>
      <c r="B191" s="874" t="s">
        <v>343</v>
      </c>
      <c r="C191" s="579">
        <v>34</v>
      </c>
      <c r="D191" s="579">
        <v>850</v>
      </c>
      <c r="E191" s="579">
        <v>6</v>
      </c>
      <c r="F191" s="579">
        <v>75</v>
      </c>
      <c r="G191" s="579"/>
      <c r="H191" s="579"/>
      <c r="I191" s="579"/>
      <c r="J191" s="579">
        <v>24</v>
      </c>
      <c r="K191" s="579">
        <v>7</v>
      </c>
      <c r="L191" s="579">
        <v>3</v>
      </c>
      <c r="M191" s="352" t="s">
        <v>16</v>
      </c>
    </row>
    <row r="192" spans="1:13" x14ac:dyDescent="0.35">
      <c r="A192">
        <v>191</v>
      </c>
      <c r="B192" s="874" t="s">
        <v>351</v>
      </c>
      <c r="C192" s="579">
        <v>25</v>
      </c>
      <c r="D192" s="579">
        <v>960</v>
      </c>
      <c r="E192" s="579">
        <v>12</v>
      </c>
      <c r="F192" s="579">
        <v>35</v>
      </c>
      <c r="G192" s="579"/>
      <c r="H192" s="579"/>
      <c r="I192" s="579"/>
      <c r="J192" s="579">
        <v>5</v>
      </c>
      <c r="K192" s="579">
        <v>13</v>
      </c>
      <c r="L192" s="579">
        <v>7</v>
      </c>
      <c r="M192" s="352" t="s">
        <v>16</v>
      </c>
    </row>
    <row r="193" spans="1:13" x14ac:dyDescent="0.35">
      <c r="A193">
        <v>192</v>
      </c>
      <c r="B193" s="874" t="s">
        <v>355</v>
      </c>
      <c r="C193" s="579">
        <v>15</v>
      </c>
      <c r="D193" s="579">
        <v>733</v>
      </c>
      <c r="E193" s="579">
        <v>6</v>
      </c>
      <c r="F193" s="579">
        <v>203</v>
      </c>
      <c r="G193" s="579"/>
      <c r="H193" s="579"/>
      <c r="I193" s="579"/>
      <c r="J193" s="579">
        <v>4</v>
      </c>
      <c r="K193" s="579">
        <v>8</v>
      </c>
      <c r="L193" s="579">
        <v>3</v>
      </c>
      <c r="M193" s="352" t="s">
        <v>16</v>
      </c>
    </row>
    <row r="194" spans="1:13" x14ac:dyDescent="0.35">
      <c r="A194">
        <v>193</v>
      </c>
      <c r="B194" s="892" t="s">
        <v>362</v>
      </c>
      <c r="C194" s="893">
        <v>3587</v>
      </c>
      <c r="D194" s="893">
        <v>485</v>
      </c>
      <c r="E194" s="893">
        <v>862</v>
      </c>
      <c r="F194" s="893">
        <v>17937</v>
      </c>
      <c r="G194" s="893"/>
      <c r="H194" s="893"/>
      <c r="I194" s="893"/>
      <c r="J194" s="893">
        <v>1142</v>
      </c>
      <c r="K194" s="893">
        <v>1777</v>
      </c>
      <c r="L194" s="893">
        <v>669</v>
      </c>
      <c r="M194" s="352" t="s">
        <v>364</v>
      </c>
    </row>
    <row r="195" spans="1:13" x14ac:dyDescent="0.35">
      <c r="A195">
        <v>194</v>
      </c>
      <c r="B195" s="222" t="s">
        <v>359</v>
      </c>
      <c r="C195" s="893">
        <v>1422</v>
      </c>
      <c r="D195" s="893">
        <v>599</v>
      </c>
      <c r="E195" s="893">
        <v>319</v>
      </c>
      <c r="F195" s="893">
        <v>9333</v>
      </c>
      <c r="G195" s="893"/>
      <c r="H195" s="893"/>
      <c r="I195" s="893"/>
      <c r="J195" s="893">
        <v>619</v>
      </c>
      <c r="K195" s="893">
        <v>531</v>
      </c>
      <c r="L195" s="893">
        <v>272</v>
      </c>
      <c r="M195" s="352" t="s">
        <v>364</v>
      </c>
    </row>
    <row r="196" spans="1:13" x14ac:dyDescent="0.35">
      <c r="A196">
        <v>195</v>
      </c>
      <c r="B196" s="222" t="s">
        <v>361</v>
      </c>
      <c r="C196" s="893">
        <v>104</v>
      </c>
      <c r="D196" s="893">
        <v>281</v>
      </c>
      <c r="E196" s="893">
        <v>9</v>
      </c>
      <c r="F196" s="893">
        <v>410</v>
      </c>
      <c r="G196" s="893"/>
      <c r="H196" s="893"/>
      <c r="I196" s="893"/>
      <c r="J196" s="893">
        <v>59</v>
      </c>
      <c r="K196" s="893">
        <v>33</v>
      </c>
      <c r="L196" s="893">
        <v>12</v>
      </c>
      <c r="M196" s="352" t="s">
        <v>364</v>
      </c>
    </row>
    <row r="197" spans="1:13" x14ac:dyDescent="0.35">
      <c r="A197">
        <v>196</v>
      </c>
      <c r="B197" s="222" t="s">
        <v>360</v>
      </c>
      <c r="C197" s="893">
        <v>48</v>
      </c>
      <c r="D197" s="893">
        <v>95</v>
      </c>
      <c r="E197" s="893">
        <v>1</v>
      </c>
      <c r="F197" s="893">
        <v>591</v>
      </c>
      <c r="G197" s="893"/>
      <c r="H197" s="893"/>
      <c r="I197" s="893"/>
      <c r="J197" s="893">
        <v>36</v>
      </c>
      <c r="K197" s="893">
        <v>9</v>
      </c>
      <c r="L197" s="893">
        <v>3</v>
      </c>
      <c r="M197" s="352" t="s">
        <v>364</v>
      </c>
    </row>
    <row r="198" spans="1:13" x14ac:dyDescent="0.35">
      <c r="A198">
        <v>197</v>
      </c>
      <c r="B198" s="222" t="s">
        <v>363</v>
      </c>
      <c r="C198" s="893"/>
      <c r="D198" s="893"/>
      <c r="E198" s="893"/>
      <c r="F198" s="893"/>
      <c r="G198" s="893"/>
      <c r="H198" s="893"/>
      <c r="I198" s="893"/>
      <c r="J198" s="893"/>
      <c r="K198" s="893"/>
      <c r="L198" s="893"/>
      <c r="M198" s="352" t="s">
        <v>364</v>
      </c>
    </row>
    <row r="199" spans="1:13" x14ac:dyDescent="0.35">
      <c r="A199">
        <v>198</v>
      </c>
      <c r="B199" s="894" t="s">
        <v>383</v>
      </c>
      <c r="C199" s="895">
        <f>777+6955+2582</f>
        <v>10314</v>
      </c>
      <c r="D199" s="895">
        <f>853+978+878</f>
        <v>2709</v>
      </c>
      <c r="E199" s="895">
        <f>280+5764+1765</f>
        <v>7809</v>
      </c>
      <c r="F199" s="895">
        <f>766+5564+1382</f>
        <v>7712</v>
      </c>
      <c r="G199" s="895"/>
      <c r="H199" s="895"/>
      <c r="I199" s="895"/>
      <c r="J199" s="895">
        <f>146+240+260</f>
        <v>646</v>
      </c>
      <c r="K199" s="895">
        <f>328+5893+2010</f>
        <v>8231</v>
      </c>
      <c r="L199" s="895">
        <f>303+822+312</f>
        <v>1437</v>
      </c>
      <c r="M199" s="352" t="s">
        <v>18</v>
      </c>
    </row>
    <row r="200" spans="1:13" x14ac:dyDescent="0.35">
      <c r="A200">
        <v>199</v>
      </c>
      <c r="B200" s="894" t="s">
        <v>373</v>
      </c>
      <c r="C200" s="895">
        <v>6007</v>
      </c>
      <c r="D200" s="895">
        <v>807</v>
      </c>
      <c r="E200" s="895">
        <v>1479</v>
      </c>
      <c r="F200" s="895">
        <v>20270</v>
      </c>
      <c r="G200" s="895"/>
      <c r="H200" s="895"/>
      <c r="I200" s="895"/>
      <c r="J200" s="895">
        <v>2806</v>
      </c>
      <c r="K200" s="895">
        <v>1834</v>
      </c>
      <c r="L200" s="895">
        <v>1367</v>
      </c>
      <c r="M200" s="352" t="s">
        <v>18</v>
      </c>
    </row>
    <row r="201" spans="1:13" x14ac:dyDescent="0.35">
      <c r="A201">
        <v>200</v>
      </c>
      <c r="B201" s="894" t="s">
        <v>368</v>
      </c>
      <c r="C201" s="895">
        <v>5761</v>
      </c>
      <c r="D201" s="895">
        <v>883</v>
      </c>
      <c r="E201" s="895">
        <v>2143</v>
      </c>
      <c r="F201" s="895">
        <v>16325</v>
      </c>
      <c r="G201" s="895"/>
      <c r="H201" s="895"/>
      <c r="I201" s="895"/>
      <c r="J201" s="895">
        <v>1849</v>
      </c>
      <c r="K201" s="895">
        <v>2427</v>
      </c>
      <c r="L201" s="895">
        <v>1485</v>
      </c>
      <c r="M201" s="352" t="s">
        <v>18</v>
      </c>
    </row>
    <row r="202" spans="1:13" x14ac:dyDescent="0.35">
      <c r="A202">
        <v>201</v>
      </c>
      <c r="B202" s="894" t="s">
        <v>375</v>
      </c>
      <c r="C202" s="895">
        <f>4634+456</f>
        <v>5090</v>
      </c>
      <c r="D202" s="895">
        <f>870+973</f>
        <v>1843</v>
      </c>
      <c r="E202" s="895">
        <f>1810+285</f>
        <v>2095</v>
      </c>
      <c r="F202" s="895">
        <f>9556+365</f>
        <v>9921</v>
      </c>
      <c r="G202" s="895"/>
      <c r="H202" s="895"/>
      <c r="I202" s="895"/>
      <c r="J202" s="895">
        <f>1685+31</f>
        <v>1716</v>
      </c>
      <c r="K202" s="895">
        <f>2081+293</f>
        <v>2374</v>
      </c>
      <c r="L202" s="895">
        <f>868+132</f>
        <v>1000</v>
      </c>
      <c r="M202" s="352" t="s">
        <v>18</v>
      </c>
    </row>
    <row r="203" spans="1:13" x14ac:dyDescent="0.35">
      <c r="A203">
        <v>202</v>
      </c>
      <c r="B203" s="894" t="s">
        <v>377</v>
      </c>
      <c r="C203" s="895">
        <v>4355</v>
      </c>
      <c r="D203" s="895">
        <v>833</v>
      </c>
      <c r="E203" s="895">
        <v>1917</v>
      </c>
      <c r="F203" s="895">
        <v>11695</v>
      </c>
      <c r="G203" s="895"/>
      <c r="H203" s="895"/>
      <c r="I203" s="895"/>
      <c r="J203" s="895">
        <v>658</v>
      </c>
      <c r="K203" s="895">
        <v>2302</v>
      </c>
      <c r="L203" s="895">
        <v>1394</v>
      </c>
      <c r="M203" s="352" t="s">
        <v>18</v>
      </c>
    </row>
    <row r="204" spans="1:13" x14ac:dyDescent="0.35">
      <c r="A204">
        <v>203</v>
      </c>
      <c r="B204" s="894" t="s">
        <v>371</v>
      </c>
      <c r="C204" s="895">
        <f>1766+2504</f>
        <v>4270</v>
      </c>
      <c r="D204" s="895">
        <f>674+1019</f>
        <v>1693</v>
      </c>
      <c r="E204" s="895">
        <f>359+2416</f>
        <v>2775</v>
      </c>
      <c r="F204" s="895">
        <f>1981+2003</f>
        <v>3984</v>
      </c>
      <c r="G204" s="895"/>
      <c r="H204" s="895"/>
      <c r="I204" s="895"/>
      <c r="J204" s="895">
        <f>536+8</f>
        <v>544</v>
      </c>
      <c r="K204" s="895">
        <f>533+2371</f>
        <v>2904</v>
      </c>
      <c r="L204" s="895">
        <f>697+125</f>
        <v>822</v>
      </c>
      <c r="M204" s="352" t="s">
        <v>18</v>
      </c>
    </row>
    <row r="205" spans="1:13" x14ac:dyDescent="0.35">
      <c r="A205">
        <v>204</v>
      </c>
      <c r="B205" s="894" t="s">
        <v>381</v>
      </c>
      <c r="C205" s="895">
        <f>1148+1556+1325</f>
        <v>4029</v>
      </c>
      <c r="D205" s="895">
        <f>884+1105+1062</f>
        <v>3051</v>
      </c>
      <c r="E205" s="895">
        <f>258+1706+866</f>
        <v>2830</v>
      </c>
      <c r="F205" s="895">
        <f>3444+1245+1695</f>
        <v>6384</v>
      </c>
      <c r="G205" s="895"/>
      <c r="H205" s="895"/>
      <c r="I205" s="895"/>
      <c r="J205" s="895">
        <f>657+58</f>
        <v>715</v>
      </c>
      <c r="K205" s="895">
        <f>292+1544+815</f>
        <v>2651</v>
      </c>
      <c r="L205" s="895">
        <f>199+12+451</f>
        <v>662</v>
      </c>
      <c r="M205" s="352" t="s">
        <v>18</v>
      </c>
    </row>
    <row r="206" spans="1:13" x14ac:dyDescent="0.35">
      <c r="A206">
        <v>205</v>
      </c>
      <c r="B206" s="894" t="s">
        <v>378</v>
      </c>
      <c r="C206" s="895">
        <v>3631</v>
      </c>
      <c r="D206" s="895">
        <v>876</v>
      </c>
      <c r="E206" s="895">
        <v>1247</v>
      </c>
      <c r="F206" s="895">
        <v>3408</v>
      </c>
      <c r="G206" s="895"/>
      <c r="H206" s="895"/>
      <c r="I206" s="895"/>
      <c r="J206" s="895">
        <v>1683</v>
      </c>
      <c r="K206" s="895">
        <v>1423</v>
      </c>
      <c r="L206" s="895">
        <v>525</v>
      </c>
      <c r="M206" s="352" t="s">
        <v>18</v>
      </c>
    </row>
    <row r="207" spans="1:13" x14ac:dyDescent="0.35">
      <c r="A207">
        <v>206</v>
      </c>
      <c r="B207" s="894" t="s">
        <v>380</v>
      </c>
      <c r="C207" s="895">
        <f>1250+842+686</f>
        <v>2778</v>
      </c>
      <c r="D207" s="895">
        <f>792+981+1039</f>
        <v>2812</v>
      </c>
      <c r="E207" s="895">
        <f>333+785+503</f>
        <v>1621</v>
      </c>
      <c r="F207" s="895">
        <f>2500+674+551</f>
        <v>3725</v>
      </c>
      <c r="G207" s="895"/>
      <c r="H207" s="895"/>
      <c r="I207" s="895"/>
      <c r="J207" s="895">
        <f>677+1</f>
        <v>678</v>
      </c>
      <c r="K207" s="895">
        <f>420+800+484</f>
        <v>1704</v>
      </c>
      <c r="L207" s="895">
        <f>153+42+201</f>
        <v>396</v>
      </c>
      <c r="M207" s="352" t="s">
        <v>18</v>
      </c>
    </row>
    <row r="208" spans="1:13" x14ac:dyDescent="0.35">
      <c r="A208">
        <v>207</v>
      </c>
      <c r="B208" s="894" t="s">
        <v>374</v>
      </c>
      <c r="C208" s="895">
        <v>2619</v>
      </c>
      <c r="D208" s="895">
        <v>805</v>
      </c>
      <c r="E208" s="895">
        <v>670</v>
      </c>
      <c r="F208" s="895">
        <v>2671</v>
      </c>
      <c r="G208" s="895"/>
      <c r="H208" s="895"/>
      <c r="I208" s="895"/>
      <c r="J208" s="895">
        <v>477</v>
      </c>
      <c r="K208" s="895">
        <v>832</v>
      </c>
      <c r="L208" s="895">
        <v>1310</v>
      </c>
      <c r="M208" s="352" t="s">
        <v>18</v>
      </c>
    </row>
    <row r="209" spans="1:13" x14ac:dyDescent="0.35">
      <c r="A209">
        <v>208</v>
      </c>
      <c r="B209" s="894" t="s">
        <v>372</v>
      </c>
      <c r="C209" s="895">
        <v>2322</v>
      </c>
      <c r="D209" s="895">
        <v>856</v>
      </c>
      <c r="E209" s="895">
        <v>737</v>
      </c>
      <c r="F209" s="895">
        <v>10569</v>
      </c>
      <c r="G209" s="895"/>
      <c r="H209" s="895"/>
      <c r="I209" s="895"/>
      <c r="J209" s="895">
        <v>1107</v>
      </c>
      <c r="K209" s="895">
        <v>861</v>
      </c>
      <c r="L209" s="895">
        <v>354</v>
      </c>
      <c r="M209" s="352" t="s">
        <v>18</v>
      </c>
    </row>
    <row r="210" spans="1:13" x14ac:dyDescent="0.35">
      <c r="A210">
        <v>209</v>
      </c>
      <c r="B210" s="894" t="s">
        <v>370</v>
      </c>
      <c r="C210" s="895">
        <v>2033</v>
      </c>
      <c r="D210" s="895">
        <v>891</v>
      </c>
      <c r="E210" s="895">
        <v>662</v>
      </c>
      <c r="F210" s="895">
        <v>5604</v>
      </c>
      <c r="G210" s="895"/>
      <c r="H210" s="895"/>
      <c r="I210" s="895"/>
      <c r="J210" s="895">
        <v>640</v>
      </c>
      <c r="K210" s="895">
        <v>744</v>
      </c>
      <c r="L210" s="895">
        <v>649</v>
      </c>
      <c r="M210" s="352" t="s">
        <v>18</v>
      </c>
    </row>
    <row r="211" spans="1:13" x14ac:dyDescent="0.35">
      <c r="A211">
        <v>210</v>
      </c>
      <c r="B211" s="894" t="s">
        <v>376</v>
      </c>
      <c r="C211" s="895">
        <v>1829</v>
      </c>
      <c r="D211" s="895">
        <v>786</v>
      </c>
      <c r="E211" s="895">
        <v>744</v>
      </c>
      <c r="F211" s="895">
        <v>2722</v>
      </c>
      <c r="G211" s="895"/>
      <c r="H211" s="895"/>
      <c r="I211" s="895"/>
      <c r="J211" s="895">
        <v>519</v>
      </c>
      <c r="K211" s="895">
        <v>946</v>
      </c>
      <c r="L211" s="895">
        <v>364</v>
      </c>
      <c r="M211" s="352" t="s">
        <v>18</v>
      </c>
    </row>
    <row r="212" spans="1:13" x14ac:dyDescent="0.35">
      <c r="A212">
        <v>211</v>
      </c>
      <c r="B212" s="894" t="s">
        <v>366</v>
      </c>
      <c r="C212" s="895">
        <f>1676+14</f>
        <v>1690</v>
      </c>
      <c r="D212" s="895">
        <f>735+929</f>
        <v>1664</v>
      </c>
      <c r="E212" s="895">
        <f>336+13</f>
        <v>349</v>
      </c>
      <c r="F212" s="895">
        <f>1722+6</f>
        <v>1728</v>
      </c>
      <c r="G212" s="895"/>
      <c r="H212" s="895"/>
      <c r="I212" s="895"/>
      <c r="J212" s="895">
        <v>623</v>
      </c>
      <c r="K212" s="895">
        <f>457+14</f>
        <v>471</v>
      </c>
      <c r="L212" s="895">
        <v>596</v>
      </c>
      <c r="M212" s="352" t="s">
        <v>18</v>
      </c>
    </row>
    <row r="213" spans="1:13" x14ac:dyDescent="0.35">
      <c r="A213">
        <v>212</v>
      </c>
      <c r="B213" s="894" t="s">
        <v>369</v>
      </c>
      <c r="C213" s="895">
        <v>995</v>
      </c>
      <c r="D213" s="895">
        <v>816</v>
      </c>
      <c r="E213" s="895">
        <v>272</v>
      </c>
      <c r="F213" s="895">
        <v>2994</v>
      </c>
      <c r="G213" s="895"/>
      <c r="H213" s="895"/>
      <c r="I213" s="895"/>
      <c r="J213" s="895">
        <v>394</v>
      </c>
      <c r="K213" s="895">
        <v>333</v>
      </c>
      <c r="L213" s="895">
        <v>268</v>
      </c>
      <c r="M213" s="352" t="s">
        <v>18</v>
      </c>
    </row>
    <row r="214" spans="1:13" x14ac:dyDescent="0.35">
      <c r="A214">
        <v>213</v>
      </c>
      <c r="B214" s="894" t="s">
        <v>382</v>
      </c>
      <c r="C214" s="895">
        <v>95</v>
      </c>
      <c r="D214" s="895">
        <v>810</v>
      </c>
      <c r="E214" s="895">
        <v>13</v>
      </c>
      <c r="F214" s="895">
        <v>486</v>
      </c>
      <c r="G214" s="895"/>
      <c r="H214" s="895"/>
      <c r="I214" s="895"/>
      <c r="J214" s="895">
        <v>46</v>
      </c>
      <c r="K214" s="895">
        <v>16</v>
      </c>
      <c r="L214" s="895">
        <v>33</v>
      </c>
      <c r="M214" s="352" t="s">
        <v>18</v>
      </c>
    </row>
    <row r="215" spans="1:13" x14ac:dyDescent="0.35">
      <c r="A215">
        <v>214</v>
      </c>
      <c r="B215" s="894" t="s">
        <v>386</v>
      </c>
      <c r="C215" s="895">
        <v>52</v>
      </c>
      <c r="D215" s="895">
        <v>778</v>
      </c>
      <c r="E215" s="895">
        <v>21</v>
      </c>
      <c r="F215" s="895">
        <v>69</v>
      </c>
      <c r="G215" s="895"/>
      <c r="H215" s="895"/>
      <c r="I215" s="895"/>
      <c r="J215" s="895">
        <v>2</v>
      </c>
      <c r="K215" s="895">
        <v>27</v>
      </c>
      <c r="L215" s="895">
        <v>23</v>
      </c>
      <c r="M215" s="352" t="s">
        <v>18</v>
      </c>
    </row>
    <row r="216" spans="1:13" x14ac:dyDescent="0.35">
      <c r="A216">
        <v>215</v>
      </c>
      <c r="B216" s="894" t="s">
        <v>379</v>
      </c>
      <c r="C216" s="895">
        <v>8</v>
      </c>
      <c r="D216" s="895">
        <v>650</v>
      </c>
      <c r="E216" s="895">
        <v>0</v>
      </c>
      <c r="F216" s="895">
        <v>17</v>
      </c>
      <c r="G216" s="895"/>
      <c r="H216" s="895"/>
      <c r="I216" s="895"/>
      <c r="J216" s="895">
        <v>3</v>
      </c>
      <c r="K216" s="895">
        <v>1</v>
      </c>
      <c r="L216" s="895">
        <v>4</v>
      </c>
      <c r="M216" s="352" t="s">
        <v>18</v>
      </c>
    </row>
    <row r="217" spans="1:13" x14ac:dyDescent="0.35">
      <c r="A217">
        <v>216</v>
      </c>
      <c r="B217" s="894" t="s">
        <v>365</v>
      </c>
      <c r="C217" s="895"/>
      <c r="D217" s="895"/>
      <c r="E217" s="895"/>
      <c r="F217" s="895"/>
      <c r="G217" s="895"/>
      <c r="H217" s="895"/>
      <c r="I217" s="895"/>
      <c r="J217" s="895"/>
      <c r="K217" s="895"/>
      <c r="L217" s="895"/>
      <c r="M217" s="352" t="s">
        <v>18</v>
      </c>
    </row>
    <row r="218" spans="1:13" x14ac:dyDescent="0.35">
      <c r="A218">
        <v>217</v>
      </c>
      <c r="B218" s="894" t="s">
        <v>367</v>
      </c>
      <c r="C218" s="895"/>
      <c r="D218" s="895"/>
      <c r="E218" s="895"/>
      <c r="F218" s="895"/>
      <c r="G218" s="895"/>
      <c r="H218" s="895"/>
      <c r="I218" s="895"/>
      <c r="J218" s="895"/>
      <c r="K218" s="895"/>
      <c r="L218" s="895"/>
      <c r="M218" s="352" t="s">
        <v>18</v>
      </c>
    </row>
    <row r="219" spans="1:13" x14ac:dyDescent="0.35">
      <c r="A219">
        <v>218</v>
      </c>
      <c r="B219" s="894" t="s">
        <v>384</v>
      </c>
      <c r="C219" s="895"/>
      <c r="D219" s="895"/>
      <c r="E219" s="895"/>
      <c r="F219" s="895"/>
      <c r="G219" s="895"/>
      <c r="H219" s="895"/>
      <c r="I219" s="895"/>
      <c r="J219" s="895"/>
      <c r="K219" s="895"/>
      <c r="L219" s="895"/>
      <c r="M219" s="352" t="s">
        <v>18</v>
      </c>
    </row>
    <row r="220" spans="1:13" x14ac:dyDescent="0.35">
      <c r="A220">
        <v>219</v>
      </c>
      <c r="B220" s="894" t="s">
        <v>385</v>
      </c>
      <c r="C220" s="895"/>
      <c r="D220" s="895"/>
      <c r="E220" s="895"/>
      <c r="F220" s="895"/>
      <c r="G220" s="895"/>
      <c r="H220" s="895"/>
      <c r="I220" s="895"/>
      <c r="J220" s="895"/>
      <c r="K220" s="895"/>
      <c r="L220" s="895"/>
      <c r="M220" s="352" t="s">
        <v>18</v>
      </c>
    </row>
    <row r="221" spans="1:13" x14ac:dyDescent="0.35">
      <c r="A221">
        <v>220</v>
      </c>
      <c r="B221" s="896" t="s">
        <v>387</v>
      </c>
      <c r="C221" s="878">
        <f>6259+46</f>
        <v>6305</v>
      </c>
      <c r="D221" s="878">
        <f>666+77</f>
        <v>743</v>
      </c>
      <c r="E221" s="878">
        <f>2109+4</f>
        <v>2113</v>
      </c>
      <c r="F221" s="878">
        <f>13040+43</f>
        <v>13083</v>
      </c>
      <c r="G221" s="878"/>
      <c r="H221" s="878"/>
      <c r="I221" s="878"/>
      <c r="J221" s="878">
        <v>625</v>
      </c>
      <c r="K221" s="878">
        <f>3169+46</f>
        <v>3215</v>
      </c>
      <c r="L221" s="878">
        <v>2465</v>
      </c>
      <c r="M221" s="352" t="s">
        <v>19</v>
      </c>
    </row>
    <row r="222" spans="1:13" x14ac:dyDescent="0.35">
      <c r="A222">
        <v>221</v>
      </c>
      <c r="B222" s="897" t="s">
        <v>388</v>
      </c>
      <c r="C222" s="878">
        <v>4532</v>
      </c>
      <c r="D222" s="878">
        <v>620</v>
      </c>
      <c r="E222" s="878">
        <v>1530</v>
      </c>
      <c r="F222" s="878">
        <v>23275</v>
      </c>
      <c r="G222" s="878"/>
      <c r="H222" s="878"/>
      <c r="I222" s="878"/>
      <c r="J222" s="878">
        <v>914</v>
      </c>
      <c r="K222" s="878">
        <v>2468</v>
      </c>
      <c r="L222" s="878">
        <v>1149</v>
      </c>
      <c r="M222" s="352" t="s">
        <v>19</v>
      </c>
    </row>
    <row r="223" spans="1:13" x14ac:dyDescent="0.35">
      <c r="A223">
        <v>222</v>
      </c>
      <c r="B223" s="897" t="s">
        <v>394</v>
      </c>
      <c r="C223" s="878">
        <v>1267</v>
      </c>
      <c r="D223" s="878">
        <v>565</v>
      </c>
      <c r="E223" s="878">
        <v>460</v>
      </c>
      <c r="F223" s="878">
        <v>6014</v>
      </c>
      <c r="G223" s="878"/>
      <c r="H223" s="878"/>
      <c r="I223" s="878"/>
      <c r="J223" s="878">
        <v>43</v>
      </c>
      <c r="K223" s="878">
        <v>815</v>
      </c>
      <c r="L223" s="878">
        <v>409</v>
      </c>
      <c r="M223" s="352" t="s">
        <v>19</v>
      </c>
    </row>
    <row r="224" spans="1:13" x14ac:dyDescent="0.35">
      <c r="A224">
        <v>223</v>
      </c>
      <c r="B224" s="897" t="s">
        <v>393</v>
      </c>
      <c r="C224" s="878">
        <v>891</v>
      </c>
      <c r="D224" s="878">
        <v>458</v>
      </c>
      <c r="E224" s="878">
        <v>163</v>
      </c>
      <c r="F224" s="878">
        <v>2486</v>
      </c>
      <c r="G224" s="878"/>
      <c r="H224" s="878"/>
      <c r="I224" s="878"/>
      <c r="J224" s="878">
        <v>410</v>
      </c>
      <c r="K224" s="878">
        <v>355</v>
      </c>
      <c r="L224" s="878">
        <v>125</v>
      </c>
      <c r="M224" s="352" t="s">
        <v>19</v>
      </c>
    </row>
    <row r="225" spans="1:13" x14ac:dyDescent="0.35">
      <c r="A225">
        <v>224</v>
      </c>
      <c r="B225" s="897" t="s">
        <v>389</v>
      </c>
      <c r="C225" s="878">
        <v>597</v>
      </c>
      <c r="D225" s="878">
        <v>561</v>
      </c>
      <c r="E225" s="878">
        <v>139</v>
      </c>
      <c r="F225" s="878">
        <v>5040</v>
      </c>
      <c r="G225" s="878"/>
      <c r="H225" s="878"/>
      <c r="I225" s="878"/>
      <c r="J225" s="878">
        <v>126</v>
      </c>
      <c r="K225" s="878">
        <v>249</v>
      </c>
      <c r="L225" s="878">
        <v>222</v>
      </c>
      <c r="M225" s="352" t="s">
        <v>19</v>
      </c>
    </row>
    <row r="226" spans="1:13" x14ac:dyDescent="0.35">
      <c r="A226">
        <v>225</v>
      </c>
      <c r="B226" s="897" t="s">
        <v>390</v>
      </c>
      <c r="C226" s="878">
        <v>292</v>
      </c>
      <c r="D226" s="878">
        <v>712</v>
      </c>
      <c r="E226" s="878">
        <v>110</v>
      </c>
      <c r="F226" s="878">
        <v>1449</v>
      </c>
      <c r="G226" s="878"/>
      <c r="H226" s="878"/>
      <c r="I226" s="878"/>
      <c r="J226" s="878">
        <v>73</v>
      </c>
      <c r="K226" s="878">
        <v>155</v>
      </c>
      <c r="L226" s="878">
        <v>65</v>
      </c>
      <c r="M226" s="352" t="s">
        <v>19</v>
      </c>
    </row>
    <row r="227" spans="1:13" x14ac:dyDescent="0.35">
      <c r="A227">
        <v>226</v>
      </c>
      <c r="B227" s="897" t="s">
        <v>391</v>
      </c>
      <c r="C227" s="878">
        <v>256</v>
      </c>
      <c r="D227" s="878">
        <v>532</v>
      </c>
      <c r="E227" s="878">
        <v>81</v>
      </c>
      <c r="F227" s="878">
        <v>5069</v>
      </c>
      <c r="G227" s="878"/>
      <c r="H227" s="878"/>
      <c r="I227" s="878"/>
      <c r="J227" s="878">
        <v>51</v>
      </c>
      <c r="K227" s="878">
        <v>152</v>
      </c>
      <c r="L227" s="878">
        <v>53</v>
      </c>
      <c r="M227" s="352" t="s">
        <v>19</v>
      </c>
    </row>
    <row r="228" spans="1:13" x14ac:dyDescent="0.35">
      <c r="A228">
        <v>227</v>
      </c>
      <c r="B228" s="897" t="s">
        <v>392</v>
      </c>
      <c r="C228" s="878">
        <v>48</v>
      </c>
      <c r="D228" s="878">
        <v>566</v>
      </c>
      <c r="E228" s="878">
        <v>19</v>
      </c>
      <c r="F228" s="878">
        <v>226</v>
      </c>
      <c r="G228" s="878"/>
      <c r="H228" s="878"/>
      <c r="I228" s="878"/>
      <c r="J228" s="878">
        <v>1</v>
      </c>
      <c r="K228" s="878">
        <v>33</v>
      </c>
      <c r="L228" s="878">
        <v>14</v>
      </c>
      <c r="M228" s="352" t="s">
        <v>19</v>
      </c>
    </row>
    <row r="229" spans="1:13" x14ac:dyDescent="0.35">
      <c r="A229">
        <v>228</v>
      </c>
      <c r="B229" s="898" t="s">
        <v>395</v>
      </c>
      <c r="C229" s="878"/>
      <c r="D229" s="878"/>
      <c r="E229" s="878"/>
      <c r="F229" s="878"/>
      <c r="G229" s="878"/>
      <c r="H229" s="878"/>
      <c r="I229" s="878"/>
      <c r="J229" s="878"/>
      <c r="K229" s="878"/>
      <c r="L229" s="878"/>
      <c r="M229" s="352" t="s">
        <v>19</v>
      </c>
    </row>
    <row r="230" spans="1:13" x14ac:dyDescent="0.35">
      <c r="A230">
        <v>229</v>
      </c>
      <c r="B230" s="899" t="s">
        <v>399</v>
      </c>
      <c r="C230" s="884">
        <v>3963</v>
      </c>
      <c r="D230" s="884">
        <v>562</v>
      </c>
      <c r="E230" s="884">
        <v>1056</v>
      </c>
      <c r="F230" s="884">
        <v>4309</v>
      </c>
      <c r="G230" s="159"/>
      <c r="H230" s="159"/>
      <c r="I230" s="159"/>
      <c r="J230" s="884">
        <v>961</v>
      </c>
      <c r="K230" s="884">
        <v>1879</v>
      </c>
      <c r="L230" s="884">
        <v>1124</v>
      </c>
      <c r="M230" s="352" t="s">
        <v>1343</v>
      </c>
    </row>
    <row r="231" spans="1:13" x14ac:dyDescent="0.35">
      <c r="A231">
        <v>230</v>
      </c>
      <c r="B231" s="899" t="s">
        <v>398</v>
      </c>
      <c r="C231" s="884">
        <v>2225</v>
      </c>
      <c r="D231" s="884">
        <v>429</v>
      </c>
      <c r="E231" s="884">
        <v>218</v>
      </c>
      <c r="F231" s="884">
        <v>1624</v>
      </c>
      <c r="G231" s="159"/>
      <c r="H231" s="159"/>
      <c r="I231" s="159"/>
      <c r="J231" s="884">
        <v>1458</v>
      </c>
      <c r="K231" s="884">
        <v>508</v>
      </c>
      <c r="L231" s="884">
        <v>258</v>
      </c>
      <c r="M231" s="352" t="s">
        <v>1343</v>
      </c>
    </row>
    <row r="232" spans="1:13" x14ac:dyDescent="0.35">
      <c r="A232">
        <v>231</v>
      </c>
      <c r="B232" s="899" t="s">
        <v>397</v>
      </c>
      <c r="C232" s="884">
        <v>966</v>
      </c>
      <c r="D232" s="884">
        <v>406</v>
      </c>
      <c r="E232" s="884">
        <v>135</v>
      </c>
      <c r="F232" s="884">
        <v>1363</v>
      </c>
      <c r="G232" s="159"/>
      <c r="H232" s="159"/>
      <c r="I232" s="159"/>
      <c r="J232" s="884">
        <v>299</v>
      </c>
      <c r="K232" s="884">
        <v>334</v>
      </c>
      <c r="L232" s="884">
        <v>333</v>
      </c>
      <c r="M232" s="352" t="s">
        <v>1343</v>
      </c>
    </row>
    <row r="233" spans="1:13" x14ac:dyDescent="0.35">
      <c r="A233">
        <v>232</v>
      </c>
      <c r="B233" s="899" t="s">
        <v>396</v>
      </c>
      <c r="C233" s="884">
        <v>528</v>
      </c>
      <c r="D233" s="884">
        <v>423</v>
      </c>
      <c r="E233" s="884">
        <v>108</v>
      </c>
      <c r="F233" s="884">
        <v>1043</v>
      </c>
      <c r="G233" s="159"/>
      <c r="H233" s="159"/>
      <c r="I233" s="159"/>
      <c r="J233" s="884">
        <v>154</v>
      </c>
      <c r="K233" s="884">
        <v>255</v>
      </c>
      <c r="L233" s="884">
        <v>119</v>
      </c>
      <c r="M233" s="352" t="s">
        <v>1343</v>
      </c>
    </row>
    <row r="234" spans="1:13" x14ac:dyDescent="0.35">
      <c r="A234">
        <v>233</v>
      </c>
      <c r="B234" s="899" t="s">
        <v>402</v>
      </c>
      <c r="C234" s="884">
        <v>253</v>
      </c>
      <c r="D234" s="884">
        <v>216</v>
      </c>
      <c r="E234" s="884">
        <v>10</v>
      </c>
      <c r="F234" s="884">
        <v>424</v>
      </c>
      <c r="G234" s="159"/>
      <c r="H234" s="159"/>
      <c r="I234" s="159"/>
      <c r="J234" s="884">
        <v>168</v>
      </c>
      <c r="K234" s="884">
        <v>47</v>
      </c>
      <c r="L234" s="884">
        <v>39</v>
      </c>
      <c r="M234" s="352" t="s">
        <v>1343</v>
      </c>
    </row>
    <row r="235" spans="1:13" x14ac:dyDescent="0.35">
      <c r="A235">
        <v>234</v>
      </c>
      <c r="B235" s="899" t="s">
        <v>403</v>
      </c>
      <c r="C235" s="884">
        <v>240</v>
      </c>
      <c r="D235" s="884">
        <v>229</v>
      </c>
      <c r="E235" s="884">
        <v>32</v>
      </c>
      <c r="F235" s="884">
        <v>359</v>
      </c>
      <c r="G235" s="159"/>
      <c r="H235" s="159"/>
      <c r="I235" s="159"/>
      <c r="J235" s="884">
        <v>52</v>
      </c>
      <c r="K235" s="884">
        <v>139</v>
      </c>
      <c r="L235" s="884">
        <v>49</v>
      </c>
      <c r="M235" s="352" t="s">
        <v>1343</v>
      </c>
    </row>
    <row r="236" spans="1:13" x14ac:dyDescent="0.35">
      <c r="A236">
        <v>235</v>
      </c>
      <c r="B236" s="899" t="s">
        <v>400</v>
      </c>
      <c r="C236" s="884">
        <v>109</v>
      </c>
      <c r="D236" s="884">
        <v>100</v>
      </c>
      <c r="E236" s="159"/>
      <c r="F236" s="884">
        <v>142</v>
      </c>
      <c r="G236" s="159"/>
      <c r="H236" s="159"/>
      <c r="I236" s="159"/>
      <c r="J236" s="884">
        <v>38</v>
      </c>
      <c r="K236" s="884">
        <v>1</v>
      </c>
      <c r="L236" s="884">
        <v>70</v>
      </c>
      <c r="M236" s="352" t="s">
        <v>1343</v>
      </c>
    </row>
    <row r="237" spans="1:13" x14ac:dyDescent="0.35">
      <c r="A237">
        <v>236</v>
      </c>
      <c r="B237" s="899" t="s">
        <v>401</v>
      </c>
      <c r="C237" s="884">
        <v>103</v>
      </c>
      <c r="D237" s="884">
        <v>138</v>
      </c>
      <c r="E237" s="884">
        <v>3</v>
      </c>
      <c r="F237" s="884">
        <v>253</v>
      </c>
      <c r="G237" s="159"/>
      <c r="H237" s="159"/>
      <c r="I237" s="159"/>
      <c r="J237" s="884">
        <v>42</v>
      </c>
      <c r="K237" s="884">
        <v>20</v>
      </c>
      <c r="L237" s="884">
        <v>41</v>
      </c>
      <c r="M237" s="352" t="s">
        <v>1343</v>
      </c>
    </row>
    <row r="238" spans="1:13" x14ac:dyDescent="0.35">
      <c r="A238">
        <v>237</v>
      </c>
      <c r="B238" s="899" t="s">
        <v>404</v>
      </c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352" t="s">
        <v>1343</v>
      </c>
    </row>
    <row r="239" spans="1:13" x14ac:dyDescent="0.35">
      <c r="A239">
        <v>238</v>
      </c>
      <c r="B239" s="899" t="s">
        <v>405</v>
      </c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352" t="s">
        <v>1343</v>
      </c>
    </row>
    <row r="240" spans="1:13" x14ac:dyDescent="0.35">
      <c r="A240">
        <v>239</v>
      </c>
      <c r="B240" s="148" t="s">
        <v>413</v>
      </c>
      <c r="C240" s="900">
        <f>24467+100</f>
        <v>24567</v>
      </c>
      <c r="D240" s="900">
        <f>630+590</f>
        <v>1220</v>
      </c>
      <c r="E240" s="900">
        <f>6518+36</f>
        <v>6554</v>
      </c>
      <c r="F240" s="900">
        <f>34562+80</f>
        <v>34642</v>
      </c>
      <c r="G240" s="900"/>
      <c r="H240" s="900"/>
      <c r="I240" s="900"/>
      <c r="J240" s="900">
        <f>6723+33</f>
        <v>6756</v>
      </c>
      <c r="K240" s="900">
        <f>10353+61</f>
        <v>10414</v>
      </c>
      <c r="L240" s="900">
        <f>7391+6</f>
        <v>7397</v>
      </c>
      <c r="M240" s="352" t="s">
        <v>21</v>
      </c>
    </row>
    <row r="241" spans="1:13" x14ac:dyDescent="0.35">
      <c r="A241">
        <v>240</v>
      </c>
      <c r="B241" s="148" t="s">
        <v>414</v>
      </c>
      <c r="C241" s="900">
        <v>7755</v>
      </c>
      <c r="D241" s="900">
        <v>914</v>
      </c>
      <c r="E241" s="900">
        <v>3057</v>
      </c>
      <c r="F241" s="900">
        <v>11401</v>
      </c>
      <c r="G241" s="900"/>
      <c r="H241" s="900"/>
      <c r="I241" s="900"/>
      <c r="J241" s="900">
        <v>3196</v>
      </c>
      <c r="K241" s="900">
        <v>3344</v>
      </c>
      <c r="L241" s="900">
        <v>1215</v>
      </c>
      <c r="M241" s="352" t="s">
        <v>21</v>
      </c>
    </row>
    <row r="242" spans="1:13" x14ac:dyDescent="0.35">
      <c r="A242">
        <v>241</v>
      </c>
      <c r="B242" s="148" t="s">
        <v>412</v>
      </c>
      <c r="C242" s="900">
        <f>5308+75</f>
        <v>5383</v>
      </c>
      <c r="D242" s="900">
        <f>785+600</f>
        <v>1385</v>
      </c>
      <c r="E242" s="900">
        <f>1714+18</f>
        <v>1732</v>
      </c>
      <c r="F242" s="900">
        <f>7885+48</f>
        <v>7933</v>
      </c>
      <c r="G242" s="900"/>
      <c r="H242" s="900"/>
      <c r="I242" s="900"/>
      <c r="J242" s="900">
        <f>2317+35</f>
        <v>2352</v>
      </c>
      <c r="K242" s="900">
        <f>2183+30</f>
        <v>2213</v>
      </c>
      <c r="L242" s="900">
        <f>808+10</f>
        <v>818</v>
      </c>
      <c r="M242" s="352" t="s">
        <v>21</v>
      </c>
    </row>
    <row r="243" spans="1:13" x14ac:dyDescent="0.35">
      <c r="A243">
        <v>242</v>
      </c>
      <c r="B243" s="148" t="s">
        <v>422</v>
      </c>
      <c r="C243" s="900">
        <f>3189+815</f>
        <v>4004</v>
      </c>
      <c r="D243" s="900">
        <f>778+518</f>
        <v>1296</v>
      </c>
      <c r="E243" s="900">
        <f>716+341</f>
        <v>1057</v>
      </c>
      <c r="F243" s="900">
        <f>4341+652</f>
        <v>4993</v>
      </c>
      <c r="G243" s="900"/>
      <c r="H243" s="900"/>
      <c r="I243" s="900"/>
      <c r="J243" s="900">
        <f>1684+145</f>
        <v>1829</v>
      </c>
      <c r="K243" s="900">
        <f>920+658</f>
        <v>1578</v>
      </c>
      <c r="L243" s="900">
        <f>585+12</f>
        <v>597</v>
      </c>
      <c r="M243" s="352" t="s">
        <v>21</v>
      </c>
    </row>
    <row r="244" spans="1:13" x14ac:dyDescent="0.35">
      <c r="A244">
        <v>243</v>
      </c>
      <c r="B244" s="148" t="s">
        <v>417</v>
      </c>
      <c r="C244" s="900">
        <v>2649</v>
      </c>
      <c r="D244" s="900">
        <v>448</v>
      </c>
      <c r="E244" s="900">
        <v>412</v>
      </c>
      <c r="F244" s="900">
        <v>4050</v>
      </c>
      <c r="G244" s="900"/>
      <c r="H244" s="900"/>
      <c r="I244" s="900"/>
      <c r="J244" s="900">
        <v>1094</v>
      </c>
      <c r="K244" s="900">
        <v>920</v>
      </c>
      <c r="L244" s="900">
        <v>635</v>
      </c>
      <c r="M244" s="352" t="s">
        <v>21</v>
      </c>
    </row>
    <row r="245" spans="1:13" x14ac:dyDescent="0.35">
      <c r="A245">
        <v>244</v>
      </c>
      <c r="B245" s="148" t="s">
        <v>419</v>
      </c>
      <c r="C245" s="900">
        <v>2516</v>
      </c>
      <c r="D245" s="900">
        <v>344</v>
      </c>
      <c r="E245" s="900">
        <v>392</v>
      </c>
      <c r="F245" s="900">
        <v>3892</v>
      </c>
      <c r="G245" s="900"/>
      <c r="H245" s="900"/>
      <c r="I245" s="900"/>
      <c r="J245" s="900">
        <v>424</v>
      </c>
      <c r="K245" s="900">
        <v>1141</v>
      </c>
      <c r="L245" s="900">
        <v>951</v>
      </c>
      <c r="M245" s="352" t="s">
        <v>21</v>
      </c>
    </row>
    <row r="246" spans="1:13" x14ac:dyDescent="0.35">
      <c r="A246">
        <v>245</v>
      </c>
      <c r="B246" s="148" t="s">
        <v>418</v>
      </c>
      <c r="C246" s="900">
        <v>2436</v>
      </c>
      <c r="D246" s="900">
        <v>387</v>
      </c>
      <c r="E246" s="900">
        <v>355</v>
      </c>
      <c r="F246" s="900">
        <v>5689</v>
      </c>
      <c r="G246" s="900"/>
      <c r="H246" s="900"/>
      <c r="I246" s="900"/>
      <c r="J246" s="900">
        <v>1143</v>
      </c>
      <c r="K246" s="900">
        <v>916</v>
      </c>
      <c r="L246" s="900">
        <v>377</v>
      </c>
      <c r="M246" s="352" t="s">
        <v>21</v>
      </c>
    </row>
    <row r="247" spans="1:13" x14ac:dyDescent="0.35">
      <c r="A247">
        <v>246</v>
      </c>
      <c r="B247" s="148" t="s">
        <v>416</v>
      </c>
      <c r="C247" s="900">
        <v>2042</v>
      </c>
      <c r="D247" s="900">
        <v>519</v>
      </c>
      <c r="E247" s="900">
        <v>406</v>
      </c>
      <c r="F247" s="900">
        <v>3136</v>
      </c>
      <c r="G247" s="900"/>
      <c r="H247" s="900"/>
      <c r="I247" s="900"/>
      <c r="J247" s="900">
        <v>868</v>
      </c>
      <c r="K247" s="900">
        <v>782</v>
      </c>
      <c r="L247" s="900">
        <v>392</v>
      </c>
      <c r="M247" s="352" t="s">
        <v>21</v>
      </c>
    </row>
    <row r="248" spans="1:13" x14ac:dyDescent="0.35">
      <c r="A248">
        <v>247</v>
      </c>
      <c r="B248" s="148" t="s">
        <v>410</v>
      </c>
      <c r="C248" s="900">
        <v>1296</v>
      </c>
      <c r="D248" s="900">
        <v>362</v>
      </c>
      <c r="E248" s="900">
        <v>35</v>
      </c>
      <c r="F248" s="900">
        <v>2653</v>
      </c>
      <c r="G248" s="900"/>
      <c r="H248" s="900"/>
      <c r="I248" s="900"/>
      <c r="J248" s="900">
        <v>1127</v>
      </c>
      <c r="K248" s="900">
        <v>96</v>
      </c>
      <c r="L248" s="900">
        <v>73</v>
      </c>
      <c r="M248" s="352" t="s">
        <v>21</v>
      </c>
    </row>
    <row r="249" spans="1:13" x14ac:dyDescent="0.35">
      <c r="A249">
        <v>248</v>
      </c>
      <c r="B249" s="148" t="s">
        <v>415</v>
      </c>
      <c r="C249" s="900">
        <v>955</v>
      </c>
      <c r="D249" s="900">
        <v>444</v>
      </c>
      <c r="E249" s="900">
        <v>161</v>
      </c>
      <c r="F249" s="900">
        <v>1469</v>
      </c>
      <c r="G249" s="900"/>
      <c r="H249" s="900"/>
      <c r="I249" s="900"/>
      <c r="J249" s="900">
        <v>443</v>
      </c>
      <c r="K249" s="900">
        <v>362</v>
      </c>
      <c r="L249" s="900">
        <v>150</v>
      </c>
      <c r="M249" s="352" t="s">
        <v>21</v>
      </c>
    </row>
    <row r="250" spans="1:13" x14ac:dyDescent="0.35">
      <c r="A250">
        <v>249</v>
      </c>
      <c r="B250" s="148" t="s">
        <v>411</v>
      </c>
      <c r="C250" s="900">
        <v>912</v>
      </c>
      <c r="D250" s="900">
        <v>311</v>
      </c>
      <c r="E250" s="900">
        <v>125</v>
      </c>
      <c r="F250" s="900">
        <v>1403</v>
      </c>
      <c r="G250" s="900"/>
      <c r="H250" s="900"/>
      <c r="I250" s="900"/>
      <c r="J250" s="900">
        <v>334</v>
      </c>
      <c r="K250" s="900">
        <v>403</v>
      </c>
      <c r="L250" s="900">
        <v>175</v>
      </c>
      <c r="M250" s="352" t="s">
        <v>21</v>
      </c>
    </row>
    <row r="251" spans="1:13" x14ac:dyDescent="0.35">
      <c r="A251">
        <v>250</v>
      </c>
      <c r="B251" s="148" t="s">
        <v>420</v>
      </c>
      <c r="C251" s="900">
        <v>657</v>
      </c>
      <c r="D251" s="900">
        <v>409</v>
      </c>
      <c r="E251" s="900">
        <v>28</v>
      </c>
      <c r="F251" s="900">
        <v>1013</v>
      </c>
      <c r="G251" s="900"/>
      <c r="H251" s="900"/>
      <c r="I251" s="900"/>
      <c r="J251" s="900">
        <v>544</v>
      </c>
      <c r="K251" s="900">
        <v>69</v>
      </c>
      <c r="L251" s="900">
        <v>44</v>
      </c>
      <c r="M251" s="352" t="s">
        <v>21</v>
      </c>
    </row>
    <row r="252" spans="1:13" x14ac:dyDescent="0.35">
      <c r="A252">
        <v>251</v>
      </c>
      <c r="B252" s="148" t="s">
        <v>421</v>
      </c>
      <c r="C252" s="900">
        <v>599</v>
      </c>
      <c r="D252" s="900">
        <v>513</v>
      </c>
      <c r="E252" s="900">
        <v>29</v>
      </c>
      <c r="F252" s="900">
        <v>597</v>
      </c>
      <c r="G252" s="900"/>
      <c r="H252" s="900"/>
      <c r="I252" s="900"/>
      <c r="J252" s="900">
        <v>375</v>
      </c>
      <c r="K252" s="900">
        <v>56</v>
      </c>
      <c r="L252" s="900">
        <v>168</v>
      </c>
      <c r="M252" s="352" t="s">
        <v>21</v>
      </c>
    </row>
    <row r="253" spans="1:13" x14ac:dyDescent="0.35">
      <c r="A253">
        <v>252</v>
      </c>
      <c r="B253" s="148" t="s">
        <v>424</v>
      </c>
      <c r="C253" s="900">
        <v>548</v>
      </c>
      <c r="D253" s="900">
        <v>342</v>
      </c>
      <c r="E253" s="900">
        <v>47</v>
      </c>
      <c r="F253" s="900">
        <v>882</v>
      </c>
      <c r="G253" s="900"/>
      <c r="H253" s="900"/>
      <c r="I253" s="900"/>
      <c r="J253" s="900">
        <v>296</v>
      </c>
      <c r="K253" s="900">
        <v>138</v>
      </c>
      <c r="L253" s="900">
        <v>114</v>
      </c>
      <c r="M253" s="352" t="s">
        <v>21</v>
      </c>
    </row>
    <row r="254" spans="1:13" x14ac:dyDescent="0.35">
      <c r="A254">
        <v>253</v>
      </c>
      <c r="B254" s="148" t="s">
        <v>407</v>
      </c>
      <c r="C254" s="900">
        <v>464</v>
      </c>
      <c r="D254" s="900">
        <v>433</v>
      </c>
      <c r="E254" s="900">
        <v>38</v>
      </c>
      <c r="F254" s="900">
        <v>738</v>
      </c>
      <c r="G254" s="900"/>
      <c r="H254" s="900"/>
      <c r="I254" s="900"/>
      <c r="J254" s="900">
        <v>332</v>
      </c>
      <c r="K254" s="900">
        <v>89</v>
      </c>
      <c r="L254" s="900">
        <v>43</v>
      </c>
      <c r="M254" s="352" t="s">
        <v>21</v>
      </c>
    </row>
    <row r="255" spans="1:13" x14ac:dyDescent="0.35">
      <c r="A255">
        <v>254</v>
      </c>
      <c r="B255" s="148" t="s">
        <v>408</v>
      </c>
      <c r="C255" s="900">
        <v>270</v>
      </c>
      <c r="D255" s="900">
        <v>382</v>
      </c>
      <c r="E255" s="900">
        <v>43</v>
      </c>
      <c r="F255" s="900">
        <v>249</v>
      </c>
      <c r="G255" s="900"/>
      <c r="H255" s="900"/>
      <c r="I255" s="900"/>
      <c r="J255" s="900">
        <v>73</v>
      </c>
      <c r="K255" s="900">
        <v>113</v>
      </c>
      <c r="L255" s="900">
        <v>84</v>
      </c>
      <c r="M255" s="352" t="s">
        <v>21</v>
      </c>
    </row>
    <row r="256" spans="1:13" x14ac:dyDescent="0.35">
      <c r="A256">
        <v>255</v>
      </c>
      <c r="B256" s="148" t="s">
        <v>423</v>
      </c>
      <c r="C256" s="900">
        <v>270</v>
      </c>
      <c r="D256" s="900">
        <v>463</v>
      </c>
      <c r="E256" s="900">
        <v>28</v>
      </c>
      <c r="F256" s="900">
        <v>364</v>
      </c>
      <c r="G256" s="900"/>
      <c r="H256" s="900"/>
      <c r="I256" s="900"/>
      <c r="J256" s="900">
        <v>90</v>
      </c>
      <c r="K256" s="900">
        <v>61</v>
      </c>
      <c r="L256" s="900">
        <v>119</v>
      </c>
      <c r="M256" s="352" t="s">
        <v>21</v>
      </c>
    </row>
    <row r="257" spans="1:13" x14ac:dyDescent="0.35">
      <c r="A257">
        <v>256</v>
      </c>
      <c r="B257" s="148" t="s">
        <v>406</v>
      </c>
      <c r="C257" s="900">
        <v>243</v>
      </c>
      <c r="D257" s="900">
        <v>246</v>
      </c>
      <c r="E257" s="900">
        <v>30</v>
      </c>
      <c r="F257" s="900">
        <v>365</v>
      </c>
      <c r="G257" s="900"/>
      <c r="H257" s="900"/>
      <c r="I257" s="900"/>
      <c r="J257" s="900">
        <v>15</v>
      </c>
      <c r="K257" s="900">
        <v>124</v>
      </c>
      <c r="L257" s="900">
        <v>104</v>
      </c>
      <c r="M257" s="352" t="s">
        <v>21</v>
      </c>
    </row>
    <row r="258" spans="1:13" x14ac:dyDescent="0.35">
      <c r="A258">
        <v>257</v>
      </c>
      <c r="B258" s="148" t="s">
        <v>409</v>
      </c>
      <c r="C258" s="900">
        <v>85</v>
      </c>
      <c r="D258" s="900">
        <v>418</v>
      </c>
      <c r="E258" s="900">
        <v>23</v>
      </c>
      <c r="F258" s="900">
        <v>50</v>
      </c>
      <c r="G258" s="900"/>
      <c r="H258" s="900"/>
      <c r="I258" s="900"/>
      <c r="J258" s="900">
        <v>26</v>
      </c>
      <c r="K258" s="900">
        <v>55</v>
      </c>
      <c r="L258" s="900">
        <v>4</v>
      </c>
      <c r="M258" s="352" t="s">
        <v>21</v>
      </c>
    </row>
    <row r="259" spans="1:13" x14ac:dyDescent="0.35">
      <c r="A259">
        <v>258</v>
      </c>
      <c r="B259" s="148" t="s">
        <v>425</v>
      </c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352" t="s">
        <v>21</v>
      </c>
    </row>
    <row r="260" spans="1:13" x14ac:dyDescent="0.35">
      <c r="A260">
        <v>259</v>
      </c>
      <c r="B260" s="135" t="s">
        <v>431</v>
      </c>
      <c r="C260" s="867">
        <v>4747</v>
      </c>
      <c r="D260" s="867">
        <v>426</v>
      </c>
      <c r="E260" s="867">
        <v>810</v>
      </c>
      <c r="F260" s="867">
        <v>3647</v>
      </c>
      <c r="G260" s="867"/>
      <c r="H260" s="867"/>
      <c r="I260" s="867"/>
      <c r="J260" s="867">
        <v>1936</v>
      </c>
      <c r="K260" s="867">
        <v>1902</v>
      </c>
      <c r="L260" s="867">
        <v>909</v>
      </c>
      <c r="M260" s="352" t="s">
        <v>22</v>
      </c>
    </row>
    <row r="261" spans="1:13" x14ac:dyDescent="0.35">
      <c r="A261">
        <v>260</v>
      </c>
      <c r="B261" s="135" t="s">
        <v>429</v>
      </c>
      <c r="C261" s="867">
        <v>2020</v>
      </c>
      <c r="D261" s="867">
        <v>670</v>
      </c>
      <c r="E261" s="867">
        <v>384</v>
      </c>
      <c r="F261" s="867">
        <v>2806</v>
      </c>
      <c r="G261" s="867"/>
      <c r="H261" s="867"/>
      <c r="I261" s="867"/>
      <c r="J261" s="867">
        <v>866</v>
      </c>
      <c r="K261" s="867">
        <v>573</v>
      </c>
      <c r="L261" s="867">
        <v>581</v>
      </c>
      <c r="M261" s="352" t="s">
        <v>22</v>
      </c>
    </row>
    <row r="262" spans="1:13" x14ac:dyDescent="0.35">
      <c r="A262">
        <v>261</v>
      </c>
      <c r="B262" s="135" t="s">
        <v>427</v>
      </c>
      <c r="C262" s="867">
        <v>1263</v>
      </c>
      <c r="D262" s="867">
        <v>479</v>
      </c>
      <c r="E262" s="867">
        <v>218</v>
      </c>
      <c r="F262" s="867">
        <v>621</v>
      </c>
      <c r="G262" s="867"/>
      <c r="H262" s="867"/>
      <c r="I262" s="867"/>
      <c r="J262" s="867">
        <v>623</v>
      </c>
      <c r="K262" s="867">
        <v>455</v>
      </c>
      <c r="L262" s="867">
        <v>185</v>
      </c>
      <c r="M262" s="352" t="s">
        <v>22</v>
      </c>
    </row>
    <row r="263" spans="1:13" x14ac:dyDescent="0.35">
      <c r="A263">
        <v>262</v>
      </c>
      <c r="B263" s="135" t="s">
        <v>430</v>
      </c>
      <c r="C263" s="867">
        <v>802</v>
      </c>
      <c r="D263" s="867">
        <v>691</v>
      </c>
      <c r="E263" s="867">
        <v>98</v>
      </c>
      <c r="F263" s="867">
        <v>944</v>
      </c>
      <c r="G263" s="867"/>
      <c r="H263" s="867"/>
      <c r="I263" s="867"/>
      <c r="J263" s="867">
        <v>607</v>
      </c>
      <c r="K263" s="867">
        <v>141</v>
      </c>
      <c r="L263" s="867">
        <v>54</v>
      </c>
      <c r="M263" s="352" t="s">
        <v>22</v>
      </c>
    </row>
    <row r="264" spans="1:13" x14ac:dyDescent="0.35">
      <c r="A264">
        <v>263</v>
      </c>
      <c r="B264" s="135" t="s">
        <v>439</v>
      </c>
      <c r="C264" s="867">
        <v>787</v>
      </c>
      <c r="D264" s="867">
        <v>687</v>
      </c>
      <c r="E264" s="867">
        <v>124</v>
      </c>
      <c r="F264" s="867">
        <v>1273</v>
      </c>
      <c r="G264" s="867"/>
      <c r="H264" s="867"/>
      <c r="I264" s="867"/>
      <c r="J264" s="867">
        <v>106</v>
      </c>
      <c r="K264" s="867">
        <v>181</v>
      </c>
      <c r="L264" s="867">
        <v>500</v>
      </c>
      <c r="M264" s="352" t="s">
        <v>22</v>
      </c>
    </row>
    <row r="265" spans="1:13" x14ac:dyDescent="0.35">
      <c r="A265">
        <v>264</v>
      </c>
      <c r="B265" s="135" t="s">
        <v>428</v>
      </c>
      <c r="C265" s="867">
        <v>422</v>
      </c>
      <c r="D265" s="867">
        <v>595</v>
      </c>
      <c r="E265" s="867">
        <v>104</v>
      </c>
      <c r="F265" s="867">
        <v>1359</v>
      </c>
      <c r="G265" s="867"/>
      <c r="H265" s="867"/>
      <c r="I265" s="867"/>
      <c r="J265" s="867">
        <v>161</v>
      </c>
      <c r="K265" s="867">
        <v>175</v>
      </c>
      <c r="L265" s="867">
        <v>86</v>
      </c>
      <c r="M265" s="352" t="s">
        <v>22</v>
      </c>
    </row>
    <row r="266" spans="1:13" x14ac:dyDescent="0.35">
      <c r="A266">
        <v>265</v>
      </c>
      <c r="B266" s="135" t="s">
        <v>438</v>
      </c>
      <c r="C266" s="867">
        <v>403</v>
      </c>
      <c r="D266" s="867">
        <v>389</v>
      </c>
      <c r="E266" s="867">
        <v>27</v>
      </c>
      <c r="F266" s="867">
        <v>277</v>
      </c>
      <c r="G266" s="867"/>
      <c r="H266" s="867"/>
      <c r="I266" s="867"/>
      <c r="J266" s="867">
        <v>251</v>
      </c>
      <c r="K266" s="867">
        <v>70</v>
      </c>
      <c r="L266" s="867">
        <v>82</v>
      </c>
      <c r="M266" s="352" t="s">
        <v>22</v>
      </c>
    </row>
    <row r="267" spans="1:13" x14ac:dyDescent="0.35">
      <c r="A267">
        <v>266</v>
      </c>
      <c r="B267" s="135" t="s">
        <v>432</v>
      </c>
      <c r="C267" s="867">
        <v>348</v>
      </c>
      <c r="D267" s="867">
        <v>257</v>
      </c>
      <c r="E267" s="867">
        <v>36</v>
      </c>
      <c r="F267" s="867">
        <v>461</v>
      </c>
      <c r="G267" s="867"/>
      <c r="H267" s="867"/>
      <c r="I267" s="867"/>
      <c r="J267" s="867">
        <v>140</v>
      </c>
      <c r="K267" s="867">
        <v>138</v>
      </c>
      <c r="L267" s="867">
        <v>70</v>
      </c>
      <c r="M267" s="352" t="s">
        <v>22</v>
      </c>
    </row>
    <row r="268" spans="1:13" x14ac:dyDescent="0.35">
      <c r="A268">
        <v>267</v>
      </c>
      <c r="B268" s="135" t="s">
        <v>435</v>
      </c>
      <c r="C268" s="867">
        <v>245</v>
      </c>
      <c r="D268" s="867">
        <v>467</v>
      </c>
      <c r="E268" s="867">
        <v>36</v>
      </c>
      <c r="F268" s="867">
        <v>395</v>
      </c>
      <c r="G268" s="867"/>
      <c r="H268" s="867"/>
      <c r="I268" s="867"/>
      <c r="J268" s="867">
        <v>57</v>
      </c>
      <c r="K268" s="867">
        <v>78</v>
      </c>
      <c r="L268" s="867">
        <v>110</v>
      </c>
      <c r="M268" s="352" t="s">
        <v>22</v>
      </c>
    </row>
    <row r="269" spans="1:13" x14ac:dyDescent="0.35">
      <c r="A269">
        <v>268</v>
      </c>
      <c r="B269" s="135" t="s">
        <v>436</v>
      </c>
      <c r="C269" s="867">
        <v>139</v>
      </c>
      <c r="D269" s="867">
        <v>270</v>
      </c>
      <c r="E269" s="867">
        <v>23</v>
      </c>
      <c r="F269" s="867">
        <v>126</v>
      </c>
      <c r="G269" s="867"/>
      <c r="H269" s="867"/>
      <c r="I269" s="867"/>
      <c r="J269" s="867">
        <v>16</v>
      </c>
      <c r="K269" s="867">
        <v>85</v>
      </c>
      <c r="L269" s="867">
        <v>38</v>
      </c>
      <c r="M269" s="352" t="s">
        <v>22</v>
      </c>
    </row>
    <row r="270" spans="1:13" x14ac:dyDescent="0.35">
      <c r="A270">
        <v>269</v>
      </c>
      <c r="B270" s="135" t="s">
        <v>433</v>
      </c>
      <c r="C270" s="867">
        <v>125</v>
      </c>
      <c r="D270" s="867">
        <v>320</v>
      </c>
      <c r="E270" s="867">
        <v>6</v>
      </c>
      <c r="F270" s="867">
        <v>299</v>
      </c>
      <c r="G270" s="867"/>
      <c r="H270" s="867"/>
      <c r="I270" s="867"/>
      <c r="J270" s="867">
        <v>46</v>
      </c>
      <c r="K270" s="867">
        <v>19</v>
      </c>
      <c r="L270" s="867">
        <v>60</v>
      </c>
      <c r="M270" s="352" t="s">
        <v>22</v>
      </c>
    </row>
    <row r="271" spans="1:13" x14ac:dyDescent="0.35">
      <c r="A271">
        <v>270</v>
      </c>
      <c r="B271" s="135" t="s">
        <v>426</v>
      </c>
      <c r="C271" s="867"/>
      <c r="D271" s="867"/>
      <c r="E271" s="867"/>
      <c r="F271" s="867"/>
      <c r="G271" s="867"/>
      <c r="H271" s="867"/>
      <c r="I271" s="867"/>
      <c r="J271" s="867"/>
      <c r="K271" s="867"/>
      <c r="L271" s="867"/>
      <c r="M271" s="352" t="s">
        <v>22</v>
      </c>
    </row>
    <row r="272" spans="1:13" x14ac:dyDescent="0.35">
      <c r="A272">
        <v>271</v>
      </c>
      <c r="B272" s="135" t="s">
        <v>434</v>
      </c>
      <c r="C272" s="867"/>
      <c r="D272" s="867"/>
      <c r="E272" s="867"/>
      <c r="F272" s="867"/>
      <c r="G272" s="867"/>
      <c r="H272" s="867"/>
      <c r="I272" s="867"/>
      <c r="J272" s="867"/>
      <c r="K272" s="867"/>
      <c r="L272" s="867"/>
      <c r="M272" s="352" t="s">
        <v>22</v>
      </c>
    </row>
    <row r="273" spans="1:13" x14ac:dyDescent="0.35">
      <c r="A273">
        <v>272</v>
      </c>
      <c r="B273" s="135" t="s">
        <v>437</v>
      </c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352" t="s">
        <v>22</v>
      </c>
    </row>
    <row r="274" spans="1:13" x14ac:dyDescent="0.35">
      <c r="A274">
        <v>273</v>
      </c>
      <c r="B274" s="901" t="s">
        <v>441</v>
      </c>
      <c r="C274" s="902">
        <v>1609</v>
      </c>
      <c r="D274" s="902">
        <v>528</v>
      </c>
      <c r="E274" s="902">
        <v>499</v>
      </c>
      <c r="F274" s="902">
        <v>1193</v>
      </c>
      <c r="G274" s="902"/>
      <c r="H274" s="902"/>
      <c r="I274" s="902"/>
      <c r="J274" s="902">
        <v>307</v>
      </c>
      <c r="K274" s="902">
        <v>945</v>
      </c>
      <c r="L274" s="902">
        <v>357</v>
      </c>
      <c r="M274" s="352" t="s">
        <v>23</v>
      </c>
    </row>
    <row r="275" spans="1:13" x14ac:dyDescent="0.35">
      <c r="A275">
        <v>274</v>
      </c>
      <c r="B275" s="903" t="s">
        <v>442</v>
      </c>
      <c r="C275" s="902">
        <v>219</v>
      </c>
      <c r="D275" s="902">
        <v>844</v>
      </c>
      <c r="E275" s="902">
        <v>65</v>
      </c>
      <c r="F275" s="902">
        <v>378</v>
      </c>
      <c r="G275" s="902"/>
      <c r="H275" s="902"/>
      <c r="I275" s="902"/>
      <c r="J275" s="902">
        <v>113</v>
      </c>
      <c r="K275" s="902">
        <v>77</v>
      </c>
      <c r="L275" s="902">
        <v>29</v>
      </c>
      <c r="M275" s="352" t="s">
        <v>23</v>
      </c>
    </row>
    <row r="276" spans="1:13" x14ac:dyDescent="0.35">
      <c r="A276">
        <v>275</v>
      </c>
      <c r="B276" s="903" t="s">
        <v>443</v>
      </c>
      <c r="C276" s="902">
        <v>79</v>
      </c>
      <c r="D276" s="902">
        <v>349</v>
      </c>
      <c r="E276" s="902">
        <v>13</v>
      </c>
      <c r="F276" s="902">
        <v>138</v>
      </c>
      <c r="G276" s="902"/>
      <c r="H276" s="902"/>
      <c r="I276" s="902"/>
      <c r="J276" s="902">
        <v>1</v>
      </c>
      <c r="K276" s="902">
        <v>36</v>
      </c>
      <c r="L276" s="902">
        <v>42</v>
      </c>
      <c r="M276" s="352" t="s">
        <v>23</v>
      </c>
    </row>
    <row r="277" spans="1:13" x14ac:dyDescent="0.35">
      <c r="A277">
        <v>276</v>
      </c>
      <c r="B277" s="903" t="s">
        <v>447</v>
      </c>
      <c r="C277" s="902">
        <v>5</v>
      </c>
      <c r="D277" s="902"/>
      <c r="E277" s="902"/>
      <c r="F277" s="902">
        <v>16</v>
      </c>
      <c r="G277" s="902"/>
      <c r="H277" s="902"/>
      <c r="I277" s="902"/>
      <c r="J277" s="902">
        <v>5</v>
      </c>
      <c r="K277" s="902"/>
      <c r="L277" s="902">
        <v>1</v>
      </c>
      <c r="M277" s="352" t="s">
        <v>23</v>
      </c>
    </row>
    <row r="278" spans="1:13" x14ac:dyDescent="0.35">
      <c r="A278">
        <v>277</v>
      </c>
      <c r="B278" s="903" t="s">
        <v>440</v>
      </c>
      <c r="C278" s="902"/>
      <c r="D278" s="902"/>
      <c r="E278" s="902"/>
      <c r="F278" s="902"/>
      <c r="G278" s="902"/>
      <c r="H278" s="902"/>
      <c r="I278" s="902"/>
      <c r="J278" s="902"/>
      <c r="K278" s="902"/>
      <c r="L278" s="902"/>
      <c r="M278" s="352" t="s">
        <v>23</v>
      </c>
    </row>
    <row r="279" spans="1:13" x14ac:dyDescent="0.35">
      <c r="A279">
        <v>278</v>
      </c>
      <c r="B279" s="903" t="s">
        <v>444</v>
      </c>
      <c r="C279" s="902"/>
      <c r="D279" s="902"/>
      <c r="E279" s="902"/>
      <c r="F279" s="902"/>
      <c r="G279" s="902"/>
      <c r="H279" s="902"/>
      <c r="I279" s="902"/>
      <c r="J279" s="902"/>
      <c r="K279" s="902"/>
      <c r="L279" s="902"/>
      <c r="M279" s="352" t="s">
        <v>23</v>
      </c>
    </row>
    <row r="280" spans="1:13" x14ac:dyDescent="0.35">
      <c r="A280">
        <v>279</v>
      </c>
      <c r="B280" s="903" t="s">
        <v>445</v>
      </c>
      <c r="C280" s="902"/>
      <c r="D280" s="902"/>
      <c r="E280" s="902"/>
      <c r="F280" s="902"/>
      <c r="G280" s="902"/>
      <c r="H280" s="902"/>
      <c r="I280" s="902"/>
      <c r="J280" s="902"/>
      <c r="K280" s="902"/>
      <c r="L280" s="902"/>
      <c r="M280" s="352" t="s">
        <v>23</v>
      </c>
    </row>
    <row r="281" spans="1:13" x14ac:dyDescent="0.35">
      <c r="A281">
        <v>280</v>
      </c>
      <c r="B281" s="903" t="s">
        <v>446</v>
      </c>
      <c r="C281" s="902"/>
      <c r="D281" s="902"/>
      <c r="E281" s="902"/>
      <c r="F281" s="902"/>
      <c r="G281" s="902"/>
      <c r="H281" s="902"/>
      <c r="I281" s="902"/>
      <c r="J281" s="902"/>
      <c r="K281" s="902"/>
      <c r="L281" s="902"/>
      <c r="M281" s="352" t="s">
        <v>23</v>
      </c>
    </row>
    <row r="282" spans="1:13" x14ac:dyDescent="0.35">
      <c r="A282">
        <v>281</v>
      </c>
      <c r="B282" s="903" t="s">
        <v>448</v>
      </c>
      <c r="C282" s="902"/>
      <c r="D282" s="902"/>
      <c r="E282" s="902"/>
      <c r="F282" s="902"/>
      <c r="G282" s="902"/>
      <c r="H282" s="902"/>
      <c r="I282" s="902"/>
      <c r="J282" s="902"/>
      <c r="K282" s="902"/>
      <c r="L282" s="902"/>
      <c r="M282" s="352" t="s">
        <v>23</v>
      </c>
    </row>
    <row r="283" spans="1:13" x14ac:dyDescent="0.35">
      <c r="A283">
        <v>282</v>
      </c>
      <c r="B283" s="903" t="s">
        <v>449</v>
      </c>
      <c r="C283" s="902"/>
      <c r="D283" s="902"/>
      <c r="E283" s="902"/>
      <c r="F283" s="902"/>
      <c r="G283" s="902"/>
      <c r="H283" s="902"/>
      <c r="I283" s="902"/>
      <c r="J283" s="902"/>
      <c r="K283" s="902"/>
      <c r="L283" s="902"/>
      <c r="M283" s="352" t="s">
        <v>23</v>
      </c>
    </row>
    <row r="284" spans="1:13" x14ac:dyDescent="0.35">
      <c r="A284">
        <v>283</v>
      </c>
      <c r="B284" s="139" t="s">
        <v>452</v>
      </c>
      <c r="C284" s="904">
        <v>276</v>
      </c>
      <c r="D284" s="904">
        <v>213</v>
      </c>
      <c r="E284" s="904">
        <v>17</v>
      </c>
      <c r="F284" s="904">
        <v>187</v>
      </c>
      <c r="G284" s="904"/>
      <c r="H284" s="904"/>
      <c r="I284" s="904"/>
      <c r="J284" s="904">
        <v>62</v>
      </c>
      <c r="K284" s="904">
        <v>80</v>
      </c>
      <c r="L284" s="904">
        <v>134</v>
      </c>
      <c r="M284" s="352" t="s">
        <v>24</v>
      </c>
    </row>
    <row r="285" spans="1:13" x14ac:dyDescent="0.35">
      <c r="A285">
        <v>284</v>
      </c>
      <c r="B285" s="139" t="s">
        <v>450</v>
      </c>
      <c r="C285" s="904">
        <v>133</v>
      </c>
      <c r="D285" s="904">
        <v>289</v>
      </c>
      <c r="E285" s="904">
        <v>11</v>
      </c>
      <c r="F285" s="904">
        <v>253</v>
      </c>
      <c r="G285" s="904"/>
      <c r="H285" s="904"/>
      <c r="I285" s="904"/>
      <c r="J285" s="904">
        <v>84</v>
      </c>
      <c r="K285" s="904">
        <v>36</v>
      </c>
      <c r="L285" s="904">
        <v>13</v>
      </c>
      <c r="M285" s="352" t="s">
        <v>24</v>
      </c>
    </row>
    <row r="286" spans="1:13" x14ac:dyDescent="0.35">
      <c r="A286">
        <v>285</v>
      </c>
      <c r="B286" s="139" t="s">
        <v>455</v>
      </c>
      <c r="C286" s="904">
        <v>131</v>
      </c>
      <c r="D286" s="904">
        <v>440</v>
      </c>
      <c r="E286" s="904">
        <v>33</v>
      </c>
      <c r="F286" s="904">
        <v>343</v>
      </c>
      <c r="G286" s="904"/>
      <c r="H286" s="904"/>
      <c r="I286" s="904"/>
      <c r="J286" s="904"/>
      <c r="K286" s="904">
        <v>76</v>
      </c>
      <c r="L286" s="904">
        <v>55</v>
      </c>
      <c r="M286" s="352" t="s">
        <v>24</v>
      </c>
    </row>
    <row r="287" spans="1:13" x14ac:dyDescent="0.35">
      <c r="A287">
        <v>286</v>
      </c>
      <c r="B287" s="139" t="s">
        <v>456</v>
      </c>
      <c r="C287" s="904">
        <v>8</v>
      </c>
      <c r="D287" s="904"/>
      <c r="E287" s="904">
        <v>6</v>
      </c>
      <c r="F287" s="904">
        <v>39</v>
      </c>
      <c r="G287" s="904"/>
      <c r="H287" s="904"/>
      <c r="I287" s="904"/>
      <c r="J287" s="904">
        <v>4</v>
      </c>
      <c r="K287" s="904"/>
      <c r="L287" s="904">
        <v>4</v>
      </c>
      <c r="M287" s="352" t="s">
        <v>24</v>
      </c>
    </row>
    <row r="288" spans="1:13" x14ac:dyDescent="0.35">
      <c r="A288">
        <v>287</v>
      </c>
      <c r="B288" s="139" t="s">
        <v>451</v>
      </c>
      <c r="C288" s="904"/>
      <c r="D288" s="904"/>
      <c r="E288" s="904"/>
      <c r="F288" s="904"/>
      <c r="G288" s="904"/>
      <c r="H288" s="904"/>
      <c r="I288" s="904"/>
      <c r="J288" s="904"/>
      <c r="K288" s="904"/>
      <c r="L288" s="904"/>
      <c r="M288" s="352" t="s">
        <v>24</v>
      </c>
    </row>
    <row r="289" spans="1:13" x14ac:dyDescent="0.35">
      <c r="A289">
        <v>288</v>
      </c>
      <c r="B289" s="139" t="s">
        <v>453</v>
      </c>
      <c r="C289" s="904"/>
      <c r="D289" s="904"/>
      <c r="E289" s="904"/>
      <c r="F289" s="904"/>
      <c r="G289" s="904"/>
      <c r="H289" s="904"/>
      <c r="I289" s="904"/>
      <c r="J289" s="904"/>
      <c r="K289" s="904"/>
      <c r="L289" s="904"/>
      <c r="M289" s="352" t="s">
        <v>24</v>
      </c>
    </row>
    <row r="290" spans="1:13" x14ac:dyDescent="0.35">
      <c r="A290">
        <v>289</v>
      </c>
      <c r="B290" s="139" t="s">
        <v>454</v>
      </c>
      <c r="C290" s="904"/>
      <c r="D290" s="904"/>
      <c r="E290" s="904"/>
      <c r="F290" s="904"/>
      <c r="G290" s="904"/>
      <c r="H290" s="904"/>
      <c r="I290" s="904"/>
      <c r="J290" s="904"/>
      <c r="K290" s="904"/>
      <c r="L290" s="904"/>
      <c r="M290" s="352" t="s">
        <v>24</v>
      </c>
    </row>
    <row r="291" spans="1:13" x14ac:dyDescent="0.35">
      <c r="A291">
        <v>290</v>
      </c>
      <c r="B291" s="139" t="s">
        <v>457</v>
      </c>
      <c r="C291" s="904"/>
      <c r="D291" s="904"/>
      <c r="E291" s="904"/>
      <c r="F291" s="904"/>
      <c r="G291" s="904"/>
      <c r="H291" s="904"/>
      <c r="I291" s="904"/>
      <c r="J291" s="904"/>
      <c r="K291" s="904"/>
      <c r="L291" s="904"/>
      <c r="M291" s="352" t="s">
        <v>24</v>
      </c>
    </row>
    <row r="292" spans="1:13" x14ac:dyDescent="0.35">
      <c r="A292">
        <v>291</v>
      </c>
      <c r="B292" s="139" t="s">
        <v>458</v>
      </c>
      <c r="C292" s="904"/>
      <c r="D292" s="904"/>
      <c r="E292" s="904"/>
      <c r="F292" s="904"/>
      <c r="G292" s="904"/>
      <c r="H292" s="904"/>
      <c r="I292" s="904"/>
      <c r="J292" s="904"/>
      <c r="K292" s="904"/>
      <c r="L292" s="904"/>
      <c r="M292" s="352" t="s">
        <v>24</v>
      </c>
    </row>
    <row r="293" spans="1:13" x14ac:dyDescent="0.35">
      <c r="A293">
        <v>292</v>
      </c>
      <c r="B293" s="905" t="s">
        <v>463</v>
      </c>
      <c r="C293" s="906">
        <v>4082</v>
      </c>
      <c r="D293" s="906">
        <v>545</v>
      </c>
      <c r="E293" s="906">
        <v>970</v>
      </c>
      <c r="F293" s="906">
        <v>2196</v>
      </c>
      <c r="G293" s="906"/>
      <c r="H293" s="906"/>
      <c r="I293" s="906"/>
      <c r="J293" s="906">
        <v>977</v>
      </c>
      <c r="K293" s="906">
        <v>1782</v>
      </c>
      <c r="L293" s="906">
        <v>1323</v>
      </c>
      <c r="M293" s="352" t="s">
        <v>25</v>
      </c>
    </row>
    <row r="294" spans="1:13" x14ac:dyDescent="0.35">
      <c r="A294">
        <v>293</v>
      </c>
      <c r="B294" s="905" t="s">
        <v>467</v>
      </c>
      <c r="C294" s="906">
        <v>2160</v>
      </c>
      <c r="D294" s="906">
        <v>624</v>
      </c>
      <c r="E294" s="906">
        <v>795</v>
      </c>
      <c r="F294" s="906">
        <v>2064</v>
      </c>
      <c r="G294" s="906"/>
      <c r="H294" s="906"/>
      <c r="I294" s="906"/>
      <c r="J294" s="906">
        <v>215</v>
      </c>
      <c r="K294" s="906">
        <v>1273</v>
      </c>
      <c r="L294" s="906">
        <v>672</v>
      </c>
      <c r="M294" s="352" t="s">
        <v>25</v>
      </c>
    </row>
    <row r="295" spans="1:13" x14ac:dyDescent="0.35">
      <c r="A295">
        <v>294</v>
      </c>
      <c r="B295" s="905" t="s">
        <v>468</v>
      </c>
      <c r="C295" s="906">
        <v>854</v>
      </c>
      <c r="D295" s="906">
        <v>545</v>
      </c>
      <c r="E295" s="906">
        <v>201</v>
      </c>
      <c r="F295" s="906">
        <v>423</v>
      </c>
      <c r="G295" s="906"/>
      <c r="H295" s="906"/>
      <c r="I295" s="906"/>
      <c r="J295" s="906">
        <v>338</v>
      </c>
      <c r="K295" s="906">
        <v>369</v>
      </c>
      <c r="L295" s="906">
        <v>147</v>
      </c>
      <c r="M295" s="352" t="s">
        <v>25</v>
      </c>
    </row>
    <row r="296" spans="1:13" x14ac:dyDescent="0.35">
      <c r="A296">
        <v>295</v>
      </c>
      <c r="B296" s="905" t="s">
        <v>462</v>
      </c>
      <c r="C296" s="906">
        <v>500</v>
      </c>
      <c r="D296" s="906">
        <v>110</v>
      </c>
      <c r="E296" s="906">
        <v>11</v>
      </c>
      <c r="F296" s="906">
        <v>344</v>
      </c>
      <c r="G296" s="906"/>
      <c r="H296" s="906"/>
      <c r="I296" s="906"/>
      <c r="J296" s="906">
        <v>262</v>
      </c>
      <c r="K296" s="906">
        <v>101</v>
      </c>
      <c r="L296" s="906">
        <v>137</v>
      </c>
      <c r="M296" s="352" t="s">
        <v>25</v>
      </c>
    </row>
    <row r="297" spans="1:13" x14ac:dyDescent="0.35">
      <c r="A297">
        <v>296</v>
      </c>
      <c r="B297" s="905" t="s">
        <v>465</v>
      </c>
      <c r="C297" s="906">
        <v>146</v>
      </c>
      <c r="D297" s="906">
        <v>283</v>
      </c>
      <c r="E297" s="906">
        <v>29</v>
      </c>
      <c r="F297" s="906">
        <v>271</v>
      </c>
      <c r="G297" s="906"/>
      <c r="H297" s="906"/>
      <c r="I297" s="906"/>
      <c r="J297" s="906">
        <v>6</v>
      </c>
      <c r="K297" s="906">
        <v>102</v>
      </c>
      <c r="L297" s="906">
        <v>38</v>
      </c>
      <c r="M297" s="352" t="s">
        <v>25</v>
      </c>
    </row>
    <row r="298" spans="1:13" x14ac:dyDescent="0.35">
      <c r="A298">
        <v>297</v>
      </c>
      <c r="B298" s="905" t="s">
        <v>461</v>
      </c>
      <c r="C298" s="906">
        <v>146</v>
      </c>
      <c r="D298" s="906">
        <v>618</v>
      </c>
      <c r="E298" s="906">
        <v>25</v>
      </c>
      <c r="F298" s="906">
        <v>175</v>
      </c>
      <c r="G298" s="906"/>
      <c r="H298" s="906"/>
      <c r="I298" s="906"/>
      <c r="J298" s="906">
        <v>78</v>
      </c>
      <c r="K298" s="906">
        <v>41</v>
      </c>
      <c r="L298" s="906">
        <v>27</v>
      </c>
      <c r="M298" s="352" t="s">
        <v>25</v>
      </c>
    </row>
    <row r="299" spans="1:13" x14ac:dyDescent="0.35">
      <c r="A299">
        <v>298</v>
      </c>
      <c r="B299" s="905" t="s">
        <v>466</v>
      </c>
      <c r="C299" s="906">
        <v>16</v>
      </c>
      <c r="D299" s="906">
        <v>250</v>
      </c>
      <c r="E299" s="906">
        <v>2</v>
      </c>
      <c r="F299" s="906">
        <v>15</v>
      </c>
      <c r="G299" s="906"/>
      <c r="H299" s="906"/>
      <c r="I299" s="906"/>
      <c r="J299" s="906">
        <v>4</v>
      </c>
      <c r="K299" s="906">
        <v>9</v>
      </c>
      <c r="L299" s="906">
        <v>3</v>
      </c>
      <c r="M299" s="352" t="s">
        <v>25</v>
      </c>
    </row>
    <row r="300" spans="1:13" x14ac:dyDescent="0.35">
      <c r="A300">
        <v>299</v>
      </c>
      <c r="B300" s="905" t="s">
        <v>459</v>
      </c>
      <c r="C300" s="906">
        <v>15</v>
      </c>
      <c r="D300" s="906">
        <v>200</v>
      </c>
      <c r="E300" s="906">
        <v>1</v>
      </c>
      <c r="F300" s="906">
        <v>14</v>
      </c>
      <c r="G300" s="906"/>
      <c r="H300" s="906"/>
      <c r="I300" s="906"/>
      <c r="J300" s="906">
        <v>5</v>
      </c>
      <c r="K300" s="906">
        <v>7</v>
      </c>
      <c r="L300" s="906">
        <v>3</v>
      </c>
      <c r="M300" s="352" t="s">
        <v>25</v>
      </c>
    </row>
    <row r="301" spans="1:13" x14ac:dyDescent="0.35">
      <c r="A301">
        <v>300</v>
      </c>
      <c r="B301" s="905" t="s">
        <v>460</v>
      </c>
      <c r="C301" s="906">
        <v>9</v>
      </c>
      <c r="D301" s="906">
        <v>250</v>
      </c>
      <c r="E301" s="906">
        <v>1</v>
      </c>
      <c r="F301" s="906">
        <v>16</v>
      </c>
      <c r="G301" s="906"/>
      <c r="H301" s="906"/>
      <c r="I301" s="906"/>
      <c r="J301" s="906"/>
      <c r="K301" s="906">
        <v>3</v>
      </c>
      <c r="L301" s="906">
        <v>6</v>
      </c>
      <c r="M301" s="352" t="s">
        <v>25</v>
      </c>
    </row>
    <row r="302" spans="1:13" x14ac:dyDescent="0.35">
      <c r="A302">
        <v>301</v>
      </c>
      <c r="B302" s="905" t="s">
        <v>464</v>
      </c>
      <c r="C302" s="906">
        <v>1</v>
      </c>
      <c r="D302" s="906"/>
      <c r="E302" s="906"/>
      <c r="F302" s="906">
        <v>2</v>
      </c>
      <c r="G302" s="906"/>
      <c r="H302" s="906"/>
      <c r="I302" s="906"/>
      <c r="J302" s="906">
        <v>1</v>
      </c>
      <c r="K302" s="906"/>
      <c r="L302" s="906"/>
      <c r="M302" s="352" t="s">
        <v>25</v>
      </c>
    </row>
    <row r="303" spans="1:13" x14ac:dyDescent="0.35">
      <c r="A303">
        <v>302</v>
      </c>
      <c r="B303" s="907" t="s">
        <v>471</v>
      </c>
      <c r="C303" s="869">
        <v>5165</v>
      </c>
      <c r="D303" s="869">
        <v>1225</v>
      </c>
      <c r="E303" s="869">
        <v>3976</v>
      </c>
      <c r="F303" s="869">
        <v>2554</v>
      </c>
      <c r="G303" s="869"/>
      <c r="H303" s="869"/>
      <c r="I303" s="869"/>
      <c r="J303" s="869">
        <v>632</v>
      </c>
      <c r="K303" s="869">
        <v>3245</v>
      </c>
      <c r="L303" s="869">
        <v>1288</v>
      </c>
      <c r="M303" s="352" t="s">
        <v>26</v>
      </c>
    </row>
    <row r="304" spans="1:13" x14ac:dyDescent="0.35">
      <c r="A304">
        <v>303</v>
      </c>
      <c r="B304" s="868" t="s">
        <v>470</v>
      </c>
      <c r="C304" s="869">
        <v>1641</v>
      </c>
      <c r="D304" s="869">
        <v>371</v>
      </c>
      <c r="E304" s="869">
        <v>215</v>
      </c>
      <c r="F304" s="869">
        <v>1814</v>
      </c>
      <c r="G304" s="869"/>
      <c r="H304" s="869"/>
      <c r="I304" s="869"/>
      <c r="J304" s="869">
        <v>664</v>
      </c>
      <c r="K304" s="869">
        <v>579</v>
      </c>
      <c r="L304" s="869">
        <v>398</v>
      </c>
      <c r="M304" s="352" t="s">
        <v>26</v>
      </c>
    </row>
    <row r="305" spans="1:13" x14ac:dyDescent="0.35">
      <c r="A305">
        <v>304</v>
      </c>
      <c r="B305" s="868" t="s">
        <v>469</v>
      </c>
      <c r="C305" s="869">
        <v>362</v>
      </c>
      <c r="D305" s="869">
        <v>289</v>
      </c>
      <c r="E305" s="869">
        <v>62</v>
      </c>
      <c r="F305" s="869">
        <v>372</v>
      </c>
      <c r="G305" s="869"/>
      <c r="H305" s="869"/>
      <c r="I305" s="869"/>
      <c r="J305" s="869">
        <v>29</v>
      </c>
      <c r="K305" s="869">
        <v>215</v>
      </c>
      <c r="L305" s="869">
        <v>118</v>
      </c>
      <c r="M305" s="352" t="s">
        <v>26</v>
      </c>
    </row>
    <row r="306" spans="1:13" x14ac:dyDescent="0.35">
      <c r="A306">
        <v>305</v>
      </c>
      <c r="B306" s="868" t="s">
        <v>472</v>
      </c>
      <c r="C306" s="869"/>
      <c r="D306" s="869"/>
      <c r="E306" s="869"/>
      <c r="F306" s="869"/>
      <c r="G306" s="869"/>
      <c r="H306" s="869"/>
      <c r="I306" s="869"/>
      <c r="J306" s="869"/>
      <c r="K306" s="869"/>
      <c r="L306" s="869"/>
      <c r="M306" s="352" t="s">
        <v>26</v>
      </c>
    </row>
    <row r="307" spans="1:13" x14ac:dyDescent="0.35">
      <c r="A307">
        <v>306</v>
      </c>
      <c r="B307" s="868" t="s">
        <v>473</v>
      </c>
      <c r="C307" s="869"/>
      <c r="D307" s="869"/>
      <c r="E307" s="869"/>
      <c r="F307" s="869">
        <v>1</v>
      </c>
      <c r="G307" s="869"/>
      <c r="H307" s="869"/>
      <c r="I307" s="869"/>
      <c r="J307" s="869"/>
      <c r="K307" s="869"/>
      <c r="L307" s="869"/>
      <c r="M307" s="352" t="s">
        <v>26</v>
      </c>
    </row>
    <row r="308" spans="1:13" x14ac:dyDescent="0.35">
      <c r="A308">
        <v>307</v>
      </c>
      <c r="B308" s="155" t="s">
        <v>481</v>
      </c>
      <c r="C308" s="908">
        <v>5241</v>
      </c>
      <c r="D308" s="908">
        <v>648</v>
      </c>
      <c r="E308" s="908">
        <v>797</v>
      </c>
      <c r="F308" s="908">
        <v>7588</v>
      </c>
      <c r="G308" s="908"/>
      <c r="H308" s="908"/>
      <c r="I308" s="908"/>
      <c r="J308" s="908">
        <v>2381</v>
      </c>
      <c r="K308" s="908">
        <v>1231</v>
      </c>
      <c r="L308" s="908">
        <v>1630</v>
      </c>
      <c r="M308" s="352" t="s">
        <v>27</v>
      </c>
    </row>
    <row r="309" spans="1:13" x14ac:dyDescent="0.35">
      <c r="A309">
        <v>308</v>
      </c>
      <c r="B309" s="155" t="s">
        <v>480</v>
      </c>
      <c r="C309" s="908">
        <v>5236</v>
      </c>
      <c r="D309" s="908">
        <v>849</v>
      </c>
      <c r="E309" s="908">
        <v>2218</v>
      </c>
      <c r="F309" s="908">
        <v>6012</v>
      </c>
      <c r="G309" s="908"/>
      <c r="H309" s="908"/>
      <c r="I309" s="908"/>
      <c r="J309" s="908">
        <v>1684</v>
      </c>
      <c r="K309" s="908">
        <v>2614</v>
      </c>
      <c r="L309" s="908">
        <v>939</v>
      </c>
      <c r="M309" s="352" t="s">
        <v>27</v>
      </c>
    </row>
    <row r="310" spans="1:13" x14ac:dyDescent="0.35">
      <c r="A310">
        <v>309</v>
      </c>
      <c r="B310" s="155" t="s">
        <v>479</v>
      </c>
      <c r="C310" s="908">
        <v>2075</v>
      </c>
      <c r="D310" s="908">
        <v>774</v>
      </c>
      <c r="E310" s="908">
        <v>350</v>
      </c>
      <c r="F310" s="908">
        <v>1998</v>
      </c>
      <c r="G310" s="908"/>
      <c r="H310" s="908"/>
      <c r="I310" s="908"/>
      <c r="J310" s="908">
        <v>778</v>
      </c>
      <c r="K310" s="908">
        <v>452</v>
      </c>
      <c r="L310" s="908">
        <v>845</v>
      </c>
      <c r="M310" s="352" t="s">
        <v>27</v>
      </c>
    </row>
    <row r="311" spans="1:13" x14ac:dyDescent="0.35">
      <c r="A311">
        <v>310</v>
      </c>
      <c r="B311" s="155" t="s">
        <v>478</v>
      </c>
      <c r="C311" s="908">
        <v>1648</v>
      </c>
      <c r="D311" s="908">
        <v>526</v>
      </c>
      <c r="E311" s="908">
        <v>298</v>
      </c>
      <c r="F311" s="908">
        <v>1981</v>
      </c>
      <c r="G311" s="908"/>
      <c r="H311" s="908"/>
      <c r="I311" s="908"/>
      <c r="J311" s="908">
        <v>696</v>
      </c>
      <c r="K311" s="908">
        <v>566</v>
      </c>
      <c r="L311" s="908">
        <v>386</v>
      </c>
      <c r="M311" s="352" t="s">
        <v>27</v>
      </c>
    </row>
    <row r="312" spans="1:13" x14ac:dyDescent="0.35">
      <c r="A312">
        <v>311</v>
      </c>
      <c r="B312" s="155" t="s">
        <v>475</v>
      </c>
      <c r="C312" s="908">
        <f>776+344</f>
        <v>1120</v>
      </c>
      <c r="D312" s="908">
        <v>1126</v>
      </c>
      <c r="E312" s="908">
        <v>247</v>
      </c>
      <c r="F312" s="908">
        <f>694+664</f>
        <v>1358</v>
      </c>
      <c r="G312" s="908"/>
      <c r="H312" s="908"/>
      <c r="I312" s="908"/>
      <c r="J312" s="908">
        <f>290+220</f>
        <v>510</v>
      </c>
      <c r="K312" s="908">
        <v>220</v>
      </c>
      <c r="L312" s="908">
        <f>267+124</f>
        <v>391</v>
      </c>
      <c r="M312" s="352" t="s">
        <v>27</v>
      </c>
    </row>
    <row r="313" spans="1:13" x14ac:dyDescent="0.35">
      <c r="A313">
        <v>312</v>
      </c>
      <c r="B313" s="155" t="s">
        <v>488</v>
      </c>
      <c r="C313" s="908">
        <v>742</v>
      </c>
      <c r="D313" s="908">
        <v>404</v>
      </c>
      <c r="E313" s="908">
        <v>109</v>
      </c>
      <c r="F313" s="908">
        <v>941</v>
      </c>
      <c r="G313" s="908"/>
      <c r="H313" s="908"/>
      <c r="I313" s="908"/>
      <c r="J313" s="908">
        <v>377</v>
      </c>
      <c r="K313" s="908">
        <v>270</v>
      </c>
      <c r="L313" s="908">
        <v>96</v>
      </c>
      <c r="M313" s="352" t="s">
        <v>27</v>
      </c>
    </row>
    <row r="314" spans="1:13" x14ac:dyDescent="0.35">
      <c r="A314">
        <v>313</v>
      </c>
      <c r="B314" s="155" t="s">
        <v>476</v>
      </c>
      <c r="C314" s="908">
        <f>502+50</f>
        <v>552</v>
      </c>
      <c r="D314" s="908">
        <v>1119</v>
      </c>
      <c r="E314" s="908">
        <v>85</v>
      </c>
      <c r="F314" s="908">
        <f>125+43</f>
        <v>168</v>
      </c>
      <c r="G314" s="908"/>
      <c r="H314" s="908"/>
      <c r="I314" s="908"/>
      <c r="J314" s="908">
        <v>297</v>
      </c>
      <c r="K314" s="908">
        <v>76</v>
      </c>
      <c r="L314" s="908">
        <f>129+50</f>
        <v>179</v>
      </c>
      <c r="M314" s="352" t="s">
        <v>27</v>
      </c>
    </row>
    <row r="315" spans="1:13" x14ac:dyDescent="0.35">
      <c r="A315">
        <v>314</v>
      </c>
      <c r="B315" s="155" t="s">
        <v>477</v>
      </c>
      <c r="C315" s="908">
        <v>420</v>
      </c>
      <c r="D315" s="908">
        <v>310</v>
      </c>
      <c r="E315" s="908">
        <v>16</v>
      </c>
      <c r="F315" s="908">
        <v>453</v>
      </c>
      <c r="G315" s="908"/>
      <c r="H315" s="908"/>
      <c r="I315" s="908"/>
      <c r="J315" s="908">
        <v>116</v>
      </c>
      <c r="K315" s="908">
        <v>52</v>
      </c>
      <c r="L315" s="908">
        <v>252</v>
      </c>
      <c r="M315" s="352" t="s">
        <v>27</v>
      </c>
    </row>
    <row r="316" spans="1:13" x14ac:dyDescent="0.35">
      <c r="A316">
        <v>315</v>
      </c>
      <c r="B316" s="155" t="s">
        <v>474</v>
      </c>
      <c r="C316" s="908">
        <v>46</v>
      </c>
      <c r="D316" s="908">
        <v>978</v>
      </c>
      <c r="E316" s="908">
        <v>22</v>
      </c>
      <c r="F316" s="908">
        <v>103</v>
      </c>
      <c r="G316" s="908"/>
      <c r="H316" s="908"/>
      <c r="I316" s="908"/>
      <c r="J316" s="908"/>
      <c r="K316" s="908">
        <v>23</v>
      </c>
      <c r="L316" s="908">
        <v>23</v>
      </c>
      <c r="M316" s="352" t="s">
        <v>27</v>
      </c>
    </row>
    <row r="317" spans="1:13" x14ac:dyDescent="0.35">
      <c r="A317">
        <v>316</v>
      </c>
      <c r="B317" s="155" t="s">
        <v>486</v>
      </c>
      <c r="C317" s="908">
        <v>34</v>
      </c>
      <c r="D317" s="908">
        <v>17</v>
      </c>
      <c r="E317" s="908"/>
      <c r="F317" s="908">
        <v>12</v>
      </c>
      <c r="G317" s="908"/>
      <c r="H317" s="908"/>
      <c r="I317" s="908"/>
      <c r="J317" s="908">
        <v>12</v>
      </c>
      <c r="K317" s="908">
        <v>6</v>
      </c>
      <c r="L317" s="908">
        <v>16</v>
      </c>
      <c r="M317" s="352" t="s">
        <v>27</v>
      </c>
    </row>
    <row r="318" spans="1:13" x14ac:dyDescent="0.35">
      <c r="A318">
        <v>317</v>
      </c>
      <c r="B318" s="155" t="s">
        <v>482</v>
      </c>
      <c r="C318" s="908"/>
      <c r="D318" s="908"/>
      <c r="E318" s="908"/>
      <c r="F318" s="908"/>
      <c r="G318" s="908"/>
      <c r="H318" s="908"/>
      <c r="I318" s="908"/>
      <c r="J318" s="908"/>
      <c r="K318" s="908"/>
      <c r="L318" s="908"/>
      <c r="M318" s="352" t="s">
        <v>27</v>
      </c>
    </row>
    <row r="319" spans="1:13" x14ac:dyDescent="0.35">
      <c r="A319">
        <v>318</v>
      </c>
      <c r="B319" s="155" t="s">
        <v>483</v>
      </c>
      <c r="C319" s="908"/>
      <c r="D319" s="908"/>
      <c r="E319" s="908"/>
      <c r="F319" s="908"/>
      <c r="G319" s="908"/>
      <c r="H319" s="908"/>
      <c r="I319" s="908"/>
      <c r="J319" s="908"/>
      <c r="K319" s="908"/>
      <c r="L319" s="908"/>
      <c r="M319" s="352" t="s">
        <v>27</v>
      </c>
    </row>
    <row r="320" spans="1:13" x14ac:dyDescent="0.35">
      <c r="A320">
        <v>319</v>
      </c>
      <c r="B320" s="155" t="s">
        <v>484</v>
      </c>
      <c r="C320" s="908"/>
      <c r="D320" s="908"/>
      <c r="E320" s="908"/>
      <c r="F320" s="908"/>
      <c r="G320" s="908"/>
      <c r="H320" s="908"/>
      <c r="I320" s="908"/>
      <c r="J320" s="908"/>
      <c r="K320" s="908"/>
      <c r="L320" s="908"/>
      <c r="M320" s="352" t="s">
        <v>27</v>
      </c>
    </row>
    <row r="321" spans="1:13" x14ac:dyDescent="0.35">
      <c r="A321">
        <v>320</v>
      </c>
      <c r="B321" s="155" t="s">
        <v>485</v>
      </c>
      <c r="C321" s="908"/>
      <c r="D321" s="908"/>
      <c r="E321" s="908"/>
      <c r="F321" s="908"/>
      <c r="G321" s="908"/>
      <c r="H321" s="908"/>
      <c r="I321" s="908"/>
      <c r="J321" s="908"/>
      <c r="K321" s="908"/>
      <c r="L321" s="908"/>
      <c r="M321" s="352" t="s">
        <v>27</v>
      </c>
    </row>
    <row r="322" spans="1:13" x14ac:dyDescent="0.35">
      <c r="A322">
        <v>321</v>
      </c>
      <c r="B322" s="155" t="s">
        <v>487</v>
      </c>
      <c r="C322" s="908"/>
      <c r="D322" s="908"/>
      <c r="E322" s="908"/>
      <c r="F322" s="908"/>
      <c r="G322" s="908"/>
      <c r="H322" s="908"/>
      <c r="I322" s="908"/>
      <c r="J322" s="908"/>
      <c r="K322" s="908"/>
      <c r="L322" s="908"/>
      <c r="M322" s="352" t="s">
        <v>27</v>
      </c>
    </row>
    <row r="323" spans="1:13" x14ac:dyDescent="0.35">
      <c r="A323">
        <v>322</v>
      </c>
      <c r="B323" s="868" t="s">
        <v>493</v>
      </c>
      <c r="C323" s="869">
        <v>4995</v>
      </c>
      <c r="D323" s="869">
        <v>1108</v>
      </c>
      <c r="E323" s="869">
        <v>2580</v>
      </c>
      <c r="F323" s="869">
        <v>5082</v>
      </c>
      <c r="G323" s="869"/>
      <c r="H323" s="869"/>
      <c r="I323" s="869"/>
      <c r="J323" s="869">
        <v>1648</v>
      </c>
      <c r="K323" s="869">
        <v>2327</v>
      </c>
      <c r="L323" s="869">
        <v>1020</v>
      </c>
      <c r="M323" s="352" t="s">
        <v>28</v>
      </c>
    </row>
    <row r="324" spans="1:13" x14ac:dyDescent="0.35">
      <c r="A324">
        <v>323</v>
      </c>
      <c r="B324" s="868" t="s">
        <v>492</v>
      </c>
      <c r="C324" s="869">
        <v>4047</v>
      </c>
      <c r="D324" s="869">
        <v>760</v>
      </c>
      <c r="E324" s="869">
        <v>413</v>
      </c>
      <c r="F324" s="869">
        <v>3343</v>
      </c>
      <c r="G324" s="869"/>
      <c r="H324" s="869"/>
      <c r="I324" s="869"/>
      <c r="J324" s="869">
        <v>3292</v>
      </c>
      <c r="K324" s="869">
        <v>543</v>
      </c>
      <c r="L324" s="869">
        <v>212</v>
      </c>
      <c r="M324" s="352" t="s">
        <v>28</v>
      </c>
    </row>
    <row r="325" spans="1:13" x14ac:dyDescent="0.35">
      <c r="A325">
        <v>324</v>
      </c>
      <c r="B325" s="868" t="s">
        <v>489</v>
      </c>
      <c r="C325" s="869">
        <v>2562</v>
      </c>
      <c r="D325" s="869">
        <v>386</v>
      </c>
      <c r="E325" s="869">
        <v>156</v>
      </c>
      <c r="F325" s="869">
        <v>3670</v>
      </c>
      <c r="G325" s="869"/>
      <c r="H325" s="869"/>
      <c r="I325" s="869"/>
      <c r="J325" s="869">
        <v>1858</v>
      </c>
      <c r="K325" s="869">
        <v>405</v>
      </c>
      <c r="L325" s="869">
        <v>299</v>
      </c>
      <c r="M325" s="352" t="s">
        <v>28</v>
      </c>
    </row>
    <row r="326" spans="1:13" x14ac:dyDescent="0.35">
      <c r="A326">
        <v>325</v>
      </c>
      <c r="B326" s="868" t="s">
        <v>490</v>
      </c>
      <c r="C326" s="869">
        <v>1766</v>
      </c>
      <c r="D326" s="869">
        <v>796</v>
      </c>
      <c r="E326" s="869">
        <v>315</v>
      </c>
      <c r="F326" s="869">
        <v>1926</v>
      </c>
      <c r="G326" s="869"/>
      <c r="H326" s="869"/>
      <c r="I326" s="869"/>
      <c r="J326" s="869">
        <v>1194</v>
      </c>
      <c r="K326" s="869">
        <v>395</v>
      </c>
      <c r="L326" s="869">
        <v>177</v>
      </c>
      <c r="M326" s="352" t="s">
        <v>28</v>
      </c>
    </row>
    <row r="327" spans="1:13" x14ac:dyDescent="0.35">
      <c r="A327">
        <v>326</v>
      </c>
      <c r="B327" s="868" t="s">
        <v>491</v>
      </c>
      <c r="C327" s="869">
        <v>1737</v>
      </c>
      <c r="D327" s="869">
        <v>403</v>
      </c>
      <c r="E327" s="869">
        <v>100</v>
      </c>
      <c r="F327" s="869">
        <v>1436</v>
      </c>
      <c r="G327" s="869"/>
      <c r="H327" s="869"/>
      <c r="I327" s="869"/>
      <c r="J327" s="869">
        <v>1159</v>
      </c>
      <c r="K327" s="869">
        <v>248</v>
      </c>
      <c r="L327" s="869">
        <v>330</v>
      </c>
      <c r="M327" s="352" t="s">
        <v>28</v>
      </c>
    </row>
    <row r="328" spans="1:13" x14ac:dyDescent="0.35">
      <c r="A328">
        <v>327</v>
      </c>
      <c r="B328" s="909" t="s">
        <v>497</v>
      </c>
      <c r="C328" s="867">
        <f>69715+2</f>
        <v>69717</v>
      </c>
      <c r="D328" s="867">
        <f>842+500</f>
        <v>1342</v>
      </c>
      <c r="E328" s="867">
        <f>33990+1</f>
        <v>33991</v>
      </c>
      <c r="F328" s="867">
        <f>38422+2</f>
        <v>38424</v>
      </c>
      <c r="G328" s="867"/>
      <c r="H328" s="867"/>
      <c r="I328" s="867"/>
      <c r="J328" s="867">
        <v>10821</v>
      </c>
      <c r="K328" s="867">
        <f>40364+2</f>
        <v>40366</v>
      </c>
      <c r="L328" s="867">
        <v>18530</v>
      </c>
      <c r="M328" s="352" t="s">
        <v>29</v>
      </c>
    </row>
    <row r="329" spans="1:13" x14ac:dyDescent="0.35">
      <c r="A329">
        <v>328</v>
      </c>
      <c r="B329" s="135" t="s">
        <v>500</v>
      </c>
      <c r="C329" s="867">
        <v>46467</v>
      </c>
      <c r="D329" s="867">
        <v>777</v>
      </c>
      <c r="E329" s="867">
        <v>13492</v>
      </c>
      <c r="F329" s="867">
        <v>79646</v>
      </c>
      <c r="G329" s="867"/>
      <c r="H329" s="867"/>
      <c r="I329" s="867"/>
      <c r="J329" s="867">
        <v>13324</v>
      </c>
      <c r="K329" s="867">
        <v>17363</v>
      </c>
      <c r="L329" s="867">
        <v>15780</v>
      </c>
      <c r="M329" s="352" t="s">
        <v>29</v>
      </c>
    </row>
    <row r="330" spans="1:13" x14ac:dyDescent="0.35">
      <c r="A330">
        <v>329</v>
      </c>
      <c r="B330" s="135" t="s">
        <v>498</v>
      </c>
      <c r="C330" s="867">
        <v>39209</v>
      </c>
      <c r="D330" s="867">
        <v>890</v>
      </c>
      <c r="E330" s="867">
        <v>18979</v>
      </c>
      <c r="F330" s="867">
        <v>98534</v>
      </c>
      <c r="G330" s="867"/>
      <c r="H330" s="867"/>
      <c r="I330" s="867"/>
      <c r="J330" s="867">
        <v>7000</v>
      </c>
      <c r="K330" s="867">
        <v>21334</v>
      </c>
      <c r="L330" s="867">
        <v>10875</v>
      </c>
      <c r="M330" s="352" t="s">
        <v>29</v>
      </c>
    </row>
    <row r="331" spans="1:13" x14ac:dyDescent="0.35">
      <c r="A331">
        <v>330</v>
      </c>
      <c r="B331" s="135" t="s">
        <v>495</v>
      </c>
      <c r="C331" s="867">
        <v>30614</v>
      </c>
      <c r="D331" s="867">
        <v>856</v>
      </c>
      <c r="E331" s="867">
        <v>14315</v>
      </c>
      <c r="F331" s="867">
        <v>23929</v>
      </c>
      <c r="G331" s="867"/>
      <c r="H331" s="867"/>
      <c r="I331" s="867"/>
      <c r="J331" s="867">
        <v>4835</v>
      </c>
      <c r="K331" s="867">
        <v>16727</v>
      </c>
      <c r="L331" s="867">
        <v>9052</v>
      </c>
      <c r="M331" s="352" t="s">
        <v>29</v>
      </c>
    </row>
    <row r="332" spans="1:13" x14ac:dyDescent="0.35">
      <c r="A332">
        <v>331</v>
      </c>
      <c r="B332" s="135" t="s">
        <v>496</v>
      </c>
      <c r="C332" s="867">
        <f>27680+2</f>
        <v>27682</v>
      </c>
      <c r="D332" s="867">
        <f>998+500</f>
        <v>1498</v>
      </c>
      <c r="E332" s="867">
        <f>14328+1</f>
        <v>14329</v>
      </c>
      <c r="F332" s="867">
        <f>11429+2</f>
        <v>11431</v>
      </c>
      <c r="G332" s="867"/>
      <c r="H332" s="867"/>
      <c r="I332" s="867"/>
      <c r="J332" s="867">
        <v>5836</v>
      </c>
      <c r="K332" s="867">
        <f>14360+2</f>
        <v>14362</v>
      </c>
      <c r="L332" s="867">
        <v>7484</v>
      </c>
      <c r="M332" s="352" t="s">
        <v>29</v>
      </c>
    </row>
    <row r="333" spans="1:13" x14ac:dyDescent="0.35">
      <c r="A333">
        <v>332</v>
      </c>
      <c r="B333" s="135" t="s">
        <v>502</v>
      </c>
      <c r="C333" s="867">
        <v>21154</v>
      </c>
      <c r="D333" s="867">
        <v>744</v>
      </c>
      <c r="E333" s="867">
        <v>8338</v>
      </c>
      <c r="F333" s="867">
        <v>15021</v>
      </c>
      <c r="G333" s="867"/>
      <c r="H333" s="867"/>
      <c r="I333" s="867"/>
      <c r="J333" s="867">
        <v>329</v>
      </c>
      <c r="K333" s="867">
        <v>11201</v>
      </c>
      <c r="L333" s="867">
        <v>9624</v>
      </c>
      <c r="M333" s="352" t="s">
        <v>29</v>
      </c>
    </row>
    <row r="334" spans="1:13" x14ac:dyDescent="0.35">
      <c r="A334">
        <v>333</v>
      </c>
      <c r="B334" s="135" t="s">
        <v>505</v>
      </c>
      <c r="C334" s="867">
        <v>14661</v>
      </c>
      <c r="D334" s="867">
        <v>713</v>
      </c>
      <c r="E334" s="867">
        <v>5550</v>
      </c>
      <c r="F334" s="867">
        <v>7319</v>
      </c>
      <c r="G334" s="867"/>
      <c r="H334" s="867"/>
      <c r="I334" s="867"/>
      <c r="J334" s="867">
        <v>2277</v>
      </c>
      <c r="K334" s="867">
        <v>7779</v>
      </c>
      <c r="L334" s="867">
        <v>4605</v>
      </c>
      <c r="M334" s="352" t="s">
        <v>29</v>
      </c>
    </row>
    <row r="335" spans="1:13" x14ac:dyDescent="0.35">
      <c r="A335">
        <v>334</v>
      </c>
      <c r="B335" s="135" t="s">
        <v>504</v>
      </c>
      <c r="C335" s="867">
        <v>13891</v>
      </c>
      <c r="D335" s="867">
        <v>855</v>
      </c>
      <c r="E335" s="867">
        <v>6525</v>
      </c>
      <c r="F335" s="867">
        <v>8066</v>
      </c>
      <c r="G335" s="867"/>
      <c r="H335" s="867"/>
      <c r="I335" s="867"/>
      <c r="J335" s="867">
        <v>2889</v>
      </c>
      <c r="K335" s="867">
        <v>7629</v>
      </c>
      <c r="L335" s="867">
        <v>3373</v>
      </c>
      <c r="M335" s="352" t="s">
        <v>29</v>
      </c>
    </row>
    <row r="336" spans="1:13" x14ac:dyDescent="0.35">
      <c r="A336">
        <v>335</v>
      </c>
      <c r="B336" s="135" t="s">
        <v>503</v>
      </c>
      <c r="C336" s="867">
        <v>11541</v>
      </c>
      <c r="D336" s="867">
        <v>920</v>
      </c>
      <c r="E336" s="867">
        <v>4234</v>
      </c>
      <c r="F336" s="867">
        <v>8800</v>
      </c>
      <c r="G336" s="867"/>
      <c r="H336" s="867"/>
      <c r="I336" s="867"/>
      <c r="J336" s="867">
        <v>4665</v>
      </c>
      <c r="K336" s="867">
        <v>4603</v>
      </c>
      <c r="L336" s="867">
        <v>2273</v>
      </c>
      <c r="M336" s="352" t="s">
        <v>29</v>
      </c>
    </row>
    <row r="337" spans="1:13" x14ac:dyDescent="0.35">
      <c r="A337">
        <v>336</v>
      </c>
      <c r="B337" s="135" t="s">
        <v>501</v>
      </c>
      <c r="C337" s="867">
        <v>6756</v>
      </c>
      <c r="D337" s="867">
        <v>526</v>
      </c>
      <c r="E337" s="867">
        <v>1396</v>
      </c>
      <c r="F337" s="867">
        <v>4563</v>
      </c>
      <c r="G337" s="867"/>
      <c r="H337" s="867"/>
      <c r="I337" s="867"/>
      <c r="J337" s="867">
        <v>1313</v>
      </c>
      <c r="K337" s="867">
        <v>2652</v>
      </c>
      <c r="L337" s="867">
        <v>2791</v>
      </c>
      <c r="M337" s="352" t="s">
        <v>29</v>
      </c>
    </row>
    <row r="338" spans="1:13" x14ac:dyDescent="0.35">
      <c r="A338">
        <v>337</v>
      </c>
      <c r="B338" s="135" t="s">
        <v>499</v>
      </c>
      <c r="C338" s="867">
        <v>6116</v>
      </c>
      <c r="D338" s="867">
        <v>953</v>
      </c>
      <c r="E338" s="867">
        <v>3529</v>
      </c>
      <c r="F338" s="867">
        <v>5692</v>
      </c>
      <c r="G338" s="867"/>
      <c r="H338" s="867"/>
      <c r="I338" s="867"/>
      <c r="J338" s="867">
        <v>1005</v>
      </c>
      <c r="K338" s="867">
        <v>3703</v>
      </c>
      <c r="L338" s="867">
        <v>1408</v>
      </c>
      <c r="M338" s="352" t="s">
        <v>29</v>
      </c>
    </row>
    <row r="339" spans="1:13" x14ac:dyDescent="0.35">
      <c r="A339">
        <v>338</v>
      </c>
      <c r="B339" s="135" t="s">
        <v>506</v>
      </c>
      <c r="C339" s="867">
        <v>1039</v>
      </c>
      <c r="D339" s="867">
        <v>453</v>
      </c>
      <c r="E339" s="867">
        <v>201</v>
      </c>
      <c r="F339" s="867">
        <v>693</v>
      </c>
      <c r="G339" s="867"/>
      <c r="H339" s="867"/>
      <c r="I339" s="867"/>
      <c r="J339" s="867">
        <v>135</v>
      </c>
      <c r="K339" s="867">
        <v>444</v>
      </c>
      <c r="L339" s="867">
        <v>460</v>
      </c>
      <c r="M339" s="352" t="s">
        <v>29</v>
      </c>
    </row>
    <row r="340" spans="1:13" x14ac:dyDescent="0.35">
      <c r="A340">
        <v>339</v>
      </c>
      <c r="B340" s="135" t="s">
        <v>494</v>
      </c>
      <c r="C340" s="867">
        <v>351</v>
      </c>
      <c r="D340" s="867">
        <v>616</v>
      </c>
      <c r="E340" s="867">
        <v>44</v>
      </c>
      <c r="F340" s="867">
        <v>255</v>
      </c>
      <c r="G340" s="867"/>
      <c r="H340" s="867"/>
      <c r="I340" s="867"/>
      <c r="J340" s="867">
        <v>106</v>
      </c>
      <c r="K340" s="867">
        <v>71</v>
      </c>
      <c r="L340" s="867">
        <v>173</v>
      </c>
      <c r="M340" s="352" t="s">
        <v>29</v>
      </c>
    </row>
    <row r="341" spans="1:13" x14ac:dyDescent="0.35">
      <c r="A341">
        <v>340</v>
      </c>
      <c r="B341" s="155" t="s">
        <v>508</v>
      </c>
      <c r="C341" s="908">
        <v>38128</v>
      </c>
      <c r="D341" s="908">
        <v>1102</v>
      </c>
      <c r="E341" s="908">
        <v>20290</v>
      </c>
      <c r="F341" s="908">
        <v>26963</v>
      </c>
      <c r="G341" s="908"/>
      <c r="H341" s="908"/>
      <c r="I341" s="908"/>
      <c r="J341" s="908">
        <v>6893</v>
      </c>
      <c r="K341" s="908">
        <v>18414</v>
      </c>
      <c r="L341" s="908">
        <v>12821</v>
      </c>
      <c r="M341" s="352" t="s">
        <v>30</v>
      </c>
    </row>
    <row r="342" spans="1:13" x14ac:dyDescent="0.35">
      <c r="A342">
        <v>341</v>
      </c>
      <c r="B342" s="155" t="s">
        <v>507</v>
      </c>
      <c r="C342" s="908">
        <f>34094+550</f>
        <v>34644</v>
      </c>
      <c r="D342" s="908">
        <f>1118+2527</f>
        <v>3645</v>
      </c>
      <c r="E342" s="908">
        <f>21478+379</f>
        <v>21857</v>
      </c>
      <c r="F342" s="908">
        <f>27799+440</f>
        <v>28239</v>
      </c>
      <c r="G342" s="908"/>
      <c r="H342" s="908"/>
      <c r="I342" s="908"/>
      <c r="J342" s="908">
        <f>2203+100</f>
        <v>2303</v>
      </c>
      <c r="K342" s="908">
        <f>19205+150</f>
        <v>19355</v>
      </c>
      <c r="L342" s="908">
        <f>12686+300</f>
        <v>12986</v>
      </c>
      <c r="M342" s="352" t="s">
        <v>30</v>
      </c>
    </row>
    <row r="343" spans="1:13" x14ac:dyDescent="0.35">
      <c r="A343">
        <v>342</v>
      </c>
      <c r="B343" s="155" t="s">
        <v>513</v>
      </c>
      <c r="C343" s="908">
        <v>32705</v>
      </c>
      <c r="D343" s="908">
        <v>669</v>
      </c>
      <c r="E343" s="908">
        <v>13382</v>
      </c>
      <c r="F343" s="908">
        <v>40661</v>
      </c>
      <c r="G343" s="908"/>
      <c r="H343" s="908"/>
      <c r="I343" s="908"/>
      <c r="J343" s="908">
        <v>600</v>
      </c>
      <c r="K343" s="908">
        <v>20010</v>
      </c>
      <c r="L343" s="908">
        <v>12095</v>
      </c>
      <c r="M343" s="352" t="s">
        <v>30</v>
      </c>
    </row>
    <row r="344" spans="1:13" x14ac:dyDescent="0.35">
      <c r="A344">
        <v>343</v>
      </c>
      <c r="B344" s="155" t="s">
        <v>509</v>
      </c>
      <c r="C344" s="908">
        <f>25584+2954</f>
        <v>28538</v>
      </c>
      <c r="D344" s="908">
        <f>829+300</f>
        <v>1129</v>
      </c>
      <c r="E344" s="908">
        <f>9078+480</f>
        <v>9558</v>
      </c>
      <c r="F344" s="908">
        <f>18548+2363</f>
        <v>20911</v>
      </c>
      <c r="G344" s="908"/>
      <c r="H344" s="908"/>
      <c r="I344" s="908"/>
      <c r="J344" s="908">
        <f>2804+1354</f>
        <v>4158</v>
      </c>
      <c r="K344" s="908">
        <f>10952+1600</f>
        <v>12552</v>
      </c>
      <c r="L344" s="908">
        <v>11828</v>
      </c>
      <c r="M344" s="352" t="s">
        <v>30</v>
      </c>
    </row>
    <row r="345" spans="1:13" x14ac:dyDescent="0.35">
      <c r="A345">
        <v>344</v>
      </c>
      <c r="B345" s="155" t="s">
        <v>526</v>
      </c>
      <c r="C345" s="908">
        <f>21696+248</f>
        <v>21944</v>
      </c>
      <c r="D345" s="908">
        <f>941+533</f>
        <v>1474</v>
      </c>
      <c r="E345" s="908">
        <f>9092+144</f>
        <v>9236</v>
      </c>
      <c r="F345" s="908">
        <f>21280+198</f>
        <v>21478</v>
      </c>
      <c r="G345" s="908"/>
      <c r="H345" s="908"/>
      <c r="I345" s="908"/>
      <c r="J345" s="908">
        <v>1368</v>
      </c>
      <c r="K345" s="908">
        <f>9661+214</f>
        <v>9875</v>
      </c>
      <c r="L345" s="908">
        <f>10667+34</f>
        <v>10701</v>
      </c>
      <c r="M345" s="352" t="s">
        <v>30</v>
      </c>
    </row>
    <row r="346" spans="1:13" x14ac:dyDescent="0.35">
      <c r="A346">
        <v>345</v>
      </c>
      <c r="B346" s="155" t="s">
        <v>514</v>
      </c>
      <c r="C346" s="908">
        <v>18720</v>
      </c>
      <c r="D346" s="908">
        <v>947</v>
      </c>
      <c r="E346" s="908">
        <v>9160</v>
      </c>
      <c r="F346" s="908">
        <v>23671</v>
      </c>
      <c r="G346" s="908"/>
      <c r="H346" s="908"/>
      <c r="I346" s="908"/>
      <c r="J346" s="908">
        <v>2473</v>
      </c>
      <c r="K346" s="908">
        <v>9677</v>
      </c>
      <c r="L346" s="908">
        <v>6570</v>
      </c>
      <c r="M346" s="352" t="s">
        <v>30</v>
      </c>
    </row>
    <row r="347" spans="1:13" x14ac:dyDescent="0.35">
      <c r="A347">
        <v>346</v>
      </c>
      <c r="B347" s="155" t="s">
        <v>515</v>
      </c>
      <c r="C347" s="908">
        <f>15727+200</f>
        <v>15927</v>
      </c>
      <c r="D347" s="908">
        <f>781+256</f>
        <v>1037</v>
      </c>
      <c r="E347" s="908">
        <f>8276+50</f>
        <v>8326</v>
      </c>
      <c r="F347" s="908">
        <f>24423+160</f>
        <v>24583</v>
      </c>
      <c r="G347" s="908"/>
      <c r="H347" s="908"/>
      <c r="I347" s="908"/>
      <c r="J347" s="908">
        <v>487</v>
      </c>
      <c r="K347" s="908">
        <f>10602+195</f>
        <v>10797</v>
      </c>
      <c r="L347" s="908">
        <f>4638+5</f>
        <v>4643</v>
      </c>
      <c r="M347" s="352" t="s">
        <v>30</v>
      </c>
    </row>
    <row r="348" spans="1:13" x14ac:dyDescent="0.35">
      <c r="A348">
        <v>347</v>
      </c>
      <c r="B348" s="155" t="s">
        <v>516</v>
      </c>
      <c r="C348" s="908">
        <v>9956</v>
      </c>
      <c r="D348" s="908">
        <v>391</v>
      </c>
      <c r="E348" s="908">
        <v>1847</v>
      </c>
      <c r="F348" s="908">
        <v>11656</v>
      </c>
      <c r="G348" s="908"/>
      <c r="H348" s="908"/>
      <c r="I348" s="908"/>
      <c r="J348" s="908">
        <v>560</v>
      </c>
      <c r="K348" s="908">
        <v>4727</v>
      </c>
      <c r="L348" s="908">
        <v>4669</v>
      </c>
      <c r="M348" s="352" t="s">
        <v>30</v>
      </c>
    </row>
    <row r="349" spans="1:13" x14ac:dyDescent="0.35">
      <c r="A349">
        <v>348</v>
      </c>
      <c r="B349" s="155" t="s">
        <v>528</v>
      </c>
      <c r="C349" s="908">
        <v>9915</v>
      </c>
      <c r="D349" s="908">
        <v>800</v>
      </c>
      <c r="E349" s="908">
        <v>3701</v>
      </c>
      <c r="F349" s="908">
        <v>11702</v>
      </c>
      <c r="G349" s="908"/>
      <c r="H349" s="908"/>
      <c r="I349" s="908"/>
      <c r="J349" s="908">
        <v>1328</v>
      </c>
      <c r="K349" s="908">
        <v>4626</v>
      </c>
      <c r="L349" s="908">
        <v>3961</v>
      </c>
      <c r="M349" s="352" t="s">
        <v>30</v>
      </c>
    </row>
    <row r="350" spans="1:13" x14ac:dyDescent="0.35">
      <c r="A350">
        <v>349</v>
      </c>
      <c r="B350" s="155" t="s">
        <v>527</v>
      </c>
      <c r="C350" s="908">
        <v>8282</v>
      </c>
      <c r="D350" s="908">
        <v>935</v>
      </c>
      <c r="E350" s="908">
        <v>5572</v>
      </c>
      <c r="F350" s="908">
        <v>6873</v>
      </c>
      <c r="G350" s="908"/>
      <c r="H350" s="908"/>
      <c r="I350" s="908"/>
      <c r="J350" s="908">
        <v>222</v>
      </c>
      <c r="K350" s="908">
        <v>5960</v>
      </c>
      <c r="L350" s="908">
        <v>2100</v>
      </c>
      <c r="M350" s="352" t="s">
        <v>30</v>
      </c>
    </row>
    <row r="351" spans="1:13" x14ac:dyDescent="0.35">
      <c r="A351">
        <v>350</v>
      </c>
      <c r="B351" s="155" t="s">
        <v>517</v>
      </c>
      <c r="C351" s="908">
        <v>8221</v>
      </c>
      <c r="D351" s="908">
        <v>966</v>
      </c>
      <c r="E351" s="908">
        <v>4295</v>
      </c>
      <c r="F351" s="908">
        <v>11572</v>
      </c>
      <c r="G351" s="908"/>
      <c r="H351" s="908"/>
      <c r="I351" s="908"/>
      <c r="J351" s="908">
        <v>2177</v>
      </c>
      <c r="K351" s="908">
        <v>4444</v>
      </c>
      <c r="L351" s="908">
        <v>1600</v>
      </c>
      <c r="M351" s="352" t="s">
        <v>30</v>
      </c>
    </row>
    <row r="352" spans="1:13" x14ac:dyDescent="0.35">
      <c r="A352">
        <v>351</v>
      </c>
      <c r="B352" s="155" t="s">
        <v>519</v>
      </c>
      <c r="C352" s="908">
        <v>5377</v>
      </c>
      <c r="D352" s="908">
        <v>645</v>
      </c>
      <c r="E352" s="908">
        <v>2255</v>
      </c>
      <c r="F352" s="908">
        <v>6432</v>
      </c>
      <c r="G352" s="908"/>
      <c r="H352" s="908"/>
      <c r="I352" s="908"/>
      <c r="J352" s="908">
        <v>653</v>
      </c>
      <c r="K352" s="908">
        <v>3497</v>
      </c>
      <c r="L352" s="908">
        <v>1227</v>
      </c>
      <c r="M352" s="352" t="s">
        <v>30</v>
      </c>
    </row>
    <row r="353" spans="1:13" x14ac:dyDescent="0.35">
      <c r="A353">
        <v>352</v>
      </c>
      <c r="B353" s="155" t="s">
        <v>511</v>
      </c>
      <c r="C353" s="908">
        <v>4171</v>
      </c>
      <c r="D353" s="908">
        <v>537</v>
      </c>
      <c r="E353" s="908">
        <v>1030</v>
      </c>
      <c r="F353" s="908">
        <v>14451</v>
      </c>
      <c r="G353" s="908"/>
      <c r="H353" s="908"/>
      <c r="I353" s="908"/>
      <c r="J353" s="908">
        <v>841</v>
      </c>
      <c r="K353" s="908">
        <v>1919</v>
      </c>
      <c r="L353" s="908">
        <v>1411</v>
      </c>
      <c r="M353" s="352" t="s">
        <v>30</v>
      </c>
    </row>
    <row r="354" spans="1:13" x14ac:dyDescent="0.35">
      <c r="A354">
        <v>353</v>
      </c>
      <c r="B354" s="155" t="s">
        <v>522</v>
      </c>
      <c r="C354" s="908">
        <v>4008</v>
      </c>
      <c r="D354" s="908">
        <v>774</v>
      </c>
      <c r="E354" s="908">
        <v>1079</v>
      </c>
      <c r="F354" s="908">
        <v>7496</v>
      </c>
      <c r="G354" s="908"/>
      <c r="H354" s="908"/>
      <c r="I354" s="908"/>
      <c r="J354" s="908">
        <v>674</v>
      </c>
      <c r="K354" s="908">
        <v>1395</v>
      </c>
      <c r="L354" s="908">
        <v>1939</v>
      </c>
      <c r="M354" s="352" t="s">
        <v>30</v>
      </c>
    </row>
    <row r="355" spans="1:13" x14ac:dyDescent="0.35">
      <c r="A355">
        <v>354</v>
      </c>
      <c r="B355" s="155" t="s">
        <v>510</v>
      </c>
      <c r="C355" s="908">
        <v>3328</v>
      </c>
      <c r="D355" s="908">
        <v>473</v>
      </c>
      <c r="E355" s="908">
        <v>919</v>
      </c>
      <c r="F355" s="908">
        <v>2903</v>
      </c>
      <c r="G355" s="908"/>
      <c r="H355" s="908"/>
      <c r="I355" s="908"/>
      <c r="J355" s="908">
        <v>319</v>
      </c>
      <c r="K355" s="908">
        <v>1944</v>
      </c>
      <c r="L355" s="908">
        <v>1065</v>
      </c>
      <c r="M355" s="352" t="s">
        <v>30</v>
      </c>
    </row>
    <row r="356" spans="1:13" x14ac:dyDescent="0.35">
      <c r="A356">
        <v>355</v>
      </c>
      <c r="B356" s="155" t="s">
        <v>523</v>
      </c>
      <c r="C356" s="908">
        <v>1741</v>
      </c>
      <c r="D356" s="908">
        <v>467</v>
      </c>
      <c r="E356" s="908">
        <v>434</v>
      </c>
      <c r="F356" s="908">
        <v>2324</v>
      </c>
      <c r="G356" s="908"/>
      <c r="H356" s="908"/>
      <c r="I356" s="908"/>
      <c r="J356" s="908">
        <v>121</v>
      </c>
      <c r="K356" s="908">
        <v>930</v>
      </c>
      <c r="L356" s="908">
        <v>690</v>
      </c>
      <c r="M356" s="352" t="s">
        <v>30</v>
      </c>
    </row>
    <row r="357" spans="1:13" x14ac:dyDescent="0.35">
      <c r="A357">
        <v>356</v>
      </c>
      <c r="B357" s="155" t="s">
        <v>512</v>
      </c>
      <c r="C357" s="908">
        <v>1542</v>
      </c>
      <c r="D357" s="908">
        <v>666</v>
      </c>
      <c r="E357" s="908">
        <v>601</v>
      </c>
      <c r="F357" s="908">
        <v>4550</v>
      </c>
      <c r="G357" s="908"/>
      <c r="H357" s="908"/>
      <c r="I357" s="908"/>
      <c r="J357" s="908">
        <v>187</v>
      </c>
      <c r="K357" s="908">
        <v>903</v>
      </c>
      <c r="L357" s="908">
        <v>452</v>
      </c>
      <c r="M357" s="352" t="s">
        <v>30</v>
      </c>
    </row>
    <row r="358" spans="1:13" x14ac:dyDescent="0.35">
      <c r="A358">
        <v>357</v>
      </c>
      <c r="B358" s="155" t="s">
        <v>525</v>
      </c>
      <c r="C358" s="908">
        <v>914</v>
      </c>
      <c r="D358" s="908">
        <v>986</v>
      </c>
      <c r="E358" s="908">
        <v>556</v>
      </c>
      <c r="F358" s="908">
        <v>1650</v>
      </c>
      <c r="G358" s="908"/>
      <c r="H358" s="908"/>
      <c r="I358" s="908"/>
      <c r="J358" s="908">
        <v>91</v>
      </c>
      <c r="K358" s="908">
        <v>564</v>
      </c>
      <c r="L358" s="908">
        <v>259</v>
      </c>
      <c r="M358" s="352" t="s">
        <v>30</v>
      </c>
    </row>
    <row r="359" spans="1:13" x14ac:dyDescent="0.35">
      <c r="A359">
        <v>358</v>
      </c>
      <c r="B359" s="155" t="s">
        <v>518</v>
      </c>
      <c r="C359" s="908">
        <v>642</v>
      </c>
      <c r="D359" s="908">
        <v>361</v>
      </c>
      <c r="E359" s="908">
        <v>122</v>
      </c>
      <c r="F359" s="908">
        <v>1359</v>
      </c>
      <c r="G359" s="908"/>
      <c r="H359" s="908"/>
      <c r="I359" s="908"/>
      <c r="J359" s="908">
        <v>97</v>
      </c>
      <c r="K359" s="908">
        <v>339</v>
      </c>
      <c r="L359" s="908">
        <v>206</v>
      </c>
      <c r="M359" s="352" t="s">
        <v>30</v>
      </c>
    </row>
    <row r="360" spans="1:13" x14ac:dyDescent="0.35">
      <c r="A360">
        <v>359</v>
      </c>
      <c r="B360" s="155" t="s">
        <v>524</v>
      </c>
      <c r="C360" s="908">
        <v>308</v>
      </c>
      <c r="D360" s="908">
        <v>353</v>
      </c>
      <c r="E360" s="908">
        <v>41</v>
      </c>
      <c r="F360" s="908">
        <v>711</v>
      </c>
      <c r="G360" s="908"/>
      <c r="H360" s="908"/>
      <c r="I360" s="908"/>
      <c r="J360" s="908">
        <v>119</v>
      </c>
      <c r="K360" s="908">
        <v>115</v>
      </c>
      <c r="L360" s="908">
        <v>74</v>
      </c>
      <c r="M360" s="352" t="s">
        <v>30</v>
      </c>
    </row>
    <row r="361" spans="1:13" x14ac:dyDescent="0.35">
      <c r="A361">
        <v>360</v>
      </c>
      <c r="B361" s="155" t="s">
        <v>520</v>
      </c>
      <c r="C361" s="908">
        <v>103</v>
      </c>
      <c r="D361" s="908">
        <v>400</v>
      </c>
      <c r="E361" s="908">
        <v>25</v>
      </c>
      <c r="F361" s="908">
        <v>281</v>
      </c>
      <c r="G361" s="908"/>
      <c r="H361" s="908"/>
      <c r="I361" s="908"/>
      <c r="J361" s="908"/>
      <c r="K361" s="908">
        <v>63</v>
      </c>
      <c r="L361" s="908">
        <v>40</v>
      </c>
      <c r="M361" s="352" t="s">
        <v>30</v>
      </c>
    </row>
    <row r="362" spans="1:13" x14ac:dyDescent="0.35">
      <c r="A362">
        <v>361</v>
      </c>
      <c r="B362" s="155" t="s">
        <v>521</v>
      </c>
      <c r="C362" s="908">
        <v>45</v>
      </c>
      <c r="D362" s="908">
        <v>650</v>
      </c>
      <c r="E362" s="908">
        <v>19</v>
      </c>
      <c r="F362" s="908">
        <v>181</v>
      </c>
      <c r="G362" s="908"/>
      <c r="H362" s="908"/>
      <c r="I362" s="908"/>
      <c r="J362" s="908">
        <v>4</v>
      </c>
      <c r="K362" s="908">
        <v>30</v>
      </c>
      <c r="L362" s="908">
        <v>11</v>
      </c>
      <c r="M362" s="352" t="s">
        <v>30</v>
      </c>
    </row>
    <row r="363" spans="1:13" x14ac:dyDescent="0.35">
      <c r="A363">
        <v>362</v>
      </c>
      <c r="B363" s="134" t="s">
        <v>529</v>
      </c>
      <c r="C363" s="910">
        <v>48929</v>
      </c>
      <c r="D363" s="910">
        <v>892</v>
      </c>
      <c r="E363" s="910">
        <v>24371</v>
      </c>
      <c r="F363" s="910">
        <v>46553</v>
      </c>
      <c r="G363" s="910"/>
      <c r="H363" s="910"/>
      <c r="I363" s="910"/>
      <c r="J363" s="910">
        <v>6677</v>
      </c>
      <c r="K363" s="910">
        <v>27336</v>
      </c>
      <c r="L363" s="910">
        <v>14916</v>
      </c>
      <c r="M363" s="352" t="s">
        <v>31</v>
      </c>
    </row>
    <row r="364" spans="1:13" x14ac:dyDescent="0.35">
      <c r="A364">
        <v>363</v>
      </c>
      <c r="B364" s="134" t="s">
        <v>532</v>
      </c>
      <c r="C364" s="910">
        <v>43099</v>
      </c>
      <c r="D364" s="910">
        <v>758</v>
      </c>
      <c r="E364" s="910">
        <v>15310</v>
      </c>
      <c r="F364" s="910">
        <v>33190</v>
      </c>
      <c r="G364" s="910"/>
      <c r="H364" s="910"/>
      <c r="I364" s="910"/>
      <c r="J364" s="910">
        <v>5206</v>
      </c>
      <c r="K364" s="910">
        <v>20197</v>
      </c>
      <c r="L364" s="910">
        <v>17696</v>
      </c>
      <c r="M364" s="352" t="s">
        <v>31</v>
      </c>
    </row>
    <row r="365" spans="1:13" x14ac:dyDescent="0.35">
      <c r="A365">
        <v>364</v>
      </c>
      <c r="B365" s="134" t="s">
        <v>530</v>
      </c>
      <c r="C365" s="910">
        <v>15499</v>
      </c>
      <c r="D365" s="910">
        <v>703</v>
      </c>
      <c r="E365" s="910">
        <v>5968</v>
      </c>
      <c r="F365" s="910">
        <v>15450</v>
      </c>
      <c r="G365" s="910"/>
      <c r="H365" s="910"/>
      <c r="I365" s="910"/>
      <c r="J365" s="910">
        <v>17612</v>
      </c>
      <c r="K365" s="910">
        <v>8496</v>
      </c>
      <c r="L365" s="910">
        <v>5241</v>
      </c>
      <c r="M365" s="352" t="s">
        <v>31</v>
      </c>
    </row>
    <row r="366" spans="1:13" x14ac:dyDescent="0.35">
      <c r="A366">
        <v>365</v>
      </c>
      <c r="B366" s="134" t="s">
        <v>533</v>
      </c>
      <c r="C366" s="910">
        <v>15232</v>
      </c>
      <c r="D366" s="910">
        <v>708</v>
      </c>
      <c r="E366" s="910">
        <v>5339</v>
      </c>
      <c r="F366" s="910">
        <v>17475</v>
      </c>
      <c r="G366" s="910"/>
      <c r="H366" s="910"/>
      <c r="I366" s="910"/>
      <c r="J366" s="910">
        <v>7548</v>
      </c>
      <c r="K366" s="910">
        <v>7544</v>
      </c>
      <c r="L366" s="910">
        <v>5140</v>
      </c>
      <c r="M366" s="352" t="s">
        <v>31</v>
      </c>
    </row>
    <row r="367" spans="1:13" x14ac:dyDescent="0.35">
      <c r="A367">
        <v>366</v>
      </c>
      <c r="B367" s="134" t="s">
        <v>531</v>
      </c>
      <c r="C367" s="910">
        <v>13169</v>
      </c>
      <c r="D367" s="910">
        <v>906</v>
      </c>
      <c r="E367" s="910">
        <v>5499</v>
      </c>
      <c r="F367" s="910">
        <v>11634</v>
      </c>
      <c r="G367" s="910"/>
      <c r="H367" s="910"/>
      <c r="I367" s="910"/>
      <c r="J367" s="910">
        <v>2288</v>
      </c>
      <c r="K367" s="910">
        <v>6069</v>
      </c>
      <c r="L367" s="910">
        <v>4812</v>
      </c>
      <c r="M367" s="352" t="s">
        <v>31</v>
      </c>
    </row>
    <row r="368" spans="1:13" x14ac:dyDescent="0.35">
      <c r="A368">
        <v>367</v>
      </c>
      <c r="B368" s="134" t="s">
        <v>534</v>
      </c>
      <c r="C368" s="910">
        <v>12802</v>
      </c>
      <c r="D368" s="910">
        <v>801</v>
      </c>
      <c r="E368" s="910">
        <v>4603</v>
      </c>
      <c r="F368" s="910">
        <v>12151</v>
      </c>
      <c r="G368" s="910"/>
      <c r="H368" s="910"/>
      <c r="I368" s="910"/>
      <c r="J368" s="910">
        <v>985</v>
      </c>
      <c r="K368" s="910">
        <v>5744</v>
      </c>
      <c r="L368" s="910">
        <v>6073</v>
      </c>
      <c r="M368" s="352" t="s">
        <v>31</v>
      </c>
    </row>
    <row r="369" spans="1:13" x14ac:dyDescent="0.35">
      <c r="A369">
        <v>368</v>
      </c>
      <c r="B369" s="905" t="s">
        <v>544</v>
      </c>
      <c r="C369" s="906">
        <v>79501</v>
      </c>
      <c r="D369" s="906">
        <v>747</v>
      </c>
      <c r="E369" s="906">
        <v>38140</v>
      </c>
      <c r="F369" s="906">
        <v>26332</v>
      </c>
      <c r="G369" s="906"/>
      <c r="H369" s="906"/>
      <c r="I369" s="906"/>
      <c r="J369" s="906">
        <v>1351</v>
      </c>
      <c r="K369" s="906">
        <v>51026</v>
      </c>
      <c r="L369" s="906">
        <v>27124</v>
      </c>
      <c r="M369" s="352" t="s">
        <v>32</v>
      </c>
    </row>
    <row r="370" spans="1:13" x14ac:dyDescent="0.35">
      <c r="A370">
        <v>369</v>
      </c>
      <c r="B370" s="905" t="s">
        <v>547</v>
      </c>
      <c r="C370" s="906">
        <v>71664</v>
      </c>
      <c r="D370" s="906">
        <v>695</v>
      </c>
      <c r="E370" s="906">
        <v>24262</v>
      </c>
      <c r="F370" s="906">
        <v>28591</v>
      </c>
      <c r="G370" s="906"/>
      <c r="H370" s="906"/>
      <c r="I370" s="906"/>
      <c r="J370" s="906">
        <v>12508</v>
      </c>
      <c r="K370" s="906">
        <v>34914</v>
      </c>
      <c r="L370" s="906">
        <v>24242</v>
      </c>
      <c r="M370" s="352" t="s">
        <v>32</v>
      </c>
    </row>
    <row r="371" spans="1:13" x14ac:dyDescent="0.35">
      <c r="A371">
        <v>370</v>
      </c>
      <c r="B371" s="905" t="s">
        <v>536</v>
      </c>
      <c r="C371" s="906">
        <v>29570</v>
      </c>
      <c r="D371" s="906">
        <v>649</v>
      </c>
      <c r="E371" s="906">
        <v>7431</v>
      </c>
      <c r="F371" s="906">
        <v>21074</v>
      </c>
      <c r="G371" s="906"/>
      <c r="H371" s="906"/>
      <c r="I371" s="906"/>
      <c r="J371" s="906">
        <v>4956</v>
      </c>
      <c r="K371" s="906">
        <v>11454</v>
      </c>
      <c r="L371" s="906">
        <v>13161</v>
      </c>
      <c r="M371" s="352" t="s">
        <v>32</v>
      </c>
    </row>
    <row r="372" spans="1:13" x14ac:dyDescent="0.35">
      <c r="A372">
        <v>371</v>
      </c>
      <c r="B372" s="905" t="s">
        <v>541</v>
      </c>
      <c r="C372" s="906">
        <v>20316</v>
      </c>
      <c r="D372" s="906">
        <v>591</v>
      </c>
      <c r="E372" s="906">
        <v>6698</v>
      </c>
      <c r="F372" s="906">
        <v>24098</v>
      </c>
      <c r="G372" s="906"/>
      <c r="H372" s="906"/>
      <c r="I372" s="906"/>
      <c r="J372" s="906">
        <v>4827</v>
      </c>
      <c r="K372" s="906">
        <v>11327</v>
      </c>
      <c r="L372" s="906">
        <v>4162</v>
      </c>
      <c r="M372" s="352" t="s">
        <v>32</v>
      </c>
    </row>
    <row r="373" spans="1:13" x14ac:dyDescent="0.35">
      <c r="A373">
        <v>372</v>
      </c>
      <c r="B373" s="905" t="s">
        <v>535</v>
      </c>
      <c r="C373" s="906">
        <v>15970</v>
      </c>
      <c r="D373" s="906">
        <v>936</v>
      </c>
      <c r="E373" s="906">
        <v>4813</v>
      </c>
      <c r="F373" s="906">
        <v>17878</v>
      </c>
      <c r="G373" s="906"/>
      <c r="H373" s="906"/>
      <c r="I373" s="906"/>
      <c r="J373" s="906">
        <v>3459</v>
      </c>
      <c r="K373" s="906">
        <v>8351</v>
      </c>
      <c r="L373" s="906">
        <v>4160</v>
      </c>
      <c r="M373" s="352" t="s">
        <v>32</v>
      </c>
    </row>
    <row r="374" spans="1:13" x14ac:dyDescent="0.35">
      <c r="A374">
        <v>373</v>
      </c>
      <c r="B374" s="905" t="s">
        <v>542</v>
      </c>
      <c r="C374" s="906">
        <v>10291</v>
      </c>
      <c r="D374" s="906">
        <v>726</v>
      </c>
      <c r="E374" s="906">
        <v>3392</v>
      </c>
      <c r="F374" s="906">
        <v>5541</v>
      </c>
      <c r="G374" s="906"/>
      <c r="H374" s="906"/>
      <c r="I374" s="906"/>
      <c r="J374" s="906">
        <v>3611</v>
      </c>
      <c r="K374" s="906">
        <v>4675</v>
      </c>
      <c r="L374" s="906">
        <v>2005</v>
      </c>
      <c r="M374" s="352" t="s">
        <v>32</v>
      </c>
    </row>
    <row r="375" spans="1:13" x14ac:dyDescent="0.35">
      <c r="A375">
        <v>374</v>
      </c>
      <c r="B375" s="905" t="s">
        <v>537</v>
      </c>
      <c r="C375" s="906">
        <v>9587</v>
      </c>
      <c r="D375" s="906">
        <v>1303</v>
      </c>
      <c r="E375" s="906">
        <v>5659</v>
      </c>
      <c r="F375" s="906">
        <v>14132</v>
      </c>
      <c r="G375" s="906"/>
      <c r="H375" s="906"/>
      <c r="I375" s="906"/>
      <c r="J375" s="906">
        <v>3024</v>
      </c>
      <c r="K375" s="906">
        <v>4344</v>
      </c>
      <c r="L375" s="906">
        <v>2220</v>
      </c>
      <c r="M375" s="352" t="s">
        <v>32</v>
      </c>
    </row>
    <row r="376" spans="1:13" x14ac:dyDescent="0.35">
      <c r="A376">
        <v>375</v>
      </c>
      <c r="B376" s="905" t="s">
        <v>626</v>
      </c>
      <c r="C376" s="906">
        <v>5946</v>
      </c>
      <c r="D376" s="906">
        <v>1236</v>
      </c>
      <c r="E376" s="906">
        <v>4302</v>
      </c>
      <c r="F376" s="906">
        <v>8764</v>
      </c>
      <c r="G376" s="906"/>
      <c r="H376" s="906"/>
      <c r="I376" s="906"/>
      <c r="J376" s="906">
        <v>786</v>
      </c>
      <c r="K376" s="906">
        <v>3480</v>
      </c>
      <c r="L376" s="906">
        <v>1680</v>
      </c>
      <c r="M376" s="352" t="s">
        <v>32</v>
      </c>
    </row>
    <row r="377" spans="1:13" x14ac:dyDescent="0.35">
      <c r="A377">
        <v>376</v>
      </c>
      <c r="B377" s="905" t="s">
        <v>545</v>
      </c>
      <c r="C377" s="906">
        <v>3992</v>
      </c>
      <c r="D377" s="906">
        <v>229</v>
      </c>
      <c r="E377" s="906">
        <v>441</v>
      </c>
      <c r="F377" s="906">
        <v>4518</v>
      </c>
      <c r="G377" s="906"/>
      <c r="H377" s="906"/>
      <c r="I377" s="906"/>
      <c r="J377" s="906">
        <v>1094</v>
      </c>
      <c r="K377" s="906">
        <v>1929</v>
      </c>
      <c r="L377" s="906">
        <v>969</v>
      </c>
      <c r="M377" s="352" t="s">
        <v>32</v>
      </c>
    </row>
    <row r="378" spans="1:13" x14ac:dyDescent="0.35">
      <c r="A378">
        <v>377</v>
      </c>
      <c r="B378" s="905" t="s">
        <v>548</v>
      </c>
      <c r="C378" s="906">
        <v>3510</v>
      </c>
      <c r="D378" s="906">
        <v>884</v>
      </c>
      <c r="E378" s="906">
        <v>2020</v>
      </c>
      <c r="F378" s="906">
        <v>3532</v>
      </c>
      <c r="G378" s="906"/>
      <c r="H378" s="906"/>
      <c r="I378" s="906"/>
      <c r="J378" s="906">
        <v>204</v>
      </c>
      <c r="K378" s="906">
        <v>2285</v>
      </c>
      <c r="L378" s="906">
        <v>1020</v>
      </c>
      <c r="M378" s="352" t="s">
        <v>32</v>
      </c>
    </row>
    <row r="379" spans="1:13" x14ac:dyDescent="0.35">
      <c r="A379">
        <v>378</v>
      </c>
      <c r="B379" s="905" t="s">
        <v>546</v>
      </c>
      <c r="C379" s="906">
        <v>3109</v>
      </c>
      <c r="D379" s="906">
        <v>122</v>
      </c>
      <c r="E379" s="906">
        <v>111</v>
      </c>
      <c r="F379" s="906">
        <v>4263</v>
      </c>
      <c r="G379" s="906"/>
      <c r="H379" s="906"/>
      <c r="I379" s="906"/>
      <c r="J379" s="906">
        <v>124</v>
      </c>
      <c r="K379" s="906">
        <v>914</v>
      </c>
      <c r="L379" s="906">
        <v>2071</v>
      </c>
      <c r="M379" s="352" t="s">
        <v>32</v>
      </c>
    </row>
    <row r="380" spans="1:13" x14ac:dyDescent="0.35">
      <c r="A380">
        <v>379</v>
      </c>
      <c r="B380" s="905" t="s">
        <v>538</v>
      </c>
      <c r="C380" s="906">
        <v>3094</v>
      </c>
      <c r="D380" s="906">
        <v>302</v>
      </c>
      <c r="E380" s="906">
        <v>440</v>
      </c>
      <c r="F380" s="906">
        <v>5021</v>
      </c>
      <c r="G380" s="906"/>
      <c r="H380" s="906"/>
      <c r="I380" s="906"/>
      <c r="J380" s="906">
        <v>780</v>
      </c>
      <c r="K380" s="906">
        <v>1456</v>
      </c>
      <c r="L380" s="906">
        <v>858</v>
      </c>
      <c r="M380" s="352" t="s">
        <v>32</v>
      </c>
    </row>
    <row r="381" spans="1:13" x14ac:dyDescent="0.35">
      <c r="A381">
        <v>380</v>
      </c>
      <c r="B381" s="905" t="s">
        <v>539</v>
      </c>
      <c r="C381" s="906">
        <v>711</v>
      </c>
      <c r="D381" s="906">
        <v>707</v>
      </c>
      <c r="E381" s="906">
        <v>227</v>
      </c>
      <c r="F381" s="906">
        <v>1224</v>
      </c>
      <c r="G381" s="906"/>
      <c r="H381" s="906"/>
      <c r="I381" s="906"/>
      <c r="J381" s="906">
        <v>153</v>
      </c>
      <c r="K381" s="906">
        <v>321</v>
      </c>
      <c r="L381" s="906">
        <v>237</v>
      </c>
      <c r="M381" s="352" t="s">
        <v>32</v>
      </c>
    </row>
    <row r="382" spans="1:13" x14ac:dyDescent="0.35">
      <c r="A382">
        <v>381</v>
      </c>
      <c r="B382" s="905" t="s">
        <v>540</v>
      </c>
      <c r="C382" s="906">
        <v>161</v>
      </c>
      <c r="D382" s="906">
        <v>447</v>
      </c>
      <c r="E382" s="906">
        <v>32</v>
      </c>
      <c r="F382" s="906">
        <v>282</v>
      </c>
      <c r="G382" s="906"/>
      <c r="H382" s="906"/>
      <c r="I382" s="906"/>
      <c r="J382" s="906">
        <v>14</v>
      </c>
      <c r="K382" s="906">
        <v>72</v>
      </c>
      <c r="L382" s="906">
        <v>75</v>
      </c>
      <c r="M382" s="352" t="s">
        <v>32</v>
      </c>
    </row>
    <row r="383" spans="1:13" x14ac:dyDescent="0.35">
      <c r="A383">
        <v>382</v>
      </c>
      <c r="B383" s="905" t="s">
        <v>628</v>
      </c>
      <c r="C383" s="906">
        <v>64</v>
      </c>
      <c r="D383" s="906">
        <v>918</v>
      </c>
      <c r="E383" s="906">
        <v>16</v>
      </c>
      <c r="F383" s="906">
        <v>57</v>
      </c>
      <c r="G383" s="906"/>
      <c r="H383" s="906"/>
      <c r="I383" s="906"/>
      <c r="J383" s="906">
        <v>23</v>
      </c>
      <c r="K383" s="906">
        <v>17</v>
      </c>
      <c r="L383" s="906">
        <v>24</v>
      </c>
      <c r="M383" s="352" t="s">
        <v>32</v>
      </c>
    </row>
    <row r="384" spans="1:13" x14ac:dyDescent="0.35">
      <c r="A384">
        <v>383</v>
      </c>
      <c r="B384" s="905" t="s">
        <v>627</v>
      </c>
      <c r="C384" s="906">
        <v>51</v>
      </c>
      <c r="D384" s="906">
        <v>1424</v>
      </c>
      <c r="E384" s="906">
        <v>28</v>
      </c>
      <c r="F384" s="906">
        <v>46</v>
      </c>
      <c r="G384" s="906"/>
      <c r="H384" s="906"/>
      <c r="I384" s="906"/>
      <c r="J384" s="906">
        <v>2</v>
      </c>
      <c r="K384" s="906">
        <v>20</v>
      </c>
      <c r="L384" s="906">
        <v>30</v>
      </c>
      <c r="M384" s="352" t="s">
        <v>32</v>
      </c>
    </row>
    <row r="385" spans="1:13" x14ac:dyDescent="0.35">
      <c r="A385">
        <v>384</v>
      </c>
      <c r="B385" s="905" t="s">
        <v>543</v>
      </c>
      <c r="C385" s="906">
        <v>46</v>
      </c>
      <c r="D385" s="906">
        <v>605</v>
      </c>
      <c r="E385" s="906">
        <v>17</v>
      </c>
      <c r="F385" s="906">
        <v>231</v>
      </c>
      <c r="G385" s="906"/>
      <c r="H385" s="906"/>
      <c r="I385" s="906"/>
      <c r="J385" s="906">
        <v>1</v>
      </c>
      <c r="K385" s="906">
        <v>28</v>
      </c>
      <c r="L385" s="906">
        <v>17</v>
      </c>
      <c r="M385" s="352" t="s">
        <v>32</v>
      </c>
    </row>
    <row r="386" spans="1:13" x14ac:dyDescent="0.35">
      <c r="A386">
        <v>385</v>
      </c>
      <c r="B386" s="134" t="s">
        <v>554</v>
      </c>
      <c r="C386" s="910">
        <f>9608+2053+1190</f>
        <v>12851</v>
      </c>
      <c r="D386" s="910">
        <f>526+516+246</f>
        <v>1288</v>
      </c>
      <c r="E386" s="910">
        <f>2323+1060+150</f>
        <v>3533</v>
      </c>
      <c r="F386" s="910">
        <f>12741+2400+952</f>
        <v>16093</v>
      </c>
      <c r="G386" s="910"/>
      <c r="H386" s="910"/>
      <c r="I386" s="910"/>
      <c r="J386" s="910">
        <v>1339</v>
      </c>
      <c r="K386" s="910">
        <f>4418+2053+610</f>
        <v>7081</v>
      </c>
      <c r="L386" s="910">
        <f>3850+580</f>
        <v>4430</v>
      </c>
      <c r="M386" s="352" t="s">
        <v>33</v>
      </c>
    </row>
    <row r="387" spans="1:13" x14ac:dyDescent="0.35">
      <c r="A387">
        <v>386</v>
      </c>
      <c r="B387" s="134" t="s">
        <v>557</v>
      </c>
      <c r="C387" s="910">
        <v>5234</v>
      </c>
      <c r="D387" s="910">
        <v>396</v>
      </c>
      <c r="E387" s="910">
        <v>697</v>
      </c>
      <c r="F387" s="910">
        <v>3915</v>
      </c>
      <c r="G387" s="910"/>
      <c r="H387" s="910"/>
      <c r="I387" s="910"/>
      <c r="J387" s="910">
        <v>2642</v>
      </c>
      <c r="K387" s="910">
        <v>1759</v>
      </c>
      <c r="L387" s="910">
        <v>833</v>
      </c>
      <c r="M387" s="352" t="s">
        <v>33</v>
      </c>
    </row>
    <row r="388" spans="1:13" x14ac:dyDescent="0.35">
      <c r="A388">
        <v>387</v>
      </c>
      <c r="B388" s="134" t="s">
        <v>556</v>
      </c>
      <c r="C388" s="910">
        <v>4687</v>
      </c>
      <c r="D388" s="910">
        <v>914</v>
      </c>
      <c r="E388" s="910">
        <v>2451</v>
      </c>
      <c r="F388" s="910">
        <v>8367</v>
      </c>
      <c r="G388" s="910"/>
      <c r="H388" s="910"/>
      <c r="I388" s="910"/>
      <c r="J388" s="910">
        <v>908</v>
      </c>
      <c r="K388" s="910">
        <v>2682</v>
      </c>
      <c r="L388" s="910">
        <v>1097</v>
      </c>
      <c r="M388" s="352" t="s">
        <v>33</v>
      </c>
    </row>
    <row r="389" spans="1:13" x14ac:dyDescent="0.35">
      <c r="A389">
        <v>388</v>
      </c>
      <c r="B389" s="134" t="s">
        <v>558</v>
      </c>
      <c r="C389" s="910">
        <f>4066+13</f>
        <v>4079</v>
      </c>
      <c r="D389" s="910">
        <f>901+304</f>
        <v>1205</v>
      </c>
      <c r="E389" s="910">
        <f>1850+4</f>
        <v>1854</v>
      </c>
      <c r="F389" s="910">
        <f>2772+10</f>
        <v>2782</v>
      </c>
      <c r="G389" s="910"/>
      <c r="H389" s="910"/>
      <c r="I389" s="910"/>
      <c r="J389" s="910">
        <v>684</v>
      </c>
      <c r="K389" s="910">
        <f>2054+13</f>
        <v>2067</v>
      </c>
      <c r="L389" s="910">
        <v>1327</v>
      </c>
      <c r="M389" s="352" t="s">
        <v>33</v>
      </c>
    </row>
    <row r="390" spans="1:13" x14ac:dyDescent="0.35">
      <c r="A390">
        <v>389</v>
      </c>
      <c r="B390" s="134" t="s">
        <v>555</v>
      </c>
      <c r="C390" s="910">
        <v>1055</v>
      </c>
      <c r="D390" s="910">
        <v>487</v>
      </c>
      <c r="E390" s="910">
        <v>258</v>
      </c>
      <c r="F390" s="910">
        <v>4583</v>
      </c>
      <c r="G390" s="910"/>
      <c r="H390" s="910"/>
      <c r="I390" s="910"/>
      <c r="J390" s="910">
        <v>170</v>
      </c>
      <c r="K390" s="910">
        <v>529</v>
      </c>
      <c r="L390" s="910">
        <v>355</v>
      </c>
      <c r="M390" s="352" t="s">
        <v>33</v>
      </c>
    </row>
    <row r="391" spans="1:13" x14ac:dyDescent="0.35">
      <c r="A391">
        <v>390</v>
      </c>
      <c r="B391" s="134" t="s">
        <v>559</v>
      </c>
      <c r="C391" s="910">
        <v>209</v>
      </c>
      <c r="D391" s="910">
        <v>636</v>
      </c>
      <c r="E391" s="910">
        <v>45</v>
      </c>
      <c r="F391" s="910">
        <v>701</v>
      </c>
      <c r="G391" s="910"/>
      <c r="H391" s="910"/>
      <c r="I391" s="910"/>
      <c r="J391" s="910">
        <v>38</v>
      </c>
      <c r="K391" s="910">
        <v>70</v>
      </c>
      <c r="L391" s="910">
        <v>101</v>
      </c>
      <c r="M391" s="352" t="s">
        <v>33</v>
      </c>
    </row>
    <row r="392" spans="1:13" x14ac:dyDescent="0.35">
      <c r="A392">
        <v>391</v>
      </c>
      <c r="B392" s="134" t="s">
        <v>550</v>
      </c>
      <c r="C392" s="910">
        <v>71</v>
      </c>
      <c r="D392" s="910">
        <v>497</v>
      </c>
      <c r="E392" s="910">
        <v>10</v>
      </c>
      <c r="F392" s="910">
        <v>109</v>
      </c>
      <c r="G392" s="910"/>
      <c r="H392" s="910"/>
      <c r="I392" s="910"/>
      <c r="J392" s="910">
        <v>33</v>
      </c>
      <c r="K392" s="910">
        <v>19</v>
      </c>
      <c r="L392" s="910">
        <v>19</v>
      </c>
      <c r="M392" s="352" t="s">
        <v>33</v>
      </c>
    </row>
    <row r="393" spans="1:13" x14ac:dyDescent="0.35">
      <c r="A393">
        <v>392</v>
      </c>
      <c r="B393" s="134" t="s">
        <v>549</v>
      </c>
      <c r="C393" s="910">
        <v>38</v>
      </c>
      <c r="D393" s="910">
        <v>326</v>
      </c>
      <c r="E393" s="910">
        <v>5</v>
      </c>
      <c r="F393" s="910">
        <v>115</v>
      </c>
      <c r="G393" s="910"/>
      <c r="H393" s="910"/>
      <c r="I393" s="910"/>
      <c r="J393" s="910">
        <v>13</v>
      </c>
      <c r="K393" s="910">
        <v>14</v>
      </c>
      <c r="L393" s="910">
        <v>11</v>
      </c>
      <c r="M393" s="352" t="s">
        <v>33</v>
      </c>
    </row>
    <row r="394" spans="1:13" x14ac:dyDescent="0.35">
      <c r="A394">
        <v>393</v>
      </c>
      <c r="B394" s="134" t="s">
        <v>551</v>
      </c>
      <c r="C394" s="910">
        <v>3</v>
      </c>
      <c r="D394" s="910">
        <v>657</v>
      </c>
      <c r="E394" s="910">
        <v>1</v>
      </c>
      <c r="F394" s="910">
        <v>27</v>
      </c>
      <c r="G394" s="910"/>
      <c r="H394" s="910"/>
      <c r="I394" s="910"/>
      <c r="J394" s="910">
        <v>1</v>
      </c>
      <c r="K394" s="910">
        <v>1</v>
      </c>
      <c r="L394" s="910">
        <v>1</v>
      </c>
      <c r="M394" s="352" t="s">
        <v>33</v>
      </c>
    </row>
    <row r="395" spans="1:13" x14ac:dyDescent="0.35">
      <c r="A395">
        <v>394</v>
      </c>
      <c r="B395" s="134" t="s">
        <v>553</v>
      </c>
      <c r="C395" s="910">
        <v>1</v>
      </c>
      <c r="D395" s="910">
        <v>615</v>
      </c>
      <c r="E395" s="910"/>
      <c r="F395" s="910">
        <v>10</v>
      </c>
      <c r="G395" s="910"/>
      <c r="H395" s="910"/>
      <c r="I395" s="910"/>
      <c r="J395" s="910"/>
      <c r="K395" s="910"/>
      <c r="L395" s="910"/>
      <c r="M395" s="352" t="s">
        <v>33</v>
      </c>
    </row>
    <row r="396" spans="1:13" x14ac:dyDescent="0.35">
      <c r="A396">
        <v>395</v>
      </c>
      <c r="B396" s="134" t="s">
        <v>552</v>
      </c>
      <c r="C396" s="910"/>
      <c r="D396" s="910"/>
      <c r="E396" s="910"/>
      <c r="F396" s="910"/>
      <c r="G396" s="910"/>
      <c r="H396" s="910"/>
      <c r="I396" s="910"/>
      <c r="J396" s="910"/>
      <c r="K396" s="910"/>
      <c r="L396" s="910"/>
      <c r="M396" s="352" t="s">
        <v>33</v>
      </c>
    </row>
    <row r="397" spans="1:13" x14ac:dyDescent="0.35">
      <c r="A397">
        <v>396</v>
      </c>
      <c r="B397" s="170" t="s">
        <v>566</v>
      </c>
      <c r="C397" s="579">
        <v>6783</v>
      </c>
      <c r="D397" s="579">
        <v>777</v>
      </c>
      <c r="E397" s="579">
        <v>2638</v>
      </c>
      <c r="F397" s="579">
        <v>3288</v>
      </c>
      <c r="G397" s="579"/>
      <c r="H397" s="579"/>
      <c r="I397" s="579"/>
      <c r="J397" s="579">
        <v>1753</v>
      </c>
      <c r="K397" s="579">
        <v>3393</v>
      </c>
      <c r="L397" s="579">
        <v>1637</v>
      </c>
      <c r="M397" s="352" t="s">
        <v>34</v>
      </c>
    </row>
    <row r="398" spans="1:13" x14ac:dyDescent="0.35">
      <c r="A398">
        <v>397</v>
      </c>
      <c r="B398" s="170" t="s">
        <v>569</v>
      </c>
      <c r="C398" s="579">
        <v>5907</v>
      </c>
      <c r="D398" s="579">
        <v>801</v>
      </c>
      <c r="E398" s="579">
        <v>2120</v>
      </c>
      <c r="F398" s="579">
        <v>2287</v>
      </c>
      <c r="G398" s="579"/>
      <c r="H398" s="579"/>
      <c r="I398" s="579"/>
      <c r="J398" s="579">
        <v>2003</v>
      </c>
      <c r="K398" s="579">
        <v>2646</v>
      </c>
      <c r="L398" s="579">
        <v>1258</v>
      </c>
      <c r="M398" s="352" t="s">
        <v>34</v>
      </c>
    </row>
    <row r="399" spans="1:13" x14ac:dyDescent="0.35">
      <c r="A399">
        <v>398</v>
      </c>
      <c r="B399" s="170" t="s">
        <v>560</v>
      </c>
      <c r="C399" s="579">
        <v>5895</v>
      </c>
      <c r="D399" s="579">
        <v>424</v>
      </c>
      <c r="E399" s="579">
        <v>796</v>
      </c>
      <c r="F399" s="579">
        <v>5930</v>
      </c>
      <c r="G399" s="579"/>
      <c r="H399" s="579"/>
      <c r="I399" s="579"/>
      <c r="J399" s="579">
        <v>1725</v>
      </c>
      <c r="K399" s="579">
        <v>1877</v>
      </c>
      <c r="L399" s="579">
        <v>2293</v>
      </c>
      <c r="M399" s="352" t="s">
        <v>34</v>
      </c>
    </row>
    <row r="400" spans="1:13" x14ac:dyDescent="0.35">
      <c r="A400">
        <v>399</v>
      </c>
      <c r="B400" s="170" t="s">
        <v>564</v>
      </c>
      <c r="C400" s="579">
        <v>4360</v>
      </c>
      <c r="D400" s="579">
        <v>710</v>
      </c>
      <c r="E400" s="579">
        <v>1368</v>
      </c>
      <c r="F400" s="579">
        <v>2889</v>
      </c>
      <c r="G400" s="579"/>
      <c r="H400" s="579"/>
      <c r="I400" s="579"/>
      <c r="J400" s="579">
        <v>1524</v>
      </c>
      <c r="K400" s="579">
        <v>1926</v>
      </c>
      <c r="L400" s="579">
        <v>910</v>
      </c>
      <c r="M400" s="352" t="s">
        <v>34</v>
      </c>
    </row>
    <row r="401" spans="1:13" x14ac:dyDescent="0.35">
      <c r="A401">
        <v>400</v>
      </c>
      <c r="B401" s="170" t="s">
        <v>562</v>
      </c>
      <c r="C401" s="579">
        <v>4120</v>
      </c>
      <c r="D401" s="579">
        <v>945</v>
      </c>
      <c r="E401" s="579">
        <v>1465</v>
      </c>
      <c r="F401" s="579">
        <v>3458</v>
      </c>
      <c r="G401" s="579"/>
      <c r="H401" s="579"/>
      <c r="I401" s="579"/>
      <c r="J401" s="579">
        <v>1851</v>
      </c>
      <c r="K401" s="579">
        <v>1550</v>
      </c>
      <c r="L401" s="579">
        <v>719</v>
      </c>
      <c r="M401" s="352" t="s">
        <v>34</v>
      </c>
    </row>
    <row r="402" spans="1:13" x14ac:dyDescent="0.35">
      <c r="A402">
        <v>401</v>
      </c>
      <c r="B402" s="170" t="s">
        <v>565</v>
      </c>
      <c r="C402" s="579">
        <v>3423</v>
      </c>
      <c r="D402" s="579">
        <v>189</v>
      </c>
      <c r="E402" s="579">
        <v>301</v>
      </c>
      <c r="F402" s="579">
        <v>2695</v>
      </c>
      <c r="G402" s="579"/>
      <c r="H402" s="579"/>
      <c r="I402" s="579"/>
      <c r="J402" s="579">
        <v>917</v>
      </c>
      <c r="K402" s="579">
        <v>1593</v>
      </c>
      <c r="L402" s="579">
        <v>913</v>
      </c>
      <c r="M402" s="352" t="s">
        <v>34</v>
      </c>
    </row>
    <row r="403" spans="1:13" x14ac:dyDescent="0.35">
      <c r="A403">
        <v>402</v>
      </c>
      <c r="B403" s="170" t="s">
        <v>561</v>
      </c>
      <c r="C403" s="579">
        <v>1298</v>
      </c>
      <c r="D403" s="579">
        <v>152</v>
      </c>
      <c r="E403" s="579">
        <v>22</v>
      </c>
      <c r="F403" s="579">
        <v>2617</v>
      </c>
      <c r="G403" s="579"/>
      <c r="H403" s="579"/>
      <c r="I403" s="579"/>
      <c r="J403" s="579">
        <v>280</v>
      </c>
      <c r="K403" s="579">
        <v>147</v>
      </c>
      <c r="L403" s="579">
        <v>871</v>
      </c>
      <c r="M403" s="352" t="s">
        <v>34</v>
      </c>
    </row>
    <row r="404" spans="1:13" x14ac:dyDescent="0.35">
      <c r="A404">
        <v>403</v>
      </c>
      <c r="B404" s="170" t="s">
        <v>567</v>
      </c>
      <c r="C404" s="579">
        <v>412</v>
      </c>
      <c r="D404" s="579">
        <v>199</v>
      </c>
      <c r="E404" s="579">
        <v>52</v>
      </c>
      <c r="F404" s="579">
        <v>757</v>
      </c>
      <c r="G404" s="579"/>
      <c r="H404" s="579"/>
      <c r="I404" s="579"/>
      <c r="J404" s="579">
        <v>60</v>
      </c>
      <c r="K404" s="579">
        <v>261</v>
      </c>
      <c r="L404" s="579">
        <v>91</v>
      </c>
      <c r="M404" s="352" t="s">
        <v>34</v>
      </c>
    </row>
    <row r="405" spans="1:13" x14ac:dyDescent="0.35">
      <c r="A405">
        <v>404</v>
      </c>
      <c r="B405" s="170" t="s">
        <v>563</v>
      </c>
      <c r="C405" s="579">
        <v>327</v>
      </c>
      <c r="D405" s="579">
        <v>49</v>
      </c>
      <c r="E405" s="579">
        <v>2</v>
      </c>
      <c r="F405" s="579">
        <v>85</v>
      </c>
      <c r="G405" s="579"/>
      <c r="H405" s="579"/>
      <c r="I405" s="579"/>
      <c r="J405" s="579">
        <v>266</v>
      </c>
      <c r="K405" s="579">
        <v>45</v>
      </c>
      <c r="L405" s="579">
        <v>16</v>
      </c>
      <c r="M405" s="352" t="s">
        <v>34</v>
      </c>
    </row>
    <row r="406" spans="1:13" x14ac:dyDescent="0.35">
      <c r="A406">
        <v>405</v>
      </c>
      <c r="B406" s="170" t="s">
        <v>568</v>
      </c>
      <c r="C406" s="579">
        <v>27</v>
      </c>
      <c r="D406" s="579">
        <v>506</v>
      </c>
      <c r="E406" s="579">
        <v>7</v>
      </c>
      <c r="F406" s="579">
        <v>25</v>
      </c>
      <c r="G406" s="579"/>
      <c r="H406" s="579"/>
      <c r="I406" s="579"/>
      <c r="J406" s="579">
        <v>5</v>
      </c>
      <c r="K406" s="579">
        <v>13</v>
      </c>
      <c r="L406" s="579">
        <v>9</v>
      </c>
      <c r="M406" s="352" t="s">
        <v>34</v>
      </c>
    </row>
    <row r="407" spans="1:13" x14ac:dyDescent="0.35">
      <c r="A407">
        <v>406</v>
      </c>
      <c r="B407" s="139" t="s">
        <v>570</v>
      </c>
      <c r="C407" s="904">
        <f>14633+5000</f>
        <v>19633</v>
      </c>
      <c r="D407" s="904">
        <f>676+335</f>
        <v>1011</v>
      </c>
      <c r="E407" s="904">
        <f>4038+1675</f>
        <v>5713</v>
      </c>
      <c r="F407" s="904">
        <f>14327+4000</f>
        <v>18327</v>
      </c>
      <c r="G407" s="904"/>
      <c r="H407" s="904"/>
      <c r="I407" s="904"/>
      <c r="J407" s="904">
        <v>5841</v>
      </c>
      <c r="K407" s="904">
        <f>5975+5000</f>
        <v>10975</v>
      </c>
      <c r="L407" s="904">
        <v>2817</v>
      </c>
      <c r="M407" s="352" t="s">
        <v>35</v>
      </c>
    </row>
    <row r="408" spans="1:13" x14ac:dyDescent="0.35">
      <c r="A408">
        <v>407</v>
      </c>
      <c r="B408" s="139" t="s">
        <v>571</v>
      </c>
      <c r="C408" s="904">
        <v>8408</v>
      </c>
      <c r="D408" s="904">
        <v>313</v>
      </c>
      <c r="E408" s="904">
        <v>1451</v>
      </c>
      <c r="F408" s="904">
        <v>6310</v>
      </c>
      <c r="G408" s="904"/>
      <c r="H408" s="904"/>
      <c r="I408" s="904"/>
      <c r="J408" s="904">
        <v>1460</v>
      </c>
      <c r="K408" s="904">
        <v>4630</v>
      </c>
      <c r="L408" s="904">
        <v>2318</v>
      </c>
      <c r="M408" s="352" t="s">
        <v>35</v>
      </c>
    </row>
    <row r="409" spans="1:13" x14ac:dyDescent="0.35">
      <c r="A409">
        <v>408</v>
      </c>
      <c r="B409" s="139" t="s">
        <v>572</v>
      </c>
      <c r="C409" s="904">
        <v>3420</v>
      </c>
      <c r="D409" s="904">
        <v>673</v>
      </c>
      <c r="E409" s="904">
        <v>648</v>
      </c>
      <c r="F409" s="904">
        <v>3408</v>
      </c>
      <c r="G409" s="904"/>
      <c r="H409" s="904"/>
      <c r="I409" s="904"/>
      <c r="J409" s="904">
        <v>735</v>
      </c>
      <c r="K409" s="904">
        <v>962</v>
      </c>
      <c r="L409" s="904">
        <v>1723</v>
      </c>
      <c r="M409" s="352" t="s">
        <v>35</v>
      </c>
    </row>
    <row r="410" spans="1:13" x14ac:dyDescent="0.35">
      <c r="A410">
        <v>409</v>
      </c>
      <c r="B410" s="139" t="s">
        <v>579</v>
      </c>
      <c r="C410" s="904">
        <v>3173</v>
      </c>
      <c r="D410" s="904">
        <v>468</v>
      </c>
      <c r="E410" s="904">
        <v>523</v>
      </c>
      <c r="F410" s="904">
        <v>2852</v>
      </c>
      <c r="G410" s="904"/>
      <c r="H410" s="904"/>
      <c r="I410" s="904"/>
      <c r="J410" s="904">
        <v>869</v>
      </c>
      <c r="K410" s="904">
        <v>1118</v>
      </c>
      <c r="L410" s="904">
        <v>1186</v>
      </c>
      <c r="M410" s="352" t="s">
        <v>35</v>
      </c>
    </row>
    <row r="411" spans="1:13" x14ac:dyDescent="0.35">
      <c r="A411">
        <v>410</v>
      </c>
      <c r="B411" s="139" t="s">
        <v>577</v>
      </c>
      <c r="C411" s="904">
        <v>2945</v>
      </c>
      <c r="D411" s="904">
        <v>1500</v>
      </c>
      <c r="E411" s="904">
        <v>258</v>
      </c>
      <c r="F411" s="904">
        <v>2633</v>
      </c>
      <c r="G411" s="904"/>
      <c r="H411" s="904"/>
      <c r="I411" s="904"/>
      <c r="J411" s="904">
        <v>882</v>
      </c>
      <c r="K411" s="904">
        <v>172</v>
      </c>
      <c r="L411" s="904">
        <v>1891</v>
      </c>
      <c r="M411" s="352" t="s">
        <v>35</v>
      </c>
    </row>
    <row r="412" spans="1:13" x14ac:dyDescent="0.35">
      <c r="A412">
        <v>411</v>
      </c>
      <c r="B412" s="139" t="s">
        <v>578</v>
      </c>
      <c r="C412" s="904">
        <v>986</v>
      </c>
      <c r="D412" s="904">
        <v>631</v>
      </c>
      <c r="E412" s="904">
        <v>243</v>
      </c>
      <c r="F412" s="904">
        <v>505</v>
      </c>
      <c r="G412" s="904"/>
      <c r="H412" s="904"/>
      <c r="I412" s="904"/>
      <c r="J412" s="904">
        <v>460</v>
      </c>
      <c r="K412" s="904">
        <v>385</v>
      </c>
      <c r="L412" s="904">
        <v>141</v>
      </c>
      <c r="M412" s="352" t="s">
        <v>35</v>
      </c>
    </row>
    <row r="413" spans="1:13" x14ac:dyDescent="0.35">
      <c r="A413">
        <v>412</v>
      </c>
      <c r="B413" s="139" t="s">
        <v>582</v>
      </c>
      <c r="C413" s="904">
        <v>959</v>
      </c>
      <c r="D413" s="904">
        <v>811</v>
      </c>
      <c r="E413" s="904">
        <v>391</v>
      </c>
      <c r="F413" s="904">
        <v>546</v>
      </c>
      <c r="G413" s="904"/>
      <c r="H413" s="904"/>
      <c r="I413" s="904"/>
      <c r="J413" s="904">
        <v>233</v>
      </c>
      <c r="K413" s="904">
        <v>482</v>
      </c>
      <c r="L413" s="904">
        <v>244</v>
      </c>
      <c r="M413" s="352" t="s">
        <v>35</v>
      </c>
    </row>
    <row r="414" spans="1:13" x14ac:dyDescent="0.35">
      <c r="A414">
        <v>413</v>
      </c>
      <c r="B414" s="139" t="s">
        <v>580</v>
      </c>
      <c r="C414" s="904">
        <v>459</v>
      </c>
      <c r="D414" s="904">
        <v>372</v>
      </c>
      <c r="E414" s="904">
        <v>36</v>
      </c>
      <c r="F414" s="904">
        <v>230</v>
      </c>
      <c r="G414" s="904"/>
      <c r="H414" s="904"/>
      <c r="I414" s="904"/>
      <c r="J414" s="904">
        <v>100</v>
      </c>
      <c r="K414" s="904">
        <v>95</v>
      </c>
      <c r="L414" s="904">
        <v>264</v>
      </c>
      <c r="M414" s="352" t="s">
        <v>35</v>
      </c>
    </row>
    <row r="415" spans="1:13" x14ac:dyDescent="0.35">
      <c r="A415">
        <v>414</v>
      </c>
      <c r="B415" s="139" t="s">
        <v>583</v>
      </c>
      <c r="C415" s="904">
        <v>140</v>
      </c>
      <c r="D415" s="904">
        <v>350</v>
      </c>
      <c r="E415" s="904">
        <v>26</v>
      </c>
      <c r="F415" s="904">
        <v>70</v>
      </c>
      <c r="G415" s="904"/>
      <c r="H415" s="904"/>
      <c r="I415" s="904"/>
      <c r="J415" s="904">
        <v>40</v>
      </c>
      <c r="K415" s="904">
        <v>74</v>
      </c>
      <c r="L415" s="904">
        <v>26</v>
      </c>
      <c r="M415" s="352" t="s">
        <v>35</v>
      </c>
    </row>
    <row r="416" spans="1:13" x14ac:dyDescent="0.35">
      <c r="A416">
        <v>415</v>
      </c>
      <c r="B416" s="139" t="s">
        <v>575</v>
      </c>
      <c r="C416" s="904">
        <v>47</v>
      </c>
      <c r="D416" s="904">
        <v>108</v>
      </c>
      <c r="E416" s="904">
        <v>3</v>
      </c>
      <c r="F416" s="904">
        <v>24</v>
      </c>
      <c r="G416" s="904"/>
      <c r="H416" s="904"/>
      <c r="I416" s="904"/>
      <c r="J416" s="904"/>
      <c r="K416" s="904">
        <v>27</v>
      </c>
      <c r="L416" s="904">
        <v>20</v>
      </c>
      <c r="M416" s="352" t="s">
        <v>35</v>
      </c>
    </row>
    <row r="417" spans="1:13" x14ac:dyDescent="0.35">
      <c r="A417">
        <v>416</v>
      </c>
      <c r="B417" s="139" t="s">
        <v>574</v>
      </c>
      <c r="C417" s="904">
        <v>40</v>
      </c>
      <c r="D417" s="904">
        <v>545</v>
      </c>
      <c r="E417" s="904">
        <v>4</v>
      </c>
      <c r="F417" s="904">
        <v>28</v>
      </c>
      <c r="G417" s="904"/>
      <c r="H417" s="904"/>
      <c r="I417" s="904"/>
      <c r="J417" s="904">
        <v>19</v>
      </c>
      <c r="K417" s="904">
        <v>8</v>
      </c>
      <c r="L417" s="904">
        <v>13</v>
      </c>
      <c r="M417" s="352" t="s">
        <v>35</v>
      </c>
    </row>
    <row r="418" spans="1:13" x14ac:dyDescent="0.35">
      <c r="A418">
        <v>417</v>
      </c>
      <c r="B418" s="139" t="s">
        <v>581</v>
      </c>
      <c r="C418" s="904">
        <v>13</v>
      </c>
      <c r="D418" s="904">
        <v>833</v>
      </c>
      <c r="E418" s="904">
        <v>4</v>
      </c>
      <c r="F418" s="904">
        <v>7</v>
      </c>
      <c r="G418" s="904"/>
      <c r="H418" s="904"/>
      <c r="I418" s="904"/>
      <c r="J418" s="904">
        <v>5</v>
      </c>
      <c r="K418" s="904">
        <v>4</v>
      </c>
      <c r="L418" s="904">
        <v>4</v>
      </c>
      <c r="M418" s="352" t="s">
        <v>35</v>
      </c>
    </row>
    <row r="419" spans="1:13" x14ac:dyDescent="0.35">
      <c r="A419">
        <v>418</v>
      </c>
      <c r="B419" s="139" t="s">
        <v>573</v>
      </c>
      <c r="C419" s="904"/>
      <c r="D419" s="904"/>
      <c r="E419" s="904"/>
      <c r="F419" s="904"/>
      <c r="G419" s="904"/>
      <c r="H419" s="904"/>
      <c r="I419" s="904"/>
      <c r="J419" s="904"/>
      <c r="K419" s="904"/>
      <c r="L419" s="904"/>
      <c r="M419" s="352" t="s">
        <v>35</v>
      </c>
    </row>
    <row r="420" spans="1:13" x14ac:dyDescent="0.35">
      <c r="A420">
        <v>419</v>
      </c>
      <c r="B420" s="139" t="s">
        <v>576</v>
      </c>
      <c r="C420" s="904"/>
      <c r="D420" s="904"/>
      <c r="E420" s="904"/>
      <c r="F420" s="904"/>
      <c r="G420" s="904"/>
      <c r="H420" s="904"/>
      <c r="I420" s="904"/>
      <c r="J420" s="904"/>
      <c r="K420" s="904"/>
      <c r="L420" s="904"/>
      <c r="M420" s="352" t="s">
        <v>35</v>
      </c>
    </row>
    <row r="421" spans="1:13" x14ac:dyDescent="0.35">
      <c r="A421">
        <v>420</v>
      </c>
      <c r="B421" s="911" t="s">
        <v>584</v>
      </c>
      <c r="C421" s="912">
        <v>3957</v>
      </c>
      <c r="D421" s="912">
        <v>601</v>
      </c>
      <c r="E421" s="912">
        <v>1722</v>
      </c>
      <c r="F421" s="912">
        <v>2393</v>
      </c>
      <c r="G421" s="912"/>
      <c r="H421" s="912"/>
      <c r="I421" s="912"/>
      <c r="J421" s="912">
        <v>78</v>
      </c>
      <c r="K421" s="912">
        <v>2867</v>
      </c>
      <c r="L421" s="912">
        <v>1012</v>
      </c>
      <c r="M421" s="352" t="s">
        <v>36</v>
      </c>
    </row>
    <row r="422" spans="1:13" x14ac:dyDescent="0.35">
      <c r="A422">
        <v>421</v>
      </c>
      <c r="B422" s="911" t="s">
        <v>585</v>
      </c>
      <c r="C422" s="912">
        <v>1880</v>
      </c>
      <c r="D422" s="912">
        <v>600</v>
      </c>
      <c r="E422" s="912">
        <v>346</v>
      </c>
      <c r="F422" s="912">
        <v>2599</v>
      </c>
      <c r="G422" s="912"/>
      <c r="H422" s="912"/>
      <c r="I422" s="912"/>
      <c r="J422" s="912">
        <v>131</v>
      </c>
      <c r="K422" s="912">
        <v>577</v>
      </c>
      <c r="L422" s="912">
        <v>1172</v>
      </c>
      <c r="M422" s="352" t="s">
        <v>36</v>
      </c>
    </row>
    <row r="423" spans="1:13" x14ac:dyDescent="0.35">
      <c r="A423">
        <v>422</v>
      </c>
      <c r="B423" s="911" t="s">
        <v>587</v>
      </c>
      <c r="C423" s="912">
        <v>1458</v>
      </c>
      <c r="D423" s="912">
        <v>1197</v>
      </c>
      <c r="E423" s="912">
        <v>748</v>
      </c>
      <c r="F423" s="912">
        <v>903</v>
      </c>
      <c r="G423" s="912"/>
      <c r="H423" s="912"/>
      <c r="I423" s="912"/>
      <c r="J423" s="912">
        <v>385</v>
      </c>
      <c r="K423" s="912">
        <v>625</v>
      </c>
      <c r="L423" s="912">
        <v>448</v>
      </c>
      <c r="M423" s="352" t="s">
        <v>36</v>
      </c>
    </row>
    <row r="424" spans="1:13" x14ac:dyDescent="0.35">
      <c r="A424">
        <v>423</v>
      </c>
      <c r="B424" s="911" t="s">
        <v>593</v>
      </c>
      <c r="C424" s="912">
        <v>1281</v>
      </c>
      <c r="D424" s="912">
        <v>562</v>
      </c>
      <c r="E424" s="912">
        <v>307</v>
      </c>
      <c r="F424" s="912">
        <v>871</v>
      </c>
      <c r="G424" s="912"/>
      <c r="H424" s="912"/>
      <c r="I424" s="912"/>
      <c r="J424" s="912">
        <v>233</v>
      </c>
      <c r="K424" s="912">
        <v>546</v>
      </c>
      <c r="L424" s="912">
        <v>502</v>
      </c>
      <c r="M424" s="352" t="s">
        <v>36</v>
      </c>
    </row>
    <row r="425" spans="1:13" x14ac:dyDescent="0.35">
      <c r="A425">
        <v>424</v>
      </c>
      <c r="B425" s="911" t="s">
        <v>586</v>
      </c>
      <c r="C425" s="912">
        <v>977</v>
      </c>
      <c r="D425" s="912">
        <v>601</v>
      </c>
      <c r="E425" s="912">
        <v>223</v>
      </c>
      <c r="F425" s="912">
        <v>1235</v>
      </c>
      <c r="G425" s="912"/>
      <c r="H425" s="912"/>
      <c r="I425" s="912"/>
      <c r="J425" s="912">
        <v>76</v>
      </c>
      <c r="K425" s="912">
        <v>371</v>
      </c>
      <c r="L425" s="912">
        <v>530</v>
      </c>
      <c r="M425" s="352" t="s">
        <v>36</v>
      </c>
    </row>
    <row r="426" spans="1:13" x14ac:dyDescent="0.35">
      <c r="A426">
        <v>425</v>
      </c>
      <c r="B426" s="911" t="s">
        <v>589</v>
      </c>
      <c r="C426" s="912">
        <v>569</v>
      </c>
      <c r="D426" s="912">
        <v>601</v>
      </c>
      <c r="E426" s="912">
        <v>119</v>
      </c>
      <c r="F426" s="912">
        <v>346</v>
      </c>
      <c r="G426" s="912"/>
      <c r="H426" s="912"/>
      <c r="I426" s="912"/>
      <c r="J426" s="912">
        <v>265</v>
      </c>
      <c r="K426" s="912">
        <v>198</v>
      </c>
      <c r="L426" s="912">
        <v>106</v>
      </c>
      <c r="M426" s="352" t="s">
        <v>36</v>
      </c>
    </row>
    <row r="427" spans="1:13" x14ac:dyDescent="0.35">
      <c r="A427">
        <v>426</v>
      </c>
      <c r="B427" s="911" t="s">
        <v>588</v>
      </c>
      <c r="C427" s="912">
        <v>293</v>
      </c>
      <c r="D427" s="912">
        <v>600</v>
      </c>
      <c r="E427" s="912">
        <v>111</v>
      </c>
      <c r="F427" s="912">
        <v>350</v>
      </c>
      <c r="G427" s="912"/>
      <c r="H427" s="912"/>
      <c r="I427" s="912"/>
      <c r="J427" s="912">
        <v>43</v>
      </c>
      <c r="K427" s="912">
        <v>185</v>
      </c>
      <c r="L427" s="912">
        <v>65</v>
      </c>
      <c r="M427" s="352" t="s">
        <v>36</v>
      </c>
    </row>
    <row r="428" spans="1:13" x14ac:dyDescent="0.35">
      <c r="A428">
        <v>427</v>
      </c>
      <c r="B428" s="911" t="s">
        <v>590</v>
      </c>
      <c r="C428" s="912">
        <v>112</v>
      </c>
      <c r="D428" s="912">
        <v>331</v>
      </c>
      <c r="E428" s="912">
        <v>10</v>
      </c>
      <c r="F428" s="912">
        <v>157</v>
      </c>
      <c r="G428" s="912"/>
      <c r="H428" s="912"/>
      <c r="I428" s="912"/>
      <c r="J428" s="912"/>
      <c r="K428" s="912">
        <v>31</v>
      </c>
      <c r="L428" s="912">
        <v>81</v>
      </c>
      <c r="M428" s="352" t="s">
        <v>36</v>
      </c>
    </row>
    <row r="429" spans="1:13" x14ac:dyDescent="0.35">
      <c r="A429">
        <v>428</v>
      </c>
      <c r="B429" s="911" t="s">
        <v>591</v>
      </c>
      <c r="C429" s="912">
        <v>79</v>
      </c>
      <c r="D429" s="912">
        <v>86</v>
      </c>
      <c r="E429" s="912">
        <v>5</v>
      </c>
      <c r="F429" s="912">
        <v>226</v>
      </c>
      <c r="G429" s="912"/>
      <c r="H429" s="912"/>
      <c r="I429" s="912"/>
      <c r="J429" s="912"/>
      <c r="K429" s="912">
        <v>58</v>
      </c>
      <c r="L429" s="912">
        <v>21</v>
      </c>
      <c r="M429" s="352" t="s">
        <v>36</v>
      </c>
    </row>
    <row r="430" spans="1:13" x14ac:dyDescent="0.35">
      <c r="A430">
        <v>429</v>
      </c>
      <c r="B430" s="911" t="s">
        <v>592</v>
      </c>
      <c r="C430" s="912">
        <v>37</v>
      </c>
      <c r="D430" s="912">
        <v>1414</v>
      </c>
      <c r="E430" s="912">
        <v>7</v>
      </c>
      <c r="F430" s="912">
        <v>47</v>
      </c>
      <c r="G430" s="912"/>
      <c r="H430" s="912"/>
      <c r="I430" s="912"/>
      <c r="J430" s="912">
        <v>29</v>
      </c>
      <c r="K430" s="912">
        <v>5</v>
      </c>
      <c r="L430" s="912">
        <v>3</v>
      </c>
      <c r="M430" s="352" t="s">
        <v>36</v>
      </c>
    </row>
    <row r="431" spans="1:13" x14ac:dyDescent="0.35">
      <c r="A431">
        <v>430</v>
      </c>
      <c r="B431" s="911" t="s">
        <v>594</v>
      </c>
      <c r="C431" s="912">
        <v>18</v>
      </c>
      <c r="D431" s="912">
        <v>100</v>
      </c>
      <c r="E431" s="912"/>
      <c r="F431" s="912">
        <v>15</v>
      </c>
      <c r="G431" s="912"/>
      <c r="H431" s="912"/>
      <c r="I431" s="912"/>
      <c r="J431" s="912">
        <v>12</v>
      </c>
      <c r="K431" s="912">
        <v>4</v>
      </c>
      <c r="L431" s="912">
        <v>2</v>
      </c>
      <c r="M431" s="352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3B89-205E-458A-AF18-D7200284A569}">
  <dimension ref="A1:L36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5" customWidth="1"/>
    <col min="3" max="3" width="17.7265625" customWidth="1"/>
    <col min="4" max="4" width="15.1796875" customWidth="1"/>
    <col min="5" max="5" width="14.81640625" customWidth="1"/>
    <col min="6" max="6" width="19.1796875" customWidth="1"/>
    <col min="7" max="7" width="24.7265625" customWidth="1"/>
    <col min="8" max="8" width="29.54296875" customWidth="1"/>
    <col min="9" max="9" width="25" customWidth="1"/>
    <col min="10" max="10" width="17.453125" customWidth="1"/>
    <col min="11" max="11" width="16.81640625" customWidth="1"/>
    <col min="12" max="12" width="17" customWidth="1"/>
  </cols>
  <sheetData>
    <row r="1" spans="1:12" ht="15.5" x14ac:dyDescent="0.35">
      <c r="A1" s="1" t="s">
        <v>0</v>
      </c>
      <c r="B1" s="2" t="s">
        <v>1</v>
      </c>
      <c r="C1" s="17" t="s">
        <v>46</v>
      </c>
      <c r="D1" s="18" t="s">
        <v>47</v>
      </c>
      <c r="E1" s="17" t="s">
        <v>48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65">
        <v>101202.56</v>
      </c>
      <c r="D2" s="769">
        <v>736.50765566417192</v>
      </c>
      <c r="E2" s="770">
        <v>27129.000000000004</v>
      </c>
      <c r="F2" s="766">
        <v>129408</v>
      </c>
      <c r="G2" s="765">
        <v>101203</v>
      </c>
      <c r="H2" s="766"/>
      <c r="I2" s="766"/>
      <c r="J2" s="766">
        <v>32869</v>
      </c>
      <c r="K2" s="766">
        <v>36835</v>
      </c>
      <c r="L2" s="766">
        <v>31499</v>
      </c>
    </row>
    <row r="3" spans="1:12" x14ac:dyDescent="0.35">
      <c r="A3" s="4">
        <v>2</v>
      </c>
      <c r="B3" s="9" t="s">
        <v>3</v>
      </c>
      <c r="C3" s="765">
        <v>60853.547488888886</v>
      </c>
      <c r="D3" s="769">
        <v>1085.3750295509703</v>
      </c>
      <c r="E3" s="770">
        <v>24318.810000000005</v>
      </c>
      <c r="F3" s="766">
        <v>81661</v>
      </c>
      <c r="G3" s="766">
        <v>58007</v>
      </c>
      <c r="H3" s="766">
        <v>270</v>
      </c>
      <c r="I3" s="766">
        <v>2576</v>
      </c>
      <c r="J3" s="766">
        <v>13165</v>
      </c>
      <c r="K3" s="766">
        <v>22406</v>
      </c>
      <c r="L3" s="766">
        <v>25283</v>
      </c>
    </row>
    <row r="4" spans="1:12" x14ac:dyDescent="0.35">
      <c r="A4" s="4">
        <v>3</v>
      </c>
      <c r="B4" s="9" t="s">
        <v>4</v>
      </c>
      <c r="C4" s="765">
        <v>132557</v>
      </c>
      <c r="D4" s="769">
        <v>842.9070639359868</v>
      </c>
      <c r="E4" s="770">
        <v>46052.220100682884</v>
      </c>
      <c r="F4" s="766">
        <v>106990</v>
      </c>
      <c r="G4" s="766">
        <v>130508</v>
      </c>
      <c r="H4" s="766"/>
      <c r="I4" s="766">
        <v>2049</v>
      </c>
      <c r="J4" s="766">
        <v>47005</v>
      </c>
      <c r="K4" s="766">
        <v>54635</v>
      </c>
      <c r="L4" s="766">
        <v>30867</v>
      </c>
    </row>
    <row r="5" spans="1:12" x14ac:dyDescent="0.35">
      <c r="A5" s="4">
        <v>4</v>
      </c>
      <c r="B5" s="9" t="s">
        <v>5</v>
      </c>
      <c r="C5" s="765">
        <v>6534.92</v>
      </c>
      <c r="D5" s="769">
        <v>613.20776267200029</v>
      </c>
      <c r="E5" s="770">
        <v>2316.2740313655895</v>
      </c>
      <c r="F5" s="766">
        <v>14033</v>
      </c>
      <c r="G5" s="766">
        <v>4574</v>
      </c>
      <c r="H5" s="766"/>
      <c r="I5" s="766">
        <v>1961</v>
      </c>
      <c r="J5" s="766">
        <v>1611</v>
      </c>
      <c r="K5" s="766">
        <v>3777</v>
      </c>
      <c r="L5" s="766">
        <v>1146</v>
      </c>
    </row>
    <row r="6" spans="1:12" x14ac:dyDescent="0.35">
      <c r="A6" s="4">
        <v>5</v>
      </c>
      <c r="B6" s="9" t="s">
        <v>6</v>
      </c>
      <c r="C6" s="765">
        <v>37.688919355305664</v>
      </c>
      <c r="D6" s="769">
        <v>171.42857142857142</v>
      </c>
      <c r="E6" s="770">
        <v>0.88952903233811409</v>
      </c>
      <c r="F6" s="766">
        <v>204</v>
      </c>
      <c r="G6" s="765">
        <v>37.688919355305664</v>
      </c>
      <c r="H6" s="766"/>
      <c r="I6" s="766"/>
      <c r="J6" s="766">
        <v>30</v>
      </c>
      <c r="K6" s="766">
        <v>5</v>
      </c>
      <c r="L6" s="766">
        <v>3</v>
      </c>
    </row>
    <row r="7" spans="1:12" x14ac:dyDescent="0.35">
      <c r="A7" s="4">
        <v>6</v>
      </c>
      <c r="B7" s="9" t="s">
        <v>7</v>
      </c>
      <c r="C7" s="765">
        <v>2439</v>
      </c>
      <c r="D7" s="769">
        <v>584.97447118891307</v>
      </c>
      <c r="E7" s="770">
        <v>594.50190327930613</v>
      </c>
      <c r="F7" s="766">
        <v>5725</v>
      </c>
      <c r="G7" s="765">
        <v>2439</v>
      </c>
      <c r="H7" s="766"/>
      <c r="I7" s="766"/>
      <c r="J7" s="766">
        <v>809</v>
      </c>
      <c r="K7" s="766">
        <v>1016</v>
      </c>
      <c r="L7" s="766">
        <v>614</v>
      </c>
    </row>
    <row r="8" spans="1:12" x14ac:dyDescent="0.35">
      <c r="A8" s="4">
        <v>7</v>
      </c>
      <c r="B8" s="9" t="s">
        <v>8</v>
      </c>
      <c r="C8" s="765">
        <v>10716.59</v>
      </c>
      <c r="D8" s="769">
        <v>755.09329192340897</v>
      </c>
      <c r="E8" s="770">
        <v>3042.1892905963509</v>
      </c>
      <c r="F8" s="766">
        <v>12875</v>
      </c>
      <c r="G8" s="765">
        <v>10716.59</v>
      </c>
      <c r="H8" s="766"/>
      <c r="I8" s="766"/>
      <c r="J8" s="766">
        <v>4860</v>
      </c>
      <c r="K8" s="766">
        <v>4029</v>
      </c>
      <c r="L8" s="766">
        <v>1828</v>
      </c>
    </row>
    <row r="9" spans="1:12" x14ac:dyDescent="0.35">
      <c r="A9" s="4">
        <v>8</v>
      </c>
      <c r="B9" s="9" t="s">
        <v>9</v>
      </c>
      <c r="C9" s="765">
        <v>764.15300000000002</v>
      </c>
      <c r="D9" s="769">
        <v>583.90017323410996</v>
      </c>
      <c r="E9" s="770">
        <v>177.39542880748007</v>
      </c>
      <c r="F9" s="766">
        <v>1220</v>
      </c>
      <c r="G9" s="765">
        <v>764.15300000000002</v>
      </c>
      <c r="H9" s="766"/>
      <c r="I9" s="766"/>
      <c r="J9" s="766">
        <v>288</v>
      </c>
      <c r="K9" s="766">
        <v>304</v>
      </c>
      <c r="L9" s="766">
        <v>173</v>
      </c>
    </row>
    <row r="10" spans="1:12" x14ac:dyDescent="0.35">
      <c r="A10" s="4">
        <v>9</v>
      </c>
      <c r="B10" s="9" t="s">
        <v>10</v>
      </c>
      <c r="C10" s="765">
        <v>9448.84</v>
      </c>
      <c r="D10" s="769">
        <v>564.4590103275342</v>
      </c>
      <c r="E10" s="770">
        <v>3166.2385618010617</v>
      </c>
      <c r="F10" s="766">
        <v>12221</v>
      </c>
      <c r="G10" s="765">
        <v>9448.84</v>
      </c>
      <c r="H10" s="766"/>
      <c r="I10" s="766"/>
      <c r="J10" s="766">
        <v>1425</v>
      </c>
      <c r="K10" s="766">
        <v>5609</v>
      </c>
      <c r="L10" s="766">
        <v>2415</v>
      </c>
    </row>
    <row r="11" spans="1:12" x14ac:dyDescent="0.35">
      <c r="A11" s="4">
        <v>10</v>
      </c>
      <c r="B11" s="9" t="s">
        <v>11</v>
      </c>
      <c r="C11" s="765">
        <v>72495</v>
      </c>
      <c r="D11" s="769">
        <v>871.24912288108942</v>
      </c>
      <c r="E11" s="770">
        <v>34856.837261165769</v>
      </c>
      <c r="F11" s="766">
        <v>115285</v>
      </c>
      <c r="G11" s="766">
        <v>72063</v>
      </c>
      <c r="H11" s="766"/>
      <c r="I11" s="766">
        <v>432</v>
      </c>
      <c r="J11" s="766">
        <v>11968</v>
      </c>
      <c r="K11" s="766">
        <v>40008</v>
      </c>
      <c r="L11" s="766">
        <v>20525</v>
      </c>
    </row>
    <row r="12" spans="1:12" s="108" customFormat="1" x14ac:dyDescent="0.35">
      <c r="A12" s="102">
        <v>11</v>
      </c>
      <c r="B12" s="103" t="s">
        <v>12</v>
      </c>
      <c r="C12" s="771"/>
      <c r="D12" s="772"/>
      <c r="E12" s="772"/>
      <c r="F12" s="768"/>
      <c r="G12" s="767"/>
      <c r="H12" s="767"/>
      <c r="I12" s="767"/>
      <c r="J12" s="768"/>
      <c r="K12" s="768"/>
      <c r="L12" s="768"/>
    </row>
    <row r="13" spans="1:12" x14ac:dyDescent="0.35">
      <c r="A13" s="4">
        <v>12</v>
      </c>
      <c r="B13" s="9" t="s">
        <v>14</v>
      </c>
      <c r="C13" s="765">
        <v>8477.880000000001</v>
      </c>
      <c r="D13" s="769">
        <v>840.06931821012836</v>
      </c>
      <c r="E13" s="770">
        <v>3994.6831899922554</v>
      </c>
      <c r="F13" s="766">
        <v>17999</v>
      </c>
      <c r="G13" s="766">
        <v>5461</v>
      </c>
      <c r="H13" s="766">
        <v>203</v>
      </c>
      <c r="I13" s="766">
        <v>2814</v>
      </c>
      <c r="J13" s="766">
        <v>1829</v>
      </c>
      <c r="K13" s="766">
        <v>4775</v>
      </c>
      <c r="L13" s="766">
        <v>1894</v>
      </c>
    </row>
    <row r="14" spans="1:12" x14ac:dyDescent="0.35">
      <c r="A14" s="4">
        <v>13</v>
      </c>
      <c r="B14" s="9" t="s">
        <v>15</v>
      </c>
      <c r="C14" s="765">
        <v>7808.2299999999977</v>
      </c>
      <c r="D14" s="769">
        <v>800.39811192127638</v>
      </c>
      <c r="E14" s="770">
        <v>2593.5078286503649</v>
      </c>
      <c r="F14" s="766">
        <v>4930</v>
      </c>
      <c r="G14" s="766">
        <v>7365</v>
      </c>
      <c r="H14" s="766"/>
      <c r="I14" s="766">
        <v>443</v>
      </c>
      <c r="J14" s="766">
        <v>2553</v>
      </c>
      <c r="K14" s="766">
        <v>3240</v>
      </c>
      <c r="L14" s="766">
        <v>2015</v>
      </c>
    </row>
    <row r="15" spans="1:12" x14ac:dyDescent="0.35">
      <c r="A15" s="4">
        <v>14</v>
      </c>
      <c r="B15" s="9" t="s">
        <v>16</v>
      </c>
      <c r="C15" s="765">
        <v>7410.01</v>
      </c>
      <c r="D15" s="769">
        <v>618.15561246468405</v>
      </c>
      <c r="E15" s="770">
        <v>2107.6200965347166</v>
      </c>
      <c r="F15" s="766">
        <v>22349</v>
      </c>
      <c r="G15" s="766">
        <v>6318</v>
      </c>
      <c r="H15" s="766">
        <v>106</v>
      </c>
      <c r="I15" s="766">
        <v>986</v>
      </c>
      <c r="J15" s="766">
        <v>2612</v>
      </c>
      <c r="K15" s="766">
        <v>3410</v>
      </c>
      <c r="L15" s="766">
        <v>1389</v>
      </c>
    </row>
    <row r="16" spans="1:12" x14ac:dyDescent="0.35">
      <c r="A16" s="4">
        <v>15</v>
      </c>
      <c r="B16" s="9" t="s">
        <v>17</v>
      </c>
      <c r="C16" s="765">
        <v>5151.95</v>
      </c>
      <c r="D16" s="769">
        <v>517.38774802017622</v>
      </c>
      <c r="E16" s="770">
        <v>1237.8537759178471</v>
      </c>
      <c r="F16" s="766">
        <v>28295</v>
      </c>
      <c r="G16" s="766">
        <v>5152</v>
      </c>
      <c r="H16" s="766"/>
      <c r="I16" s="766"/>
      <c r="J16" s="766">
        <v>1882</v>
      </c>
      <c r="K16" s="766">
        <v>2393</v>
      </c>
      <c r="L16" s="766">
        <v>938</v>
      </c>
    </row>
    <row r="17" spans="1:12" x14ac:dyDescent="0.35">
      <c r="A17" s="4">
        <v>16</v>
      </c>
      <c r="B17" s="9" t="s">
        <v>18</v>
      </c>
      <c r="C17" s="765">
        <v>58019.46</v>
      </c>
      <c r="D17" s="769">
        <v>885.52966966453869</v>
      </c>
      <c r="E17" s="770">
        <v>28214.437570626473</v>
      </c>
      <c r="F17" s="766">
        <v>97167</v>
      </c>
      <c r="G17" s="766">
        <v>41207</v>
      </c>
      <c r="H17" s="766">
        <v>12229</v>
      </c>
      <c r="I17" s="766">
        <v>4583</v>
      </c>
      <c r="J17" s="766">
        <v>12441</v>
      </c>
      <c r="K17" s="766">
        <v>31862</v>
      </c>
      <c r="L17" s="766">
        <v>13717</v>
      </c>
    </row>
    <row r="18" spans="1:12" x14ac:dyDescent="0.35">
      <c r="A18" s="4">
        <v>17</v>
      </c>
      <c r="B18" s="9" t="s">
        <v>19</v>
      </c>
      <c r="C18" s="765">
        <v>14033.940720000001</v>
      </c>
      <c r="D18" s="769">
        <v>478.22127883319075</v>
      </c>
      <c r="E18" s="770">
        <v>3596.066678745005</v>
      </c>
      <c r="F18" s="766">
        <v>55838</v>
      </c>
      <c r="G18" s="766">
        <v>14002</v>
      </c>
      <c r="H18" s="766">
        <v>32</v>
      </c>
      <c r="I18" s="766"/>
      <c r="J18" s="766">
        <v>2029</v>
      </c>
      <c r="K18" s="766">
        <v>7520</v>
      </c>
      <c r="L18" s="766">
        <v>4485</v>
      </c>
    </row>
    <row r="19" spans="1:12" x14ac:dyDescent="0.35">
      <c r="A19" s="4">
        <v>18</v>
      </c>
      <c r="B19" s="9" t="s">
        <v>20</v>
      </c>
      <c r="C19" s="765">
        <v>7656.51</v>
      </c>
      <c r="D19" s="769">
        <v>530.46783893752138</v>
      </c>
      <c r="E19" s="770">
        <v>1544.3484167518809</v>
      </c>
      <c r="F19" s="766">
        <v>8363</v>
      </c>
      <c r="G19" s="765">
        <v>7656.51</v>
      </c>
      <c r="H19" s="766"/>
      <c r="I19" s="766"/>
      <c r="J19" s="766">
        <v>2829</v>
      </c>
      <c r="K19" s="766">
        <v>2911</v>
      </c>
      <c r="L19" s="766">
        <v>1917</v>
      </c>
    </row>
    <row r="20" spans="1:12" x14ac:dyDescent="0.35">
      <c r="A20" s="4">
        <v>19</v>
      </c>
      <c r="B20" s="9" t="s">
        <v>21</v>
      </c>
      <c r="C20" s="765">
        <v>57838.25</v>
      </c>
      <c r="D20" s="769">
        <v>627.04158431906512</v>
      </c>
      <c r="E20" s="770">
        <v>13762.999999999998</v>
      </c>
      <c r="F20" s="766">
        <v>87876</v>
      </c>
      <c r="G20" s="766">
        <v>56663</v>
      </c>
      <c r="H20" s="766"/>
      <c r="I20" s="766">
        <v>1175</v>
      </c>
      <c r="J20" s="766">
        <v>22586</v>
      </c>
      <c r="K20" s="766">
        <v>21949</v>
      </c>
      <c r="L20" s="766">
        <v>13303</v>
      </c>
    </row>
    <row r="21" spans="1:12" x14ac:dyDescent="0.35">
      <c r="A21" s="4">
        <v>20</v>
      </c>
      <c r="B21" s="9" t="s">
        <v>22</v>
      </c>
      <c r="C21" s="765">
        <v>11386</v>
      </c>
      <c r="D21" s="769">
        <v>511.29774045190959</v>
      </c>
      <c r="E21" s="770">
        <v>1895.4381130737981</v>
      </c>
      <c r="F21" s="766">
        <v>12251</v>
      </c>
      <c r="G21" s="765">
        <v>11386</v>
      </c>
      <c r="H21" s="766"/>
      <c r="I21" s="766"/>
      <c r="J21" s="766">
        <v>4338</v>
      </c>
      <c r="K21" s="766">
        <v>3707</v>
      </c>
      <c r="L21" s="766">
        <v>3341</v>
      </c>
    </row>
    <row r="22" spans="1:12" x14ac:dyDescent="0.35">
      <c r="A22" s="4">
        <v>21</v>
      </c>
      <c r="B22" s="9" t="s">
        <v>23</v>
      </c>
      <c r="C22" s="765">
        <v>2137.41</v>
      </c>
      <c r="D22" s="769">
        <v>563.51445693675555</v>
      </c>
      <c r="E22" s="770">
        <v>621.45988521694619</v>
      </c>
      <c r="F22" s="766">
        <v>1883</v>
      </c>
      <c r="G22" s="765">
        <v>2137.41</v>
      </c>
      <c r="H22" s="766"/>
      <c r="I22" s="766"/>
      <c r="J22" s="766">
        <v>611</v>
      </c>
      <c r="K22" s="766">
        <v>1103</v>
      </c>
      <c r="L22" s="766">
        <v>424</v>
      </c>
    </row>
    <row r="23" spans="1:12" x14ac:dyDescent="0.35">
      <c r="A23" s="4">
        <v>22</v>
      </c>
      <c r="B23" s="9" t="s">
        <v>24</v>
      </c>
      <c r="C23" s="765">
        <v>637</v>
      </c>
      <c r="D23" s="769">
        <v>319.54887218045116</v>
      </c>
      <c r="E23" s="770">
        <v>63.008306457283076</v>
      </c>
      <c r="F23" s="766">
        <v>914</v>
      </c>
      <c r="G23" s="765">
        <v>637</v>
      </c>
      <c r="H23" s="766"/>
      <c r="I23" s="766"/>
      <c r="J23" s="766">
        <v>263</v>
      </c>
      <c r="K23" s="766">
        <v>197</v>
      </c>
      <c r="L23" s="766">
        <v>177</v>
      </c>
    </row>
    <row r="24" spans="1:12" x14ac:dyDescent="0.35">
      <c r="A24" s="4">
        <v>23</v>
      </c>
      <c r="B24" s="9" t="s">
        <v>25</v>
      </c>
      <c r="C24" s="765">
        <v>7777.9650967744601</v>
      </c>
      <c r="D24" s="769">
        <v>501.59184514003306</v>
      </c>
      <c r="E24" s="770">
        <v>1805.5437916140959</v>
      </c>
      <c r="F24" s="766">
        <v>5087</v>
      </c>
      <c r="G24" s="765">
        <v>7777.9650967744601</v>
      </c>
      <c r="H24" s="766"/>
      <c r="I24" s="766"/>
      <c r="J24" s="766">
        <v>1926</v>
      </c>
      <c r="K24" s="766">
        <v>3600</v>
      </c>
      <c r="L24" s="766">
        <v>2252</v>
      </c>
    </row>
    <row r="25" spans="1:12" x14ac:dyDescent="0.35">
      <c r="A25" s="4">
        <v>24</v>
      </c>
      <c r="B25" s="9" t="s">
        <v>26</v>
      </c>
      <c r="C25" s="765">
        <v>3303.75</v>
      </c>
      <c r="D25" s="769">
        <v>516.01294498381867</v>
      </c>
      <c r="E25" s="770">
        <v>886.46015717654757</v>
      </c>
      <c r="F25" s="766">
        <v>2763</v>
      </c>
      <c r="G25" s="765">
        <v>3303.75</v>
      </c>
      <c r="H25" s="766"/>
      <c r="I25" s="766"/>
      <c r="J25" s="766">
        <v>692</v>
      </c>
      <c r="K25" s="766">
        <v>1718</v>
      </c>
      <c r="L25" s="766">
        <v>894</v>
      </c>
    </row>
    <row r="26" spans="1:12" x14ac:dyDescent="0.35">
      <c r="A26" s="4">
        <v>25</v>
      </c>
      <c r="B26" s="9" t="s">
        <v>27</v>
      </c>
      <c r="C26" s="765">
        <v>16716.52</v>
      </c>
      <c r="D26" s="769">
        <v>887.44520817990463</v>
      </c>
      <c r="E26" s="770">
        <v>4821.5807680151174</v>
      </c>
      <c r="F26" s="766">
        <v>19806</v>
      </c>
      <c r="G26" s="766">
        <v>16323</v>
      </c>
      <c r="H26" s="766">
        <v>50</v>
      </c>
      <c r="I26" s="766">
        <v>344</v>
      </c>
      <c r="J26" s="766">
        <v>6545</v>
      </c>
      <c r="K26" s="766">
        <v>5433</v>
      </c>
      <c r="L26" s="766">
        <v>4738</v>
      </c>
    </row>
    <row r="27" spans="1:12" x14ac:dyDescent="0.35">
      <c r="A27" s="4">
        <v>26</v>
      </c>
      <c r="B27" s="9" t="s">
        <v>28</v>
      </c>
      <c r="C27" s="765">
        <v>15162</v>
      </c>
      <c r="D27" s="769">
        <v>948.1684981684981</v>
      </c>
      <c r="E27" s="770">
        <v>3837.5765003453471</v>
      </c>
      <c r="F27" s="766">
        <v>15522</v>
      </c>
      <c r="G27" s="765">
        <v>15162</v>
      </c>
      <c r="H27" s="766"/>
      <c r="I27" s="766"/>
      <c r="J27" s="766">
        <v>8516</v>
      </c>
      <c r="K27" s="766">
        <v>4047</v>
      </c>
      <c r="L27" s="766">
        <v>2599</v>
      </c>
    </row>
    <row r="28" spans="1:12" x14ac:dyDescent="0.35">
      <c r="A28" s="4">
        <v>27</v>
      </c>
      <c r="B28" s="9" t="s">
        <v>29</v>
      </c>
      <c r="C28" s="765">
        <v>285787.5</v>
      </c>
      <c r="D28" s="769">
        <v>687.69456046375126</v>
      </c>
      <c r="E28" s="770">
        <v>100590.00000000003</v>
      </c>
      <c r="F28" s="766">
        <v>176262</v>
      </c>
      <c r="G28" s="766">
        <v>285784</v>
      </c>
      <c r="H28" s="766"/>
      <c r="I28" s="766">
        <v>4</v>
      </c>
      <c r="J28" s="766">
        <v>48633</v>
      </c>
      <c r="K28" s="766">
        <v>146271</v>
      </c>
      <c r="L28" s="766">
        <v>90883</v>
      </c>
    </row>
    <row r="29" spans="1:12" x14ac:dyDescent="0.35">
      <c r="A29" s="4">
        <v>28</v>
      </c>
      <c r="B29" s="9" t="s">
        <v>30</v>
      </c>
      <c r="C29" s="765">
        <v>237711.83</v>
      </c>
      <c r="D29" s="769">
        <v>773.45105903081355</v>
      </c>
      <c r="E29" s="770">
        <v>100391.4566218481</v>
      </c>
      <c r="F29" s="766">
        <v>262240</v>
      </c>
      <c r="G29" s="766">
        <v>233760</v>
      </c>
      <c r="H29" s="766"/>
      <c r="I29" s="766">
        <v>3952</v>
      </c>
      <c r="J29" s="766">
        <v>23524</v>
      </c>
      <c r="K29" s="766">
        <v>129797</v>
      </c>
      <c r="L29" s="766">
        <v>84391</v>
      </c>
    </row>
    <row r="30" spans="1:12" x14ac:dyDescent="0.35">
      <c r="A30" s="4">
        <v>29</v>
      </c>
      <c r="B30" s="9" t="s">
        <v>31</v>
      </c>
      <c r="C30" s="765">
        <v>145786.59</v>
      </c>
      <c r="D30" s="769">
        <v>793.140642496125</v>
      </c>
      <c r="E30" s="770">
        <v>54332.996663599159</v>
      </c>
      <c r="F30" s="766">
        <v>136253</v>
      </c>
      <c r="G30" s="765">
        <v>145787</v>
      </c>
      <c r="H30" s="766"/>
      <c r="I30" s="766"/>
      <c r="J30" s="766">
        <v>17978</v>
      </c>
      <c r="K30" s="766">
        <v>68504</v>
      </c>
      <c r="L30" s="766">
        <v>59305</v>
      </c>
    </row>
    <row r="31" spans="1:12" x14ac:dyDescent="0.35">
      <c r="A31" s="4">
        <v>30</v>
      </c>
      <c r="B31" s="9" t="s">
        <v>32</v>
      </c>
      <c r="C31" s="765">
        <v>254957.25</v>
      </c>
      <c r="D31" s="769">
        <v>664.58223329836494</v>
      </c>
      <c r="E31" s="770">
        <v>92831</v>
      </c>
      <c r="F31" s="766">
        <v>165214</v>
      </c>
      <c r="G31" s="765">
        <v>254957</v>
      </c>
      <c r="H31" s="766"/>
      <c r="I31" s="766"/>
      <c r="J31" s="766">
        <v>36939</v>
      </c>
      <c r="K31" s="766">
        <v>139683</v>
      </c>
      <c r="L31" s="766">
        <v>78335</v>
      </c>
    </row>
    <row r="32" spans="1:12" x14ac:dyDescent="0.35">
      <c r="A32" s="4">
        <v>31</v>
      </c>
      <c r="B32" s="9" t="s">
        <v>33</v>
      </c>
      <c r="C32" s="765">
        <v>28160.11</v>
      </c>
      <c r="D32" s="769">
        <v>595.82507352851201</v>
      </c>
      <c r="E32" s="770">
        <v>8404.6265367761225</v>
      </c>
      <c r="F32" s="766">
        <v>32896</v>
      </c>
      <c r="G32" s="766">
        <v>24905</v>
      </c>
      <c r="H32" s="766">
        <v>2053</v>
      </c>
      <c r="I32" s="766">
        <v>1203</v>
      </c>
      <c r="J32" s="766">
        <v>6110</v>
      </c>
      <c r="K32" s="766">
        <v>14106</v>
      </c>
      <c r="L32" s="766">
        <v>7944</v>
      </c>
    </row>
    <row r="33" spans="1:12" x14ac:dyDescent="0.35">
      <c r="A33" s="4">
        <v>32</v>
      </c>
      <c r="B33" s="9" t="s">
        <v>34</v>
      </c>
      <c r="C33" s="765">
        <v>32436.600000000002</v>
      </c>
      <c r="D33" s="769">
        <v>645.44546566564543</v>
      </c>
      <c r="E33" s="770">
        <v>8526.8770491544383</v>
      </c>
      <c r="F33" s="766">
        <v>24049</v>
      </c>
      <c r="G33" s="765">
        <v>32436.600000000002</v>
      </c>
      <c r="H33" s="766"/>
      <c r="I33" s="766"/>
      <c r="J33" s="766">
        <v>9690</v>
      </c>
      <c r="K33" s="766">
        <v>13211</v>
      </c>
      <c r="L33" s="766">
        <v>9536</v>
      </c>
    </row>
    <row r="34" spans="1:12" x14ac:dyDescent="0.35">
      <c r="A34" s="4">
        <v>33</v>
      </c>
      <c r="B34" s="9" t="s">
        <v>35</v>
      </c>
      <c r="C34" s="765">
        <v>39130.252629036062</v>
      </c>
      <c r="D34" s="769">
        <v>526.89084937458301</v>
      </c>
      <c r="E34" s="770">
        <v>9630.3546458771998</v>
      </c>
      <c r="F34" s="766">
        <v>37168</v>
      </c>
      <c r="G34" s="766">
        <v>34130</v>
      </c>
      <c r="H34" s="766"/>
      <c r="I34" s="766">
        <v>5000</v>
      </c>
      <c r="J34" s="766">
        <v>9938</v>
      </c>
      <c r="K34" s="766">
        <v>18274</v>
      </c>
      <c r="L34" s="766">
        <v>10915</v>
      </c>
    </row>
    <row r="35" spans="1:12" x14ac:dyDescent="0.35">
      <c r="A35" s="4">
        <v>34</v>
      </c>
      <c r="B35" s="9" t="s">
        <v>36</v>
      </c>
      <c r="C35" s="765">
        <v>13884.650000000001</v>
      </c>
      <c r="D35" s="769">
        <v>675.20983213429258</v>
      </c>
      <c r="E35" s="773">
        <v>3339.4402422360035</v>
      </c>
      <c r="F35" s="766">
        <v>9657</v>
      </c>
      <c r="G35" s="765">
        <v>13884.650000000001</v>
      </c>
      <c r="H35" s="766"/>
      <c r="I35" s="766"/>
      <c r="J35" s="766">
        <v>987</v>
      </c>
      <c r="K35" s="766">
        <v>4946</v>
      </c>
      <c r="L35" s="766">
        <v>7952</v>
      </c>
    </row>
    <row r="36" spans="1:12" x14ac:dyDescent="0.35">
      <c r="B36" s="67" t="s">
        <v>105</v>
      </c>
      <c r="C36" s="786">
        <f>SUM(C2:C35)</f>
        <v>1658420.9578540551</v>
      </c>
      <c r="D36" s="786">
        <f t="shared" ref="D36:L36" si="0">SUM(D2:D35)</f>
        <v>21716.192597210797</v>
      </c>
      <c r="E36" s="786">
        <f t="shared" si="0"/>
        <v>590683.69294533948</v>
      </c>
      <c r="F36" s="786">
        <f t="shared" si="0"/>
        <v>1704404</v>
      </c>
      <c r="G36" s="786">
        <f t="shared" si="0"/>
        <v>1615957.1570161297</v>
      </c>
      <c r="H36" s="786">
        <f t="shared" si="0"/>
        <v>14943</v>
      </c>
      <c r="I36" s="786">
        <f t="shared" si="0"/>
        <v>27522</v>
      </c>
      <c r="J36" s="786">
        <f t="shared" si="0"/>
        <v>339481</v>
      </c>
      <c r="K36" s="786">
        <f t="shared" si="0"/>
        <v>801281</v>
      </c>
      <c r="L36" s="786">
        <f t="shared" si="0"/>
        <v>517697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16AF-0E3A-4695-9507-6A7615BDFD2B}">
  <dimension ref="A1:AE448"/>
  <sheetViews>
    <sheetView zoomScale="70" zoomScaleNormal="70" workbookViewId="0">
      <pane ySplit="1" topLeftCell="A396" activePane="bottomLeft" state="frozen"/>
      <selection pane="bottomLeft" activeCell="B409" sqref="B409"/>
    </sheetView>
  </sheetViews>
  <sheetFormatPr defaultRowHeight="14.5" x14ac:dyDescent="0.35"/>
  <cols>
    <col min="2" max="2" width="24.453125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0" max="12" width="8.7265625" customWidth="1"/>
    <col min="13" max="13" width="24.81640625" customWidth="1"/>
    <col min="14" max="14" width="25.26953125" customWidth="1"/>
    <col min="15" max="15" width="8.7265625" customWidth="1"/>
  </cols>
  <sheetData>
    <row r="1" spans="1:27" x14ac:dyDescent="0.35">
      <c r="A1" t="s">
        <v>0</v>
      </c>
      <c r="B1" t="s">
        <v>162</v>
      </c>
      <c r="C1" t="s">
        <v>46</v>
      </c>
      <c r="D1" t="s">
        <v>47</v>
      </c>
      <c r="E1" t="s">
        <v>48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27" x14ac:dyDescent="0.35">
      <c r="A2">
        <v>1</v>
      </c>
      <c r="B2" s="133" t="s">
        <v>178</v>
      </c>
      <c r="C2" s="282">
        <v>19906</v>
      </c>
      <c r="D2" s="282">
        <v>899</v>
      </c>
      <c r="E2" s="282">
        <v>6381</v>
      </c>
      <c r="F2" s="282">
        <v>213000</v>
      </c>
      <c r="G2" s="281"/>
      <c r="H2" s="281"/>
      <c r="I2" s="281"/>
      <c r="J2" s="282">
        <v>8280</v>
      </c>
      <c r="K2" s="319">
        <v>7097</v>
      </c>
      <c r="L2" s="282">
        <v>4529</v>
      </c>
      <c r="M2" s="352" t="s">
        <v>2</v>
      </c>
      <c r="N2" s="192"/>
      <c r="O2" s="192"/>
      <c r="P2" s="192"/>
      <c r="Q2" s="192"/>
      <c r="R2" s="188"/>
      <c r="S2" s="188"/>
      <c r="T2" s="188"/>
      <c r="U2" s="188"/>
      <c r="V2" s="188"/>
      <c r="X2" s="188"/>
      <c r="Y2" s="188"/>
      <c r="Z2" s="188"/>
      <c r="AA2" s="189"/>
    </row>
    <row r="3" spans="1:27" x14ac:dyDescent="0.35">
      <c r="A3">
        <v>2</v>
      </c>
      <c r="B3" s="133" t="s">
        <v>170</v>
      </c>
      <c r="C3" s="282">
        <v>14980</v>
      </c>
      <c r="D3" s="282">
        <v>778</v>
      </c>
      <c r="E3" s="282">
        <v>4556</v>
      </c>
      <c r="F3" s="282">
        <v>1737</v>
      </c>
      <c r="G3" s="281"/>
      <c r="H3" s="281"/>
      <c r="I3" s="281"/>
      <c r="J3" s="282">
        <v>4054</v>
      </c>
      <c r="K3" s="319">
        <v>5857</v>
      </c>
      <c r="L3" s="282">
        <v>5069</v>
      </c>
      <c r="M3" s="352" t="s">
        <v>2</v>
      </c>
      <c r="N3" s="192"/>
      <c r="O3" s="192"/>
      <c r="P3" s="192"/>
      <c r="Q3" s="192"/>
      <c r="R3" s="192"/>
      <c r="S3" s="192"/>
      <c r="T3" s="192"/>
      <c r="U3" s="192"/>
      <c r="V3" s="192"/>
      <c r="X3" s="192"/>
      <c r="Y3" s="192"/>
      <c r="Z3" s="192"/>
      <c r="AA3" s="193"/>
    </row>
    <row r="4" spans="1:27" x14ac:dyDescent="0.35">
      <c r="A4">
        <v>3</v>
      </c>
      <c r="B4" s="133" t="s">
        <v>175</v>
      </c>
      <c r="C4" s="282">
        <v>12745</v>
      </c>
      <c r="D4" s="282">
        <v>785</v>
      </c>
      <c r="E4" s="282">
        <v>4633</v>
      </c>
      <c r="F4" s="282">
        <v>11938</v>
      </c>
      <c r="G4" s="281"/>
      <c r="H4" s="281"/>
      <c r="I4" s="281"/>
      <c r="J4" s="282">
        <v>2898</v>
      </c>
      <c r="K4" s="319">
        <v>5901</v>
      </c>
      <c r="L4" s="282">
        <v>3946</v>
      </c>
      <c r="M4" s="352" t="s">
        <v>2</v>
      </c>
      <c r="N4" s="192"/>
      <c r="O4" s="192"/>
      <c r="P4" s="192"/>
      <c r="Q4" s="192"/>
      <c r="R4" s="192"/>
      <c r="S4" s="192"/>
      <c r="T4" s="192"/>
      <c r="U4" s="192"/>
      <c r="V4" s="192"/>
      <c r="X4" s="192"/>
      <c r="Y4" s="192"/>
      <c r="Z4" s="192"/>
      <c r="AA4" s="193"/>
    </row>
    <row r="5" spans="1:27" x14ac:dyDescent="0.35">
      <c r="A5">
        <v>4</v>
      </c>
      <c r="B5" s="133" t="s">
        <v>169</v>
      </c>
      <c r="C5" s="380">
        <v>10383</v>
      </c>
      <c r="D5" s="282">
        <v>596</v>
      </c>
      <c r="E5" s="282">
        <v>2487</v>
      </c>
      <c r="F5" s="282">
        <v>12642</v>
      </c>
      <c r="G5" s="281"/>
      <c r="H5" s="281"/>
      <c r="I5" s="281"/>
      <c r="J5" s="281">
        <v>2497</v>
      </c>
      <c r="K5" s="319">
        <v>4171</v>
      </c>
      <c r="L5" s="282">
        <v>3715</v>
      </c>
      <c r="M5" s="352" t="s">
        <v>2</v>
      </c>
      <c r="N5" s="192"/>
      <c r="O5" s="192"/>
      <c r="P5" s="192"/>
      <c r="Q5" s="192"/>
      <c r="R5" s="192"/>
      <c r="S5" s="192"/>
      <c r="T5" s="192"/>
      <c r="U5" s="192"/>
      <c r="V5" s="192"/>
      <c r="X5" s="192"/>
      <c r="Y5" s="192"/>
      <c r="Z5" s="192"/>
      <c r="AA5" s="193"/>
    </row>
    <row r="6" spans="1:27" x14ac:dyDescent="0.35">
      <c r="A6">
        <v>5</v>
      </c>
      <c r="B6" s="133" t="s">
        <v>173</v>
      </c>
      <c r="C6" s="282">
        <v>9221</v>
      </c>
      <c r="D6" s="282">
        <v>665</v>
      </c>
      <c r="E6" s="282">
        <v>2538</v>
      </c>
      <c r="F6" s="282">
        <v>18647</v>
      </c>
      <c r="G6" s="281"/>
      <c r="H6" s="281"/>
      <c r="I6" s="281"/>
      <c r="J6" s="282">
        <v>3181</v>
      </c>
      <c r="K6" s="319">
        <v>3816</v>
      </c>
      <c r="L6" s="282">
        <v>2224</v>
      </c>
      <c r="M6" s="352" t="s">
        <v>2</v>
      </c>
      <c r="N6" s="188"/>
      <c r="O6" s="188"/>
      <c r="P6" s="188"/>
      <c r="Q6" s="188"/>
      <c r="R6" s="188"/>
      <c r="S6" s="188"/>
      <c r="T6" s="188"/>
      <c r="U6" s="188"/>
      <c r="V6" s="188"/>
      <c r="X6" s="188"/>
      <c r="Y6" s="188"/>
      <c r="Z6" s="188"/>
      <c r="AA6" s="189"/>
    </row>
    <row r="7" spans="1:27" x14ac:dyDescent="0.35">
      <c r="A7">
        <v>6</v>
      </c>
      <c r="B7" s="133" t="s">
        <v>171</v>
      </c>
      <c r="C7" s="381">
        <v>7384</v>
      </c>
      <c r="D7" s="282">
        <v>653</v>
      </c>
      <c r="E7" s="282">
        <v>1899</v>
      </c>
      <c r="F7" s="282">
        <v>10917</v>
      </c>
      <c r="G7" s="281"/>
      <c r="H7" s="281"/>
      <c r="I7" s="281"/>
      <c r="J7" s="282">
        <v>2664</v>
      </c>
      <c r="K7" s="319">
        <v>2909</v>
      </c>
      <c r="L7" s="282">
        <v>1811</v>
      </c>
      <c r="M7" s="352" t="s">
        <v>2</v>
      </c>
      <c r="N7" s="192"/>
      <c r="O7" s="192"/>
      <c r="P7" s="192"/>
      <c r="Q7" s="192"/>
      <c r="R7" s="192"/>
      <c r="S7" s="192"/>
      <c r="T7" s="192"/>
      <c r="U7" s="192"/>
      <c r="V7" s="192"/>
      <c r="X7" s="192"/>
      <c r="Y7" s="192"/>
      <c r="Z7" s="192"/>
      <c r="AA7" s="193"/>
    </row>
    <row r="8" spans="1:27" x14ac:dyDescent="0.35">
      <c r="A8">
        <v>7</v>
      </c>
      <c r="B8" s="133" t="s">
        <v>182</v>
      </c>
      <c r="C8" s="282">
        <v>5312</v>
      </c>
      <c r="D8" s="282">
        <v>575</v>
      </c>
      <c r="E8" s="282">
        <v>746</v>
      </c>
      <c r="F8" s="282">
        <v>8532</v>
      </c>
      <c r="G8" s="282"/>
      <c r="H8" s="282"/>
      <c r="I8" s="282"/>
      <c r="J8" s="282">
        <v>8</v>
      </c>
      <c r="K8" s="319">
        <v>1299</v>
      </c>
      <c r="L8" s="282">
        <v>4005</v>
      </c>
      <c r="M8" s="352" t="s">
        <v>2</v>
      </c>
      <c r="N8" s="188"/>
      <c r="O8" s="188"/>
      <c r="P8" s="188"/>
      <c r="Q8" s="188"/>
      <c r="R8" s="188"/>
      <c r="S8" s="188"/>
      <c r="T8" s="188"/>
      <c r="U8" s="188"/>
      <c r="V8" s="188"/>
      <c r="X8" s="188"/>
      <c r="Y8" s="188"/>
      <c r="Z8" s="188"/>
      <c r="AA8" s="189"/>
    </row>
    <row r="9" spans="1:27" x14ac:dyDescent="0.35">
      <c r="A9">
        <v>8</v>
      </c>
      <c r="B9" s="133" t="s">
        <v>179</v>
      </c>
      <c r="C9" s="282">
        <v>4469</v>
      </c>
      <c r="D9" s="282">
        <v>799</v>
      </c>
      <c r="E9" s="282">
        <v>675</v>
      </c>
      <c r="F9" s="282">
        <v>4177</v>
      </c>
      <c r="G9" s="282"/>
      <c r="H9" s="282"/>
      <c r="I9" s="282"/>
      <c r="J9" s="282">
        <v>3188</v>
      </c>
      <c r="K9" s="319">
        <v>844</v>
      </c>
      <c r="L9" s="282">
        <v>437</v>
      </c>
      <c r="M9" s="352" t="s">
        <v>2</v>
      </c>
      <c r="N9" s="192"/>
      <c r="O9" s="192"/>
      <c r="P9" s="192"/>
      <c r="Q9" s="192"/>
      <c r="R9" s="192"/>
      <c r="S9" s="192"/>
      <c r="T9" s="192"/>
      <c r="U9" s="192"/>
      <c r="V9" s="192"/>
      <c r="X9" s="192"/>
      <c r="Y9" s="192"/>
      <c r="Z9" s="192"/>
      <c r="AA9" s="193"/>
    </row>
    <row r="10" spans="1:27" x14ac:dyDescent="0.35">
      <c r="A10">
        <v>9</v>
      </c>
      <c r="B10" s="133" t="s">
        <v>214</v>
      </c>
      <c r="C10" s="282">
        <v>3375</v>
      </c>
      <c r="D10" s="282">
        <v>701</v>
      </c>
      <c r="E10" s="282">
        <v>200</v>
      </c>
      <c r="F10" s="282">
        <v>3607</v>
      </c>
      <c r="G10" s="282"/>
      <c r="H10" s="282"/>
      <c r="I10" s="282"/>
      <c r="J10" s="282">
        <v>2834</v>
      </c>
      <c r="K10" s="319">
        <v>284</v>
      </c>
      <c r="L10" s="282">
        <v>257</v>
      </c>
      <c r="M10" s="352" t="s">
        <v>2</v>
      </c>
      <c r="N10" s="188"/>
      <c r="O10" s="188"/>
      <c r="P10" s="188"/>
      <c r="Q10" s="188"/>
      <c r="R10" s="188"/>
      <c r="S10" s="188"/>
      <c r="T10" s="188"/>
      <c r="U10" s="188"/>
      <c r="V10" s="188"/>
      <c r="X10" s="188"/>
      <c r="Y10" s="188"/>
      <c r="Z10" s="188"/>
      <c r="AA10" s="189"/>
    </row>
    <row r="11" spans="1:27" x14ac:dyDescent="0.35">
      <c r="A11">
        <v>10</v>
      </c>
      <c r="B11" s="133" t="s">
        <v>183</v>
      </c>
      <c r="C11" s="282">
        <v>1924</v>
      </c>
      <c r="D11" s="282">
        <v>461</v>
      </c>
      <c r="E11" s="282">
        <v>172</v>
      </c>
      <c r="F11" s="282">
        <v>1405</v>
      </c>
      <c r="G11" s="282"/>
      <c r="H11" s="282"/>
      <c r="I11" s="282"/>
      <c r="J11" s="282">
        <v>745</v>
      </c>
      <c r="K11" s="319">
        <v>372</v>
      </c>
      <c r="L11" s="282">
        <v>807</v>
      </c>
      <c r="M11" s="352" t="s">
        <v>2</v>
      </c>
      <c r="N11" s="192"/>
      <c r="O11" s="192"/>
      <c r="P11" s="192"/>
      <c r="Q11" s="192"/>
      <c r="R11" s="188"/>
      <c r="S11" s="188"/>
      <c r="T11" s="188"/>
      <c r="U11" s="188"/>
      <c r="V11" s="188"/>
      <c r="X11" s="188"/>
      <c r="Y11" s="188"/>
      <c r="Z11" s="188"/>
      <c r="AA11" s="189"/>
    </row>
    <row r="12" spans="1:27" x14ac:dyDescent="0.35">
      <c r="A12">
        <v>11</v>
      </c>
      <c r="B12" s="133" t="s">
        <v>177</v>
      </c>
      <c r="C12" s="282">
        <v>1721</v>
      </c>
      <c r="D12" s="282">
        <v>560</v>
      </c>
      <c r="E12" s="282">
        <v>412</v>
      </c>
      <c r="F12" s="282">
        <v>3568</v>
      </c>
      <c r="G12" s="282"/>
      <c r="H12" s="282"/>
      <c r="I12" s="282"/>
      <c r="J12" s="282">
        <v>445</v>
      </c>
      <c r="K12" s="319">
        <v>736</v>
      </c>
      <c r="L12" s="282">
        <v>540</v>
      </c>
      <c r="M12" s="352" t="s">
        <v>2</v>
      </c>
      <c r="N12" s="192"/>
      <c r="O12" s="192"/>
      <c r="P12" s="192"/>
      <c r="Q12" s="192"/>
      <c r="R12" s="192"/>
      <c r="S12" s="192"/>
      <c r="T12" s="192"/>
      <c r="U12" s="192"/>
      <c r="V12" s="192"/>
      <c r="X12" s="192"/>
      <c r="Y12" s="192"/>
      <c r="Z12" s="192"/>
      <c r="AA12" s="193"/>
    </row>
    <row r="13" spans="1:27" x14ac:dyDescent="0.35">
      <c r="A13">
        <v>12</v>
      </c>
      <c r="B13" s="133" t="s">
        <v>185</v>
      </c>
      <c r="C13" s="282">
        <v>1584</v>
      </c>
      <c r="D13" s="282">
        <v>508</v>
      </c>
      <c r="E13" s="282">
        <v>274</v>
      </c>
      <c r="F13" s="282">
        <v>2880</v>
      </c>
      <c r="G13" s="282"/>
      <c r="H13" s="282"/>
      <c r="I13" s="282"/>
      <c r="J13" s="282">
        <v>254</v>
      </c>
      <c r="K13" s="319">
        <v>539</v>
      </c>
      <c r="L13" s="282">
        <v>791</v>
      </c>
      <c r="M13" s="352" t="s">
        <v>2</v>
      </c>
      <c r="N13" s="192"/>
      <c r="O13" s="192"/>
      <c r="P13" s="192"/>
      <c r="Q13" s="192"/>
      <c r="R13" s="188"/>
      <c r="S13" s="188"/>
      <c r="T13" s="188"/>
      <c r="U13" s="188"/>
      <c r="V13" s="188"/>
      <c r="X13" s="188"/>
      <c r="Y13" s="188"/>
      <c r="Z13" s="188"/>
      <c r="AA13" s="189"/>
    </row>
    <row r="14" spans="1:27" x14ac:dyDescent="0.35">
      <c r="A14">
        <v>13</v>
      </c>
      <c r="B14" s="133" t="s">
        <v>187</v>
      </c>
      <c r="C14" s="282">
        <v>1331</v>
      </c>
      <c r="D14" s="282">
        <v>838</v>
      </c>
      <c r="E14" s="282">
        <v>329</v>
      </c>
      <c r="F14" s="282">
        <v>1751</v>
      </c>
      <c r="G14" s="282"/>
      <c r="H14" s="282"/>
      <c r="I14" s="282"/>
      <c r="J14" s="282">
        <v>762</v>
      </c>
      <c r="K14" s="319">
        <v>393</v>
      </c>
      <c r="L14" s="282">
        <v>176</v>
      </c>
      <c r="M14" s="352" t="s">
        <v>2</v>
      </c>
      <c r="N14" s="188"/>
      <c r="O14" s="188"/>
      <c r="P14" s="188"/>
      <c r="Q14" s="188"/>
      <c r="R14" s="188"/>
      <c r="S14" s="188"/>
      <c r="T14" s="188"/>
      <c r="U14" s="188"/>
      <c r="V14" s="188"/>
      <c r="X14" s="188"/>
      <c r="Y14" s="188"/>
      <c r="Z14" s="188"/>
      <c r="AA14" s="189"/>
    </row>
    <row r="15" spans="1:27" x14ac:dyDescent="0.35">
      <c r="A15">
        <v>14</v>
      </c>
      <c r="B15" s="133" t="s">
        <v>180</v>
      </c>
      <c r="C15" s="282">
        <v>1167</v>
      </c>
      <c r="D15" s="282">
        <v>757</v>
      </c>
      <c r="E15" s="282">
        <v>118</v>
      </c>
      <c r="F15" s="282">
        <v>669</v>
      </c>
      <c r="G15" s="282"/>
      <c r="H15" s="282"/>
      <c r="I15" s="282"/>
      <c r="J15" s="282">
        <v>109</v>
      </c>
      <c r="K15" s="319">
        <v>156</v>
      </c>
      <c r="L15" s="282">
        <v>902</v>
      </c>
      <c r="M15" s="352" t="s">
        <v>2</v>
      </c>
      <c r="N15" s="192"/>
      <c r="O15" s="192"/>
      <c r="P15" s="192"/>
      <c r="Q15" s="192"/>
      <c r="R15" s="188"/>
      <c r="S15" s="188"/>
      <c r="T15" s="188"/>
      <c r="U15" s="188"/>
      <c r="V15" s="188"/>
      <c r="X15" s="188"/>
      <c r="Y15" s="188"/>
      <c r="Z15" s="188"/>
      <c r="AA15" s="189"/>
    </row>
    <row r="16" spans="1:27" x14ac:dyDescent="0.35">
      <c r="A16">
        <v>15</v>
      </c>
      <c r="B16" s="133" t="s">
        <v>181</v>
      </c>
      <c r="C16" s="282">
        <v>972</v>
      </c>
      <c r="D16" s="282">
        <v>672</v>
      </c>
      <c r="E16" s="282">
        <v>249</v>
      </c>
      <c r="F16" s="282">
        <v>1416</v>
      </c>
      <c r="G16" s="282"/>
      <c r="H16" s="282"/>
      <c r="I16" s="282"/>
      <c r="J16" s="282">
        <v>293</v>
      </c>
      <c r="K16" s="319">
        <v>370</v>
      </c>
      <c r="L16" s="282">
        <v>309</v>
      </c>
      <c r="M16" s="352" t="s">
        <v>2</v>
      </c>
      <c r="N16" s="192"/>
      <c r="O16" s="192"/>
      <c r="P16" s="192"/>
      <c r="Q16" s="192"/>
      <c r="R16" s="192"/>
      <c r="S16" s="192"/>
      <c r="T16" s="192"/>
      <c r="U16" s="192"/>
      <c r="V16" s="192"/>
      <c r="X16" s="192"/>
      <c r="Y16" s="192"/>
      <c r="Z16" s="192"/>
      <c r="AA16" s="193"/>
    </row>
    <row r="17" spans="1:31" x14ac:dyDescent="0.35">
      <c r="A17">
        <v>16</v>
      </c>
      <c r="B17" s="133" t="s">
        <v>186</v>
      </c>
      <c r="C17" s="282">
        <v>755</v>
      </c>
      <c r="D17" s="282">
        <v>555</v>
      </c>
      <c r="E17" s="282">
        <v>146</v>
      </c>
      <c r="F17" s="282">
        <v>1194</v>
      </c>
      <c r="G17" s="282"/>
      <c r="H17" s="282"/>
      <c r="I17" s="282"/>
      <c r="J17" s="282">
        <v>281</v>
      </c>
      <c r="K17" s="319">
        <v>262</v>
      </c>
      <c r="L17" s="282">
        <v>212</v>
      </c>
      <c r="M17" s="352" t="s">
        <v>2</v>
      </c>
      <c r="N17" s="192"/>
      <c r="O17" s="192"/>
      <c r="P17" s="192"/>
      <c r="Q17" s="192"/>
      <c r="R17" s="188"/>
      <c r="S17" s="188"/>
      <c r="T17" s="188"/>
      <c r="U17" s="188"/>
      <c r="V17" s="188"/>
      <c r="X17" s="188"/>
      <c r="Y17" s="188"/>
      <c r="Z17" s="188"/>
      <c r="AA17" s="189"/>
    </row>
    <row r="18" spans="1:31" x14ac:dyDescent="0.35">
      <c r="A18">
        <v>17</v>
      </c>
      <c r="B18" s="133" t="s">
        <v>215</v>
      </c>
      <c r="C18" s="282">
        <v>737</v>
      </c>
      <c r="D18" s="282">
        <v>990</v>
      </c>
      <c r="E18" s="282">
        <v>164</v>
      </c>
      <c r="F18" s="282">
        <v>1120</v>
      </c>
      <c r="G18" s="282"/>
      <c r="H18" s="282"/>
      <c r="I18" s="282"/>
      <c r="J18" s="282">
        <v>154</v>
      </c>
      <c r="K18" s="319">
        <v>166</v>
      </c>
      <c r="L18" s="282">
        <v>417</v>
      </c>
      <c r="M18" s="352" t="s">
        <v>2</v>
      </c>
      <c r="N18" s="192"/>
      <c r="O18" s="192"/>
      <c r="P18" s="192"/>
      <c r="Q18" s="192"/>
      <c r="R18" s="192"/>
      <c r="S18" s="192"/>
      <c r="T18" s="192"/>
      <c r="U18" s="192"/>
      <c r="V18" s="192"/>
      <c r="X18" s="188"/>
      <c r="Y18" s="188"/>
      <c r="Z18" s="188"/>
      <c r="AA18" s="189"/>
    </row>
    <row r="19" spans="1:31" x14ac:dyDescent="0.35">
      <c r="A19">
        <v>18</v>
      </c>
      <c r="B19" s="133" t="s">
        <v>172</v>
      </c>
      <c r="C19" s="282">
        <v>580</v>
      </c>
      <c r="D19" s="282">
        <v>609</v>
      </c>
      <c r="E19" s="282">
        <v>193</v>
      </c>
      <c r="F19" s="282">
        <v>877</v>
      </c>
      <c r="G19" s="282"/>
      <c r="H19" s="282"/>
      <c r="I19" s="282"/>
      <c r="J19" s="282">
        <v>34</v>
      </c>
      <c r="K19" s="319">
        <v>316</v>
      </c>
      <c r="L19" s="282">
        <v>230</v>
      </c>
      <c r="M19" s="352" t="s">
        <v>2</v>
      </c>
      <c r="N19" s="192"/>
      <c r="O19" s="192"/>
      <c r="P19" s="192"/>
      <c r="Q19" s="192"/>
      <c r="R19" s="188"/>
      <c r="S19" s="188"/>
      <c r="T19" s="188"/>
      <c r="U19" s="188"/>
      <c r="V19" s="188"/>
      <c r="X19" s="188"/>
      <c r="Y19" s="188"/>
      <c r="Z19" s="188"/>
      <c r="AA19" s="189"/>
    </row>
    <row r="20" spans="1:31" x14ac:dyDescent="0.35">
      <c r="A20">
        <v>19</v>
      </c>
      <c r="B20" s="133" t="s">
        <v>184</v>
      </c>
      <c r="C20" s="282">
        <v>386</v>
      </c>
      <c r="D20" s="282">
        <v>871</v>
      </c>
      <c r="E20" s="282">
        <v>61</v>
      </c>
      <c r="F20" s="282">
        <v>821</v>
      </c>
      <c r="G20" s="282"/>
      <c r="H20" s="282"/>
      <c r="I20" s="282"/>
      <c r="J20" s="282">
        <v>43</v>
      </c>
      <c r="K20" s="319">
        <v>70</v>
      </c>
      <c r="L20" s="282">
        <v>273</v>
      </c>
      <c r="M20" s="352" t="s">
        <v>2</v>
      </c>
      <c r="N20" s="188"/>
      <c r="O20" s="188"/>
      <c r="P20" s="188"/>
      <c r="Q20" s="188"/>
      <c r="R20" s="188"/>
      <c r="S20" s="188"/>
      <c r="T20" s="188"/>
      <c r="U20" s="188"/>
      <c r="V20" s="188"/>
      <c r="X20" s="188"/>
      <c r="Y20" s="188"/>
      <c r="Z20" s="188"/>
      <c r="AA20" s="189"/>
    </row>
    <row r="21" spans="1:31" x14ac:dyDescent="0.35">
      <c r="A21">
        <v>20</v>
      </c>
      <c r="B21" s="133" t="s">
        <v>176</v>
      </c>
      <c r="C21" s="282">
        <v>244</v>
      </c>
      <c r="D21" s="282">
        <v>800</v>
      </c>
      <c r="E21" s="282">
        <v>104</v>
      </c>
      <c r="F21" s="282">
        <v>476</v>
      </c>
      <c r="G21" s="282"/>
      <c r="H21" s="282"/>
      <c r="I21" s="282"/>
      <c r="J21" s="282">
        <v>50</v>
      </c>
      <c r="K21" s="319">
        <v>130</v>
      </c>
      <c r="L21" s="282">
        <v>64</v>
      </c>
      <c r="M21" s="352" t="s">
        <v>2</v>
      </c>
      <c r="N21" s="192"/>
      <c r="O21" s="192"/>
      <c r="P21" s="192"/>
      <c r="Q21" s="192"/>
      <c r="R21" s="188"/>
      <c r="S21" s="188"/>
      <c r="T21" s="188"/>
      <c r="U21" s="188"/>
      <c r="V21" s="188"/>
      <c r="X21" s="188"/>
      <c r="Y21" s="188"/>
      <c r="Z21" s="188"/>
      <c r="AA21" s="189"/>
    </row>
    <row r="22" spans="1:31" x14ac:dyDescent="0.35">
      <c r="A22">
        <v>21</v>
      </c>
      <c r="B22" s="133" t="s">
        <v>188</v>
      </c>
      <c r="C22" s="282">
        <v>189</v>
      </c>
      <c r="D22" s="282">
        <v>683</v>
      </c>
      <c r="E22" s="282">
        <v>744</v>
      </c>
      <c r="F22" s="282">
        <v>3943</v>
      </c>
      <c r="G22" s="282"/>
      <c r="H22" s="282"/>
      <c r="I22" s="282"/>
      <c r="J22" s="282">
        <v>42</v>
      </c>
      <c r="K22" s="319">
        <v>1089</v>
      </c>
      <c r="L22" s="282">
        <v>759</v>
      </c>
      <c r="M22" s="352" t="s">
        <v>2</v>
      </c>
      <c r="N22" s="192"/>
      <c r="O22" s="192"/>
      <c r="P22" s="192"/>
      <c r="Q22" s="192"/>
      <c r="R22" s="188"/>
      <c r="S22" s="188"/>
      <c r="T22" s="188"/>
      <c r="U22" s="188"/>
      <c r="V22" s="188"/>
      <c r="X22" s="188"/>
      <c r="Y22" s="188"/>
      <c r="Z22" s="188"/>
      <c r="AA22" s="189"/>
    </row>
    <row r="23" spans="1:31" x14ac:dyDescent="0.35">
      <c r="A23">
        <v>22</v>
      </c>
      <c r="B23" s="133" t="s">
        <v>174</v>
      </c>
      <c r="C23" s="282">
        <v>137</v>
      </c>
      <c r="D23" s="282">
        <v>889</v>
      </c>
      <c r="E23" s="282">
        <v>50</v>
      </c>
      <c r="F23" s="282">
        <v>158</v>
      </c>
      <c r="G23" s="282"/>
      <c r="H23" s="282"/>
      <c r="I23" s="282"/>
      <c r="J23" s="282">
        <v>53</v>
      </c>
      <c r="K23" s="319">
        <v>56</v>
      </c>
      <c r="L23" s="282">
        <v>28</v>
      </c>
      <c r="M23" s="352" t="s">
        <v>2</v>
      </c>
      <c r="N23" s="192"/>
      <c r="O23" s="192"/>
      <c r="P23" s="192"/>
      <c r="Q23" s="192"/>
      <c r="R23" s="188"/>
      <c r="S23" s="188"/>
      <c r="T23" s="188"/>
      <c r="U23" s="188"/>
      <c r="V23" s="188"/>
      <c r="X23" s="190"/>
      <c r="Y23" s="190"/>
      <c r="Z23" s="190"/>
      <c r="AA23" s="191"/>
    </row>
    <row r="24" spans="1:31" x14ac:dyDescent="0.35">
      <c r="A24">
        <v>23</v>
      </c>
      <c r="B24" s="187" t="s">
        <v>189</v>
      </c>
      <c r="C24" s="287">
        <f>4528+120</f>
        <v>4648</v>
      </c>
      <c r="D24" s="287">
        <f>1247+1283</f>
        <v>2530</v>
      </c>
      <c r="E24" s="287">
        <f>2156+154</f>
        <v>2310</v>
      </c>
      <c r="F24" s="287">
        <f>8387+96</f>
        <v>8483</v>
      </c>
      <c r="G24" s="287"/>
      <c r="H24" s="287"/>
      <c r="I24" s="287"/>
      <c r="J24" s="287">
        <v>489</v>
      </c>
      <c r="K24" s="320">
        <f>1728+120</f>
        <v>1848</v>
      </c>
      <c r="L24" s="287">
        <v>2311</v>
      </c>
      <c r="M24" s="352" t="s">
        <v>3</v>
      </c>
      <c r="N24" s="192"/>
      <c r="O24" s="192"/>
      <c r="P24" s="192"/>
      <c r="Q24" s="192"/>
      <c r="R24" s="188"/>
      <c r="S24" s="188"/>
      <c r="U24" s="192"/>
      <c r="V24" s="192"/>
      <c r="W24" s="192"/>
      <c r="X24" s="192"/>
      <c r="Y24" s="192"/>
      <c r="Z24" s="193"/>
      <c r="AB24" s="192"/>
      <c r="AC24" s="192"/>
      <c r="AD24" s="192"/>
      <c r="AE24" s="193"/>
    </row>
    <row r="25" spans="1:31" x14ac:dyDescent="0.35">
      <c r="A25">
        <v>24</v>
      </c>
      <c r="B25" s="187" t="s">
        <v>197</v>
      </c>
      <c r="C25" s="287">
        <v>6503</v>
      </c>
      <c r="D25" s="287">
        <v>1035</v>
      </c>
      <c r="E25" s="287">
        <v>1378</v>
      </c>
      <c r="F25" s="287">
        <v>3791</v>
      </c>
      <c r="G25" s="287"/>
      <c r="H25" s="287"/>
      <c r="I25" s="287"/>
      <c r="J25" s="287">
        <v>3125</v>
      </c>
      <c r="K25" s="320">
        <v>1331</v>
      </c>
      <c r="L25" s="287">
        <v>2047</v>
      </c>
      <c r="M25" s="352" t="s">
        <v>3</v>
      </c>
      <c r="N25" s="192"/>
      <c r="O25" s="192"/>
      <c r="P25" s="192"/>
      <c r="Q25" s="192"/>
      <c r="R25" s="188"/>
      <c r="S25" s="188"/>
      <c r="U25" s="192"/>
      <c r="V25" s="192"/>
      <c r="W25" s="192"/>
      <c r="X25" s="192"/>
      <c r="Y25" s="192"/>
      <c r="Z25" s="193"/>
      <c r="AB25" s="192"/>
      <c r="AC25" s="192"/>
      <c r="AD25" s="192"/>
      <c r="AE25" s="193"/>
    </row>
    <row r="26" spans="1:31" x14ac:dyDescent="0.35">
      <c r="A26">
        <v>25</v>
      </c>
      <c r="B26" s="187" t="s">
        <v>200</v>
      </c>
      <c r="C26" s="287">
        <v>5861</v>
      </c>
      <c r="D26" s="287">
        <v>856</v>
      </c>
      <c r="E26" s="287">
        <v>1742</v>
      </c>
      <c r="F26" s="287">
        <v>3991</v>
      </c>
      <c r="G26" s="287"/>
      <c r="H26" s="287"/>
      <c r="I26" s="287"/>
      <c r="J26" s="287">
        <v>1458</v>
      </c>
      <c r="K26" s="320">
        <v>2036</v>
      </c>
      <c r="L26" s="287">
        <v>2367</v>
      </c>
      <c r="M26" s="352" t="s">
        <v>3</v>
      </c>
      <c r="N26" s="192"/>
      <c r="O26" s="192"/>
      <c r="P26" s="192"/>
      <c r="Q26" s="192"/>
      <c r="R26" s="188"/>
      <c r="S26" s="188"/>
      <c r="U26" s="192"/>
      <c r="V26" s="192"/>
      <c r="W26" s="192"/>
      <c r="X26" s="192"/>
      <c r="Y26" s="192"/>
      <c r="Z26" s="193"/>
      <c r="AB26" s="192"/>
      <c r="AC26" s="192"/>
      <c r="AD26" s="192"/>
      <c r="AE26" s="193"/>
    </row>
    <row r="27" spans="1:31" x14ac:dyDescent="0.35">
      <c r="A27">
        <v>26</v>
      </c>
      <c r="B27" s="187" t="s">
        <v>191</v>
      </c>
      <c r="C27" s="287">
        <f>5708+60</f>
        <v>5768</v>
      </c>
      <c r="D27" s="287">
        <f>1114+1582</f>
        <v>2696</v>
      </c>
      <c r="E27" s="287">
        <f>2834+87</f>
        <v>2921</v>
      </c>
      <c r="F27" s="287">
        <f>6367+343</f>
        <v>6710</v>
      </c>
      <c r="G27" s="287"/>
      <c r="H27" s="287"/>
      <c r="I27" s="287"/>
      <c r="J27" s="287">
        <f>221+5</f>
        <v>226</v>
      </c>
      <c r="K27" s="320">
        <f>2543+55</f>
        <v>2598</v>
      </c>
      <c r="L27" s="287">
        <v>2943</v>
      </c>
      <c r="M27" s="352" t="s">
        <v>3</v>
      </c>
      <c r="N27" s="192"/>
      <c r="O27" s="192"/>
      <c r="P27" s="192"/>
      <c r="Q27" s="192"/>
      <c r="R27" s="192"/>
      <c r="S27" s="192"/>
      <c r="U27" s="192"/>
      <c r="V27" s="192"/>
      <c r="W27" s="192"/>
      <c r="X27" s="192"/>
      <c r="Y27" s="192"/>
      <c r="Z27" s="193"/>
      <c r="AB27" s="192"/>
      <c r="AC27" s="192"/>
      <c r="AD27" s="192"/>
      <c r="AE27" s="193"/>
    </row>
    <row r="28" spans="1:31" x14ac:dyDescent="0.35">
      <c r="A28">
        <v>27</v>
      </c>
      <c r="B28" s="187" t="s">
        <v>190</v>
      </c>
      <c r="C28" s="287">
        <f>3016+2066</f>
        <v>5082</v>
      </c>
      <c r="D28" s="287">
        <f>1153+1501</f>
        <v>2654</v>
      </c>
      <c r="E28" s="287">
        <f>1374+3101</f>
        <v>4475</v>
      </c>
      <c r="F28" s="287">
        <f>2487+1653</f>
        <v>4140</v>
      </c>
      <c r="G28" s="287"/>
      <c r="H28" s="287"/>
      <c r="I28" s="287"/>
      <c r="J28" s="287">
        <v>465</v>
      </c>
      <c r="K28" s="320">
        <f>1192+2066</f>
        <v>3258</v>
      </c>
      <c r="L28" s="287">
        <v>1359</v>
      </c>
      <c r="M28" s="352" t="s">
        <v>3</v>
      </c>
      <c r="N28" s="192"/>
      <c r="O28" s="192"/>
      <c r="P28" s="192"/>
      <c r="Q28" s="192"/>
      <c r="R28" s="188"/>
      <c r="S28" s="188"/>
      <c r="U28" s="188"/>
      <c r="V28" s="188"/>
      <c r="W28" s="188"/>
      <c r="X28" s="188"/>
      <c r="Y28" s="188"/>
      <c r="Z28" s="189"/>
      <c r="AB28" s="188"/>
      <c r="AC28" s="188"/>
      <c r="AD28" s="188"/>
      <c r="AE28" s="189"/>
    </row>
    <row r="29" spans="1:31" x14ac:dyDescent="0.35">
      <c r="A29">
        <v>28</v>
      </c>
      <c r="B29" s="187" t="s">
        <v>192</v>
      </c>
      <c r="C29" s="287">
        <v>4609</v>
      </c>
      <c r="D29" s="287">
        <v>976</v>
      </c>
      <c r="E29" s="287">
        <v>1576</v>
      </c>
      <c r="F29" s="287">
        <v>7085</v>
      </c>
      <c r="G29" s="287"/>
      <c r="H29" s="287"/>
      <c r="I29" s="287"/>
      <c r="J29" s="287">
        <v>1194</v>
      </c>
      <c r="K29" s="320">
        <v>1615</v>
      </c>
      <c r="L29" s="287">
        <v>180</v>
      </c>
      <c r="M29" s="352" t="s">
        <v>3</v>
      </c>
      <c r="N29" s="192"/>
      <c r="O29" s="192"/>
      <c r="P29" s="192"/>
      <c r="Q29" s="192"/>
      <c r="R29" s="188"/>
      <c r="S29" s="188"/>
      <c r="U29" s="192"/>
      <c r="V29" s="192"/>
      <c r="W29" s="192"/>
      <c r="X29" s="192"/>
      <c r="Y29" s="192"/>
      <c r="Z29" s="193"/>
      <c r="AB29" s="192"/>
      <c r="AC29" s="192"/>
      <c r="AD29" s="192"/>
      <c r="AE29" s="193"/>
    </row>
    <row r="30" spans="1:31" x14ac:dyDescent="0.35">
      <c r="A30">
        <v>29</v>
      </c>
      <c r="B30" s="187" t="s">
        <v>206</v>
      </c>
      <c r="C30" s="287">
        <f>3798+450</f>
        <v>4248</v>
      </c>
      <c r="D30" s="287">
        <f>1006+1490</f>
        <v>2496</v>
      </c>
      <c r="E30" s="287">
        <f>1436+671</f>
        <v>2107</v>
      </c>
      <c r="F30" s="287">
        <f>3038+360</f>
        <v>3398</v>
      </c>
      <c r="G30" s="287"/>
      <c r="H30" s="287"/>
      <c r="I30" s="287"/>
      <c r="J30" s="287">
        <v>119</v>
      </c>
      <c r="K30" s="320">
        <f>1428+450</f>
        <v>1878</v>
      </c>
      <c r="L30" s="287">
        <v>2251</v>
      </c>
      <c r="M30" s="352" t="s">
        <v>3</v>
      </c>
      <c r="N30" s="192"/>
      <c r="O30" s="192"/>
      <c r="P30" s="192"/>
      <c r="Q30" s="192"/>
      <c r="R30" s="188"/>
      <c r="S30" s="188"/>
      <c r="U30" s="188"/>
      <c r="V30" s="188"/>
      <c r="W30" s="188"/>
      <c r="X30" s="188"/>
      <c r="Y30" s="188"/>
      <c r="Z30" s="189"/>
      <c r="AB30" s="192"/>
      <c r="AC30" s="192"/>
      <c r="AD30" s="192"/>
      <c r="AE30" s="193"/>
    </row>
    <row r="31" spans="1:31" x14ac:dyDescent="0.35">
      <c r="A31">
        <v>30</v>
      </c>
      <c r="B31" s="187" t="s">
        <v>201</v>
      </c>
      <c r="C31" s="287">
        <v>3773</v>
      </c>
      <c r="D31" s="287">
        <v>1195</v>
      </c>
      <c r="E31" s="287">
        <v>140</v>
      </c>
      <c r="F31" s="287">
        <v>6097</v>
      </c>
      <c r="G31" s="287"/>
      <c r="H31" s="287"/>
      <c r="I31" s="287"/>
      <c r="J31" s="287">
        <v>1138</v>
      </c>
      <c r="K31" s="320">
        <v>1171</v>
      </c>
      <c r="L31" s="287">
        <v>1463</v>
      </c>
      <c r="M31" s="352" t="s">
        <v>3</v>
      </c>
      <c r="N31" s="192"/>
      <c r="O31" s="192"/>
      <c r="P31" s="192"/>
      <c r="Q31" s="192"/>
      <c r="R31" s="188"/>
      <c r="S31" s="188"/>
      <c r="U31" s="188"/>
      <c r="V31" s="188"/>
      <c r="W31" s="188"/>
      <c r="X31" s="188"/>
      <c r="Y31" s="188"/>
      <c r="Z31" s="189"/>
      <c r="AB31" s="188"/>
      <c r="AC31" s="188"/>
      <c r="AD31" s="188"/>
      <c r="AE31" s="189"/>
    </row>
    <row r="32" spans="1:31" x14ac:dyDescent="0.35">
      <c r="A32">
        <v>31</v>
      </c>
      <c r="B32" s="187" t="s">
        <v>194</v>
      </c>
      <c r="C32" s="287">
        <v>3357</v>
      </c>
      <c r="D32" s="287">
        <v>1055</v>
      </c>
      <c r="E32" s="287">
        <v>1320</v>
      </c>
      <c r="F32" s="287">
        <v>4642</v>
      </c>
      <c r="G32" s="287"/>
      <c r="H32" s="287"/>
      <c r="I32" s="287"/>
      <c r="J32" s="287">
        <v>663</v>
      </c>
      <c r="K32" s="320">
        <v>1251</v>
      </c>
      <c r="L32" s="287">
        <v>1442</v>
      </c>
      <c r="M32" s="352" t="s">
        <v>3</v>
      </c>
      <c r="N32" s="192"/>
      <c r="O32" s="192"/>
      <c r="P32" s="192"/>
      <c r="Q32" s="192"/>
      <c r="R32" s="192"/>
      <c r="S32" s="192"/>
      <c r="U32" s="192"/>
      <c r="V32" s="192"/>
      <c r="W32" s="192"/>
      <c r="X32" s="192"/>
      <c r="Y32" s="192"/>
      <c r="Z32" s="193"/>
      <c r="AB32" s="192"/>
      <c r="AC32" s="192"/>
      <c r="AD32" s="192"/>
      <c r="AE32" s="193"/>
    </row>
    <row r="33" spans="1:31" x14ac:dyDescent="0.35">
      <c r="A33">
        <v>32</v>
      </c>
      <c r="B33" s="187" t="s">
        <v>195</v>
      </c>
      <c r="C33" s="287">
        <v>3130</v>
      </c>
      <c r="D33" s="287">
        <v>1106</v>
      </c>
      <c r="E33" s="287">
        <v>1027</v>
      </c>
      <c r="F33" s="287">
        <v>3804</v>
      </c>
      <c r="G33" s="287"/>
      <c r="H33" s="287"/>
      <c r="I33" s="287"/>
      <c r="J33" s="287">
        <v>976</v>
      </c>
      <c r="K33" s="320">
        <v>929</v>
      </c>
      <c r="L33" s="287">
        <v>1225</v>
      </c>
      <c r="M33" s="352" t="s">
        <v>3</v>
      </c>
      <c r="N33" s="192"/>
      <c r="O33" s="192"/>
      <c r="P33" s="192"/>
      <c r="Q33" s="192"/>
      <c r="R33" s="188"/>
      <c r="S33" s="188"/>
      <c r="U33" s="188"/>
      <c r="V33" s="188"/>
      <c r="W33" s="188"/>
      <c r="X33" s="188"/>
      <c r="Y33" s="188"/>
      <c r="Z33" s="189"/>
      <c r="AB33" s="188"/>
      <c r="AC33" s="188"/>
      <c r="AD33" s="188"/>
      <c r="AE33" s="189"/>
    </row>
    <row r="34" spans="1:31" x14ac:dyDescent="0.35">
      <c r="A34">
        <v>33</v>
      </c>
      <c r="B34" s="187" t="s">
        <v>208</v>
      </c>
      <c r="C34" s="287">
        <v>2029</v>
      </c>
      <c r="D34" s="287">
        <v>1192</v>
      </c>
      <c r="E34" s="287">
        <v>574</v>
      </c>
      <c r="F34" s="287">
        <v>2232</v>
      </c>
      <c r="G34" s="287"/>
      <c r="H34" s="287"/>
      <c r="I34" s="287"/>
      <c r="J34" s="287">
        <v>886</v>
      </c>
      <c r="K34" s="320">
        <v>481</v>
      </c>
      <c r="L34" s="287">
        <v>662</v>
      </c>
      <c r="M34" s="352" t="s">
        <v>3</v>
      </c>
      <c r="N34" s="188"/>
      <c r="O34" s="188"/>
      <c r="P34" s="188"/>
      <c r="Q34" s="188"/>
      <c r="R34" s="188"/>
      <c r="S34" s="188"/>
      <c r="U34" s="188"/>
      <c r="V34" s="188"/>
      <c r="W34" s="188"/>
      <c r="X34" s="188"/>
      <c r="Y34" s="188"/>
      <c r="Z34" s="189"/>
      <c r="AB34" s="188"/>
      <c r="AC34" s="188"/>
      <c r="AD34" s="188"/>
      <c r="AE34" s="189"/>
    </row>
    <row r="35" spans="1:31" x14ac:dyDescent="0.35">
      <c r="A35">
        <v>34</v>
      </c>
      <c r="B35" s="187" t="s">
        <v>205</v>
      </c>
      <c r="C35" s="287">
        <v>1432</v>
      </c>
      <c r="D35" s="287">
        <v>508</v>
      </c>
      <c r="E35" s="287">
        <v>291</v>
      </c>
      <c r="F35" s="287">
        <v>13792</v>
      </c>
      <c r="G35" s="287"/>
      <c r="H35" s="287"/>
      <c r="I35" s="287"/>
      <c r="J35" s="287">
        <v>140</v>
      </c>
      <c r="K35" s="320">
        <v>572</v>
      </c>
      <c r="L35" s="287">
        <v>720</v>
      </c>
      <c r="M35" s="352" t="s">
        <v>3</v>
      </c>
      <c r="N35" s="192"/>
      <c r="O35" s="192"/>
      <c r="P35" s="192"/>
      <c r="Q35" s="192"/>
      <c r="R35" s="192"/>
      <c r="S35" s="192"/>
      <c r="U35" s="192"/>
      <c r="V35" s="192"/>
      <c r="W35" s="192"/>
      <c r="X35" s="192"/>
      <c r="Y35" s="192"/>
      <c r="Z35" s="193"/>
      <c r="AB35" s="192"/>
      <c r="AC35" s="192"/>
      <c r="AD35" s="192"/>
      <c r="AE35" s="193"/>
    </row>
    <row r="36" spans="1:31" x14ac:dyDescent="0.35">
      <c r="A36">
        <v>35</v>
      </c>
      <c r="B36" s="187" t="s">
        <v>213</v>
      </c>
      <c r="C36" s="287">
        <v>1429</v>
      </c>
      <c r="D36" s="287">
        <v>1112</v>
      </c>
      <c r="E36" s="287">
        <v>555</v>
      </c>
      <c r="F36" s="287">
        <v>1428</v>
      </c>
      <c r="G36" s="287"/>
      <c r="H36" s="287"/>
      <c r="I36" s="287"/>
      <c r="J36" s="287">
        <v>263</v>
      </c>
      <c r="K36" s="320">
        <v>499</v>
      </c>
      <c r="L36" s="287">
        <v>667</v>
      </c>
      <c r="M36" s="352" t="s">
        <v>3</v>
      </c>
      <c r="N36" s="192"/>
      <c r="O36" s="192"/>
      <c r="P36" s="192"/>
      <c r="Q36" s="192"/>
      <c r="R36" s="192"/>
      <c r="S36" s="192"/>
      <c r="U36" s="192"/>
      <c r="V36" s="192"/>
      <c r="W36" s="192"/>
      <c r="X36" s="192"/>
      <c r="Y36" s="192"/>
      <c r="Z36" s="193"/>
      <c r="AB36" s="192"/>
      <c r="AC36" s="192"/>
      <c r="AD36" s="192"/>
      <c r="AE36" s="193"/>
    </row>
    <row r="37" spans="1:31" x14ac:dyDescent="0.35">
      <c r="A37">
        <v>36</v>
      </c>
      <c r="B37" s="187" t="s">
        <v>196</v>
      </c>
      <c r="C37" s="287">
        <v>1395</v>
      </c>
      <c r="D37" s="287">
        <v>970</v>
      </c>
      <c r="E37" s="287">
        <v>362</v>
      </c>
      <c r="F37" s="287">
        <v>2928</v>
      </c>
      <c r="G37" s="287"/>
      <c r="H37" s="287"/>
      <c r="I37" s="287"/>
      <c r="J37" s="287">
        <v>336</v>
      </c>
      <c r="K37" s="320">
        <v>374</v>
      </c>
      <c r="L37" s="287">
        <v>685</v>
      </c>
      <c r="M37" s="352" t="s">
        <v>3</v>
      </c>
      <c r="N37" s="188"/>
      <c r="O37" s="188"/>
      <c r="P37" s="188"/>
      <c r="Q37" s="188"/>
      <c r="R37" s="188"/>
      <c r="S37" s="188"/>
      <c r="U37" s="188"/>
      <c r="V37" s="188"/>
      <c r="W37" s="188"/>
      <c r="X37" s="188"/>
      <c r="Y37" s="188"/>
      <c r="Z37" s="189"/>
      <c r="AB37" s="188"/>
      <c r="AC37" s="188"/>
      <c r="AD37" s="188"/>
      <c r="AE37" s="189"/>
    </row>
    <row r="38" spans="1:31" x14ac:dyDescent="0.35">
      <c r="A38">
        <v>37</v>
      </c>
      <c r="B38" s="187" t="s">
        <v>211</v>
      </c>
      <c r="C38" s="287">
        <f>1234+150</f>
        <v>1384</v>
      </c>
      <c r="D38" s="287">
        <f>957+1280</f>
        <v>2237</v>
      </c>
      <c r="E38" s="287">
        <f>544+192</f>
        <v>736</v>
      </c>
      <c r="F38" s="287">
        <f>4674+120</f>
        <v>4794</v>
      </c>
      <c r="G38" s="287"/>
      <c r="H38" s="287"/>
      <c r="I38" s="287"/>
      <c r="J38" s="287">
        <v>17</v>
      </c>
      <c r="K38" s="320">
        <f>569+150</f>
        <v>719</v>
      </c>
      <c r="L38" s="287">
        <v>649</v>
      </c>
      <c r="M38" s="352" t="s">
        <v>3</v>
      </c>
      <c r="N38" s="188"/>
      <c r="O38" s="188"/>
      <c r="P38" s="188"/>
      <c r="Q38" s="188"/>
      <c r="R38" s="188"/>
      <c r="S38" s="188"/>
      <c r="U38" s="188"/>
      <c r="V38" s="188"/>
      <c r="W38" s="188"/>
      <c r="X38" s="188"/>
      <c r="Y38" s="188"/>
      <c r="Z38" s="189"/>
      <c r="AB38" s="188"/>
      <c r="AC38" s="188"/>
      <c r="AD38" s="188"/>
      <c r="AE38" s="189"/>
    </row>
    <row r="39" spans="1:31" x14ac:dyDescent="0.35">
      <c r="A39">
        <v>38</v>
      </c>
      <c r="B39" s="187" t="s">
        <v>198</v>
      </c>
      <c r="C39" s="287">
        <v>1203</v>
      </c>
      <c r="D39" s="287">
        <v>1034</v>
      </c>
      <c r="E39" s="287">
        <v>287</v>
      </c>
      <c r="F39" s="287">
        <v>1385</v>
      </c>
      <c r="G39" s="287"/>
      <c r="H39" s="287"/>
      <c r="I39" s="287"/>
      <c r="J39" s="287">
        <v>275</v>
      </c>
      <c r="K39" s="320">
        <v>277</v>
      </c>
      <c r="L39" s="287">
        <v>651</v>
      </c>
      <c r="M39" s="352" t="s">
        <v>3</v>
      </c>
      <c r="N39" s="188"/>
      <c r="O39" s="188"/>
      <c r="P39" s="188"/>
      <c r="Q39" s="188"/>
      <c r="R39" s="188"/>
      <c r="S39" s="188"/>
      <c r="U39" s="188"/>
      <c r="V39" s="188"/>
      <c r="W39" s="188"/>
      <c r="X39" s="188"/>
      <c r="Y39" s="188"/>
      <c r="Z39" s="189"/>
      <c r="AB39" s="188"/>
      <c r="AC39" s="188"/>
      <c r="AD39" s="188"/>
      <c r="AE39" s="189"/>
    </row>
    <row r="40" spans="1:31" x14ac:dyDescent="0.35">
      <c r="A40">
        <v>39</v>
      </c>
      <c r="B40" s="187" t="s">
        <v>193</v>
      </c>
      <c r="C40" s="287">
        <v>928</v>
      </c>
      <c r="D40" s="287">
        <v>499</v>
      </c>
      <c r="E40" s="287">
        <v>152</v>
      </c>
      <c r="F40" s="287">
        <v>1108</v>
      </c>
      <c r="G40" s="287"/>
      <c r="H40" s="287"/>
      <c r="I40" s="287"/>
      <c r="J40" s="287">
        <v>289</v>
      </c>
      <c r="K40" s="320">
        <v>304</v>
      </c>
      <c r="L40" s="287">
        <v>335</v>
      </c>
      <c r="M40" s="352" t="s">
        <v>3</v>
      </c>
      <c r="N40" s="192"/>
      <c r="O40" s="192"/>
      <c r="P40" s="192"/>
      <c r="Q40" s="192"/>
      <c r="R40" s="188"/>
      <c r="S40" s="188"/>
      <c r="U40" s="188"/>
      <c r="V40" s="188"/>
      <c r="W40" s="188"/>
      <c r="X40" s="188"/>
      <c r="Y40" s="188"/>
      <c r="Z40" s="189"/>
      <c r="AB40" s="188"/>
      <c r="AC40" s="188"/>
      <c r="AD40" s="188"/>
      <c r="AE40" s="189"/>
    </row>
    <row r="41" spans="1:31" x14ac:dyDescent="0.35">
      <c r="A41">
        <v>40</v>
      </c>
      <c r="B41" s="187" t="s">
        <v>212</v>
      </c>
      <c r="C41" s="287">
        <v>896</v>
      </c>
      <c r="D41" s="287">
        <v>824</v>
      </c>
      <c r="E41" s="287">
        <v>181</v>
      </c>
      <c r="F41" s="287">
        <v>1051</v>
      </c>
      <c r="G41" s="287"/>
      <c r="H41" s="287"/>
      <c r="I41" s="287"/>
      <c r="J41" s="287">
        <v>298</v>
      </c>
      <c r="K41" s="320">
        <v>220</v>
      </c>
      <c r="L41" s="287">
        <v>378</v>
      </c>
      <c r="M41" s="352" t="s">
        <v>3</v>
      </c>
      <c r="N41" s="192"/>
      <c r="O41" s="192"/>
      <c r="P41" s="192"/>
      <c r="Q41" s="192"/>
      <c r="R41" s="188"/>
      <c r="S41" s="188"/>
      <c r="U41" s="192"/>
      <c r="V41" s="192"/>
      <c r="W41" s="192"/>
      <c r="X41" s="192"/>
      <c r="Y41" s="192"/>
      <c r="Z41" s="193"/>
      <c r="AB41" s="192"/>
      <c r="AC41" s="192"/>
      <c r="AD41" s="192"/>
      <c r="AE41" s="193"/>
    </row>
    <row r="42" spans="1:31" x14ac:dyDescent="0.35">
      <c r="A42">
        <v>41</v>
      </c>
      <c r="B42" s="187" t="s">
        <v>621</v>
      </c>
      <c r="C42" s="287">
        <v>618</v>
      </c>
      <c r="D42" s="287">
        <v>657</v>
      </c>
      <c r="E42" s="287">
        <v>101</v>
      </c>
      <c r="F42" s="287">
        <v>321</v>
      </c>
      <c r="G42" s="287"/>
      <c r="H42" s="287"/>
      <c r="I42" s="287"/>
      <c r="J42" s="287">
        <v>233</v>
      </c>
      <c r="K42" s="320">
        <v>154</v>
      </c>
      <c r="L42" s="287">
        <v>231</v>
      </c>
      <c r="M42" s="352" t="s">
        <v>3</v>
      </c>
      <c r="N42" s="188"/>
      <c r="O42" s="188"/>
      <c r="P42" s="188"/>
      <c r="Q42" s="188"/>
      <c r="R42" s="188"/>
      <c r="S42" s="188"/>
      <c r="U42" s="188"/>
      <c r="V42" s="188"/>
      <c r="W42" s="188"/>
      <c r="X42" s="188"/>
      <c r="Y42" s="188"/>
      <c r="Z42" s="189"/>
      <c r="AB42" s="188"/>
      <c r="AC42" s="188"/>
      <c r="AD42" s="188"/>
      <c r="AE42" s="189"/>
    </row>
    <row r="43" spans="1:31" x14ac:dyDescent="0.35">
      <c r="A43">
        <v>42</v>
      </c>
      <c r="B43" s="187" t="s">
        <v>203</v>
      </c>
      <c r="C43" s="287">
        <v>535</v>
      </c>
      <c r="D43" s="287">
        <v>1008</v>
      </c>
      <c r="E43" s="287">
        <v>198</v>
      </c>
      <c r="F43" s="287">
        <v>561</v>
      </c>
      <c r="G43" s="287"/>
      <c r="H43" s="287"/>
      <c r="I43" s="287"/>
      <c r="J43" s="287">
        <v>89</v>
      </c>
      <c r="K43" s="320">
        <v>196</v>
      </c>
      <c r="L43" s="287">
        <v>250</v>
      </c>
      <c r="M43" s="352" t="s">
        <v>3</v>
      </c>
      <c r="N43" s="192"/>
      <c r="O43" s="192"/>
      <c r="P43" s="192"/>
      <c r="Q43" s="192"/>
      <c r="R43" s="188"/>
      <c r="S43" s="188"/>
      <c r="U43" s="188"/>
      <c r="V43" s="188"/>
      <c r="W43" s="188"/>
      <c r="X43" s="188"/>
      <c r="Y43" s="188"/>
      <c r="Z43" s="189"/>
      <c r="AB43" s="188"/>
      <c r="AC43" s="188"/>
      <c r="AD43" s="188"/>
      <c r="AE43" s="189"/>
    </row>
    <row r="44" spans="1:31" x14ac:dyDescent="0.35">
      <c r="A44">
        <v>43</v>
      </c>
      <c r="B44" s="187" t="s">
        <v>202</v>
      </c>
      <c r="C44" s="287">
        <v>435</v>
      </c>
      <c r="D44" s="287">
        <v>706</v>
      </c>
      <c r="E44" s="287">
        <v>125</v>
      </c>
      <c r="F44" s="287">
        <v>294</v>
      </c>
      <c r="G44" s="287"/>
      <c r="H44" s="287"/>
      <c r="I44" s="287"/>
      <c r="J44" s="287">
        <v>46</v>
      </c>
      <c r="K44" s="320">
        <v>178</v>
      </c>
      <c r="L44" s="287">
        <v>211</v>
      </c>
      <c r="M44" s="352" t="s">
        <v>3</v>
      </c>
      <c r="N44" s="188"/>
      <c r="O44" s="188"/>
      <c r="P44" s="188"/>
      <c r="Q44" s="188"/>
      <c r="R44" s="188"/>
      <c r="S44" s="188"/>
      <c r="U44" s="188"/>
      <c r="V44" s="188"/>
      <c r="W44" s="188"/>
      <c r="X44" s="188"/>
      <c r="Y44" s="188"/>
      <c r="Z44" s="189"/>
      <c r="AB44" s="188"/>
      <c r="AC44" s="188"/>
      <c r="AD44" s="188"/>
      <c r="AE44" s="189"/>
    </row>
    <row r="45" spans="1:31" x14ac:dyDescent="0.35">
      <c r="A45">
        <v>44</v>
      </c>
      <c r="B45" s="187" t="s">
        <v>199</v>
      </c>
      <c r="C45" s="287">
        <v>394</v>
      </c>
      <c r="D45" s="287">
        <v>1175</v>
      </c>
      <c r="E45" s="287">
        <v>130</v>
      </c>
      <c r="F45" s="287">
        <v>469</v>
      </c>
      <c r="G45" s="287"/>
      <c r="H45" s="287"/>
      <c r="I45" s="287"/>
      <c r="J45" s="287">
        <v>140</v>
      </c>
      <c r="K45" s="320">
        <v>111</v>
      </c>
      <c r="L45" s="287">
        <v>143</v>
      </c>
      <c r="M45" s="352" t="s">
        <v>3</v>
      </c>
      <c r="N45" s="188"/>
      <c r="O45" s="188"/>
      <c r="P45" s="188"/>
      <c r="Q45" s="188"/>
      <c r="R45" s="188"/>
      <c r="S45" s="188"/>
      <c r="U45" s="188"/>
      <c r="V45" s="188"/>
      <c r="W45" s="188"/>
      <c r="X45" s="188"/>
      <c r="Y45" s="188"/>
      <c r="Z45" s="189"/>
      <c r="AB45" s="188"/>
      <c r="AC45" s="188"/>
      <c r="AD45" s="188"/>
      <c r="AE45" s="189"/>
    </row>
    <row r="46" spans="1:31" x14ac:dyDescent="0.35">
      <c r="A46">
        <v>45</v>
      </c>
      <c r="B46" s="187" t="s">
        <v>207</v>
      </c>
      <c r="C46" s="287">
        <v>296</v>
      </c>
      <c r="D46" s="287">
        <v>1445</v>
      </c>
      <c r="E46" s="287">
        <v>113</v>
      </c>
      <c r="F46" s="287">
        <v>759</v>
      </c>
      <c r="G46" s="287"/>
      <c r="H46" s="287"/>
      <c r="I46" s="287"/>
      <c r="J46" s="287">
        <v>126</v>
      </c>
      <c r="K46" s="320">
        <v>78</v>
      </c>
      <c r="L46" s="287">
        <v>92</v>
      </c>
      <c r="M46" s="352" t="s">
        <v>3</v>
      </c>
      <c r="N46" s="192"/>
      <c r="O46" s="192"/>
      <c r="P46" s="192"/>
      <c r="Q46" s="192"/>
      <c r="R46" s="188"/>
      <c r="S46" s="188"/>
      <c r="U46" s="188"/>
      <c r="V46" s="188"/>
      <c r="W46" s="188"/>
      <c r="X46" s="188"/>
      <c r="Y46" s="188"/>
      <c r="Z46" s="189"/>
      <c r="AB46" s="188"/>
      <c r="AC46" s="188"/>
      <c r="AD46" s="188"/>
      <c r="AE46" s="189"/>
    </row>
    <row r="47" spans="1:31" x14ac:dyDescent="0.35">
      <c r="A47">
        <v>46</v>
      </c>
      <c r="B47" s="187" t="s">
        <v>204</v>
      </c>
      <c r="C47" s="287">
        <v>283</v>
      </c>
      <c r="D47" s="287">
        <v>1032</v>
      </c>
      <c r="E47" s="287">
        <v>109</v>
      </c>
      <c r="F47" s="287">
        <v>164</v>
      </c>
      <c r="G47" s="287"/>
      <c r="H47" s="287"/>
      <c r="I47" s="287"/>
      <c r="J47" s="287">
        <v>48</v>
      </c>
      <c r="K47" s="320">
        <v>105</v>
      </c>
      <c r="L47" s="287">
        <v>130</v>
      </c>
      <c r="M47" s="352" t="s">
        <v>3</v>
      </c>
      <c r="N47" s="192"/>
      <c r="O47" s="192"/>
      <c r="P47" s="192"/>
      <c r="Q47" s="192"/>
      <c r="R47" s="188"/>
      <c r="S47" s="188"/>
      <c r="U47" s="188"/>
      <c r="V47" s="188"/>
      <c r="W47" s="188"/>
      <c r="X47" s="188"/>
      <c r="Y47" s="188"/>
      <c r="Z47" s="189"/>
      <c r="AB47" s="188"/>
      <c r="AC47" s="188"/>
      <c r="AD47" s="188"/>
      <c r="AE47" s="189"/>
    </row>
    <row r="48" spans="1:31" x14ac:dyDescent="0.35">
      <c r="A48">
        <v>47</v>
      </c>
      <c r="B48" s="187" t="s">
        <v>1319</v>
      </c>
      <c r="C48" s="287">
        <v>264</v>
      </c>
      <c r="D48" s="287">
        <v>526</v>
      </c>
      <c r="E48" s="287">
        <v>45</v>
      </c>
      <c r="F48" s="287">
        <v>288</v>
      </c>
      <c r="G48" s="287"/>
      <c r="H48" s="287"/>
      <c r="I48" s="287"/>
      <c r="J48" s="287">
        <v>77</v>
      </c>
      <c r="K48" s="320">
        <v>85</v>
      </c>
      <c r="L48" s="287">
        <v>103</v>
      </c>
      <c r="M48" s="352" t="s">
        <v>3</v>
      </c>
      <c r="N48" s="192"/>
      <c r="O48" s="192"/>
      <c r="P48" s="192"/>
      <c r="Q48" s="192"/>
      <c r="R48" s="188"/>
      <c r="S48" s="188"/>
      <c r="U48" s="188"/>
      <c r="V48" s="188"/>
      <c r="W48" s="188"/>
      <c r="X48" s="188"/>
      <c r="Y48" s="188"/>
      <c r="Z48" s="189"/>
      <c r="AB48" s="188"/>
      <c r="AC48" s="188"/>
      <c r="AD48" s="188"/>
      <c r="AE48" s="189"/>
    </row>
    <row r="49" spans="1:31" x14ac:dyDescent="0.35">
      <c r="A49">
        <v>48</v>
      </c>
      <c r="B49" s="187" t="s">
        <v>210</v>
      </c>
      <c r="C49" s="287">
        <v>218</v>
      </c>
      <c r="D49" s="287">
        <v>707</v>
      </c>
      <c r="E49" s="287">
        <v>55</v>
      </c>
      <c r="F49" s="287">
        <v>342</v>
      </c>
      <c r="G49" s="287"/>
      <c r="H49" s="287"/>
      <c r="I49" s="287"/>
      <c r="J49" s="287">
        <v>42</v>
      </c>
      <c r="K49" s="320">
        <v>78</v>
      </c>
      <c r="L49" s="287">
        <v>98</v>
      </c>
      <c r="M49" s="352" t="s">
        <v>3</v>
      </c>
      <c r="N49" s="188"/>
      <c r="O49" s="188"/>
      <c r="P49" s="188"/>
      <c r="Q49" s="188"/>
      <c r="R49" s="188"/>
      <c r="S49" s="188"/>
      <c r="U49" s="188"/>
      <c r="V49" s="188"/>
      <c r="W49" s="188"/>
      <c r="X49" s="188"/>
      <c r="Y49" s="188"/>
      <c r="Z49" s="189"/>
      <c r="AB49" s="188"/>
      <c r="AC49" s="188"/>
      <c r="AD49" s="188"/>
      <c r="AE49" s="189"/>
    </row>
    <row r="50" spans="1:31" x14ac:dyDescent="0.35">
      <c r="A50">
        <v>49</v>
      </c>
      <c r="B50" s="187" t="s">
        <v>623</v>
      </c>
      <c r="C50" s="287">
        <v>135</v>
      </c>
      <c r="D50" s="287">
        <v>829</v>
      </c>
      <c r="E50" s="287">
        <v>49</v>
      </c>
      <c r="F50" s="287">
        <v>176</v>
      </c>
      <c r="G50" s="287"/>
      <c r="H50" s="287"/>
      <c r="I50" s="287"/>
      <c r="J50" s="287">
        <v>7</v>
      </c>
      <c r="K50" s="320">
        <v>59</v>
      </c>
      <c r="L50" s="287">
        <v>69</v>
      </c>
      <c r="M50" s="352" t="s">
        <v>3</v>
      </c>
      <c r="O50" s="188"/>
      <c r="P50" s="188"/>
      <c r="Q50" s="188"/>
      <c r="R50" s="188"/>
      <c r="S50" s="188"/>
      <c r="U50" s="188"/>
      <c r="V50" s="188"/>
      <c r="W50" s="190"/>
      <c r="X50" s="190"/>
      <c r="Y50" s="190"/>
      <c r="Z50" s="191"/>
      <c r="AB50" s="190"/>
      <c r="AC50" s="190"/>
      <c r="AD50" s="190"/>
      <c r="AE50" s="191"/>
    </row>
    <row r="51" spans="1:31" x14ac:dyDescent="0.35">
      <c r="A51">
        <v>50</v>
      </c>
      <c r="B51" s="184" t="s">
        <v>216</v>
      </c>
      <c r="C51" s="285">
        <v>3286</v>
      </c>
      <c r="D51" s="285">
        <v>42</v>
      </c>
      <c r="E51" s="285">
        <v>73</v>
      </c>
      <c r="F51" s="285">
        <v>2486</v>
      </c>
      <c r="G51" s="285"/>
      <c r="H51" s="285"/>
      <c r="I51" s="382"/>
      <c r="J51" s="285">
        <v>394</v>
      </c>
      <c r="K51" s="321">
        <v>1727</v>
      </c>
      <c r="L51" s="285">
        <v>1165</v>
      </c>
      <c r="M51" s="352" t="s">
        <v>4</v>
      </c>
      <c r="O51" s="198"/>
      <c r="P51" s="198"/>
      <c r="Q51" s="198"/>
      <c r="R51" s="198"/>
      <c r="S51" s="198"/>
      <c r="T51" s="198"/>
      <c r="U51" s="198"/>
      <c r="V51" s="198"/>
      <c r="X51" s="198"/>
      <c r="Y51" s="198"/>
      <c r="Z51" s="198"/>
      <c r="AA51" s="199"/>
    </row>
    <row r="52" spans="1:31" x14ac:dyDescent="0.35">
      <c r="A52">
        <v>51</v>
      </c>
      <c r="B52" s="184" t="s">
        <v>221</v>
      </c>
      <c r="C52" s="285">
        <v>27764</v>
      </c>
      <c r="D52" s="285">
        <v>924</v>
      </c>
      <c r="E52" s="285">
        <v>9207</v>
      </c>
      <c r="F52" s="285">
        <v>11595</v>
      </c>
      <c r="G52" s="285"/>
      <c r="H52" s="285"/>
      <c r="I52" s="382"/>
      <c r="J52" s="285">
        <v>10276</v>
      </c>
      <c r="K52" s="321">
        <v>9965</v>
      </c>
      <c r="L52" s="285">
        <v>7523</v>
      </c>
      <c r="M52" s="352" t="s">
        <v>4</v>
      </c>
      <c r="O52" s="198"/>
      <c r="P52" s="198"/>
      <c r="Q52" s="198"/>
      <c r="R52" s="198"/>
      <c r="S52" s="198"/>
      <c r="T52" s="198"/>
      <c r="U52" s="198"/>
      <c r="V52" s="198"/>
      <c r="X52" s="196"/>
      <c r="Y52" s="196"/>
      <c r="Z52" s="196"/>
      <c r="AA52" s="197"/>
    </row>
    <row r="53" spans="1:31" x14ac:dyDescent="0.35">
      <c r="A53">
        <v>52</v>
      </c>
      <c r="B53" s="184" t="s">
        <v>225</v>
      </c>
      <c r="C53" s="285">
        <v>25240</v>
      </c>
      <c r="D53" s="285">
        <v>911</v>
      </c>
      <c r="E53" s="285">
        <v>11892</v>
      </c>
      <c r="F53" s="285">
        <v>18738</v>
      </c>
      <c r="G53" s="285"/>
      <c r="H53" s="285"/>
      <c r="I53" s="382"/>
      <c r="J53" s="285">
        <v>6631</v>
      </c>
      <c r="K53" s="321">
        <v>13049</v>
      </c>
      <c r="L53" s="285">
        <v>5560</v>
      </c>
      <c r="M53" s="352" t="s">
        <v>4</v>
      </c>
      <c r="O53" s="198"/>
      <c r="P53" s="198"/>
      <c r="Q53" s="198"/>
      <c r="R53" s="198"/>
      <c r="S53" s="198"/>
      <c r="T53" s="198"/>
      <c r="U53" s="198"/>
      <c r="V53" s="198"/>
      <c r="X53" s="196"/>
      <c r="Y53" s="196"/>
      <c r="Z53" s="196"/>
      <c r="AA53" s="197"/>
    </row>
    <row r="54" spans="1:31" x14ac:dyDescent="0.35">
      <c r="A54">
        <v>53</v>
      </c>
      <c r="B54" s="184" t="s">
        <v>228</v>
      </c>
      <c r="C54" s="285">
        <v>18837</v>
      </c>
      <c r="D54" s="285">
        <v>753</v>
      </c>
      <c r="E54" s="285">
        <v>5099</v>
      </c>
      <c r="F54" s="285">
        <v>7045</v>
      </c>
      <c r="G54" s="285"/>
      <c r="H54" s="285"/>
      <c r="I54" s="382"/>
      <c r="J54" s="285">
        <v>7487</v>
      </c>
      <c r="K54" s="321">
        <v>6775</v>
      </c>
      <c r="L54" s="285">
        <v>4575</v>
      </c>
      <c r="M54" s="352" t="s">
        <v>4</v>
      </c>
      <c r="O54" s="198"/>
      <c r="P54" s="198"/>
      <c r="Q54" s="198"/>
      <c r="R54" s="198"/>
      <c r="S54" s="198"/>
      <c r="T54" s="198"/>
      <c r="U54" s="198"/>
      <c r="V54" s="198"/>
      <c r="X54" s="198"/>
      <c r="Y54" s="198"/>
      <c r="Z54" s="198"/>
      <c r="AA54" s="199"/>
    </row>
    <row r="55" spans="1:31" x14ac:dyDescent="0.35">
      <c r="A55">
        <v>54</v>
      </c>
      <c r="B55" s="184" t="s">
        <v>223</v>
      </c>
      <c r="C55" s="285">
        <f>9268+2049</f>
        <v>11317</v>
      </c>
      <c r="D55" s="285">
        <f>1062+1278</f>
        <v>2340</v>
      </c>
      <c r="E55" s="285">
        <f>3518+2618</f>
        <v>6136</v>
      </c>
      <c r="F55" s="285">
        <f>9597+1639</f>
        <v>11236</v>
      </c>
      <c r="G55" s="285"/>
      <c r="H55" s="285"/>
      <c r="I55" s="382"/>
      <c r="J55" s="285">
        <f>4326+2049</f>
        <v>6375</v>
      </c>
      <c r="K55" s="321">
        <v>3313</v>
      </c>
      <c r="L55" s="285">
        <v>1629</v>
      </c>
      <c r="M55" s="352" t="s">
        <v>4</v>
      </c>
      <c r="O55" s="198"/>
      <c r="P55" s="198"/>
      <c r="Q55" s="198"/>
      <c r="R55" s="198"/>
      <c r="S55" s="198"/>
      <c r="T55" s="198"/>
      <c r="U55" s="198"/>
      <c r="V55" s="198"/>
      <c r="X55" s="198"/>
      <c r="Y55" s="198"/>
      <c r="Z55" s="198"/>
      <c r="AA55" s="199"/>
    </row>
    <row r="56" spans="1:31" x14ac:dyDescent="0.35">
      <c r="A56">
        <v>55</v>
      </c>
      <c r="B56" s="184" t="s">
        <v>224</v>
      </c>
      <c r="C56" s="285">
        <v>9195</v>
      </c>
      <c r="D56" s="285">
        <v>818</v>
      </c>
      <c r="E56" s="285">
        <v>2767</v>
      </c>
      <c r="F56" s="285">
        <v>8555</v>
      </c>
      <c r="G56" s="285"/>
      <c r="H56" s="285"/>
      <c r="I56" s="382"/>
      <c r="J56" s="285">
        <v>3964</v>
      </c>
      <c r="K56" s="321">
        <v>3382</v>
      </c>
      <c r="L56" s="285">
        <v>1849</v>
      </c>
      <c r="M56" s="352" t="s">
        <v>4</v>
      </c>
      <c r="O56" s="198"/>
      <c r="P56" s="198"/>
      <c r="Q56" s="198"/>
      <c r="R56" s="198"/>
      <c r="S56" s="198"/>
      <c r="T56" s="198"/>
      <c r="U56" s="198"/>
      <c r="V56" s="198"/>
      <c r="X56" s="198"/>
      <c r="Y56" s="198"/>
      <c r="Z56" s="198"/>
      <c r="AA56" s="199"/>
    </row>
    <row r="57" spans="1:31" x14ac:dyDescent="0.35">
      <c r="A57">
        <v>56</v>
      </c>
      <c r="B57" s="184" t="s">
        <v>220</v>
      </c>
      <c r="C57" s="285">
        <v>7081</v>
      </c>
      <c r="D57" s="285">
        <v>987</v>
      </c>
      <c r="E57" s="285">
        <v>2603</v>
      </c>
      <c r="F57" s="285">
        <v>10335</v>
      </c>
      <c r="G57" s="285"/>
      <c r="H57" s="285"/>
      <c r="I57" s="382"/>
      <c r="J57" s="285">
        <v>2590</v>
      </c>
      <c r="K57" s="321">
        <v>2637</v>
      </c>
      <c r="L57" s="285">
        <v>1854</v>
      </c>
      <c r="M57" s="352" t="s">
        <v>4</v>
      </c>
      <c r="O57" s="198"/>
      <c r="P57" s="198"/>
      <c r="Q57" s="198"/>
      <c r="R57" s="198"/>
      <c r="S57" s="198"/>
      <c r="T57" s="198"/>
      <c r="U57" s="198"/>
      <c r="V57" s="198"/>
      <c r="X57" s="198"/>
      <c r="Y57" s="198"/>
      <c r="Z57" s="198"/>
      <c r="AA57" s="199"/>
    </row>
    <row r="58" spans="1:31" x14ac:dyDescent="0.35">
      <c r="A58">
        <v>57</v>
      </c>
      <c r="B58" s="184" t="s">
        <v>217</v>
      </c>
      <c r="C58" s="285">
        <v>5164</v>
      </c>
      <c r="D58" s="285">
        <v>396</v>
      </c>
      <c r="E58" s="285">
        <v>786</v>
      </c>
      <c r="F58" s="285">
        <v>6790</v>
      </c>
      <c r="G58" s="285"/>
      <c r="H58" s="285"/>
      <c r="I58" s="382"/>
      <c r="J58" s="285">
        <v>2244</v>
      </c>
      <c r="K58" s="321">
        <v>1984</v>
      </c>
      <c r="L58" s="285">
        <v>936</v>
      </c>
      <c r="M58" s="352" t="s">
        <v>4</v>
      </c>
      <c r="O58" s="198"/>
      <c r="P58" s="198"/>
      <c r="Q58" s="198"/>
      <c r="R58" s="198"/>
      <c r="S58" s="198"/>
      <c r="T58" s="198"/>
      <c r="U58" s="198"/>
      <c r="V58" s="198"/>
      <c r="X58" s="198"/>
      <c r="Y58" s="198"/>
      <c r="Z58" s="198"/>
      <c r="AA58" s="199"/>
    </row>
    <row r="59" spans="1:31" x14ac:dyDescent="0.35">
      <c r="A59">
        <v>58</v>
      </c>
      <c r="B59" s="184" t="s">
        <v>219</v>
      </c>
      <c r="C59" s="285">
        <v>4726</v>
      </c>
      <c r="D59" s="285">
        <v>921</v>
      </c>
      <c r="E59" s="285">
        <v>1455</v>
      </c>
      <c r="F59" s="285">
        <v>3916</v>
      </c>
      <c r="G59" s="285"/>
      <c r="H59" s="285"/>
      <c r="I59" s="382"/>
      <c r="J59" s="285">
        <v>1998</v>
      </c>
      <c r="K59" s="321">
        <v>1580</v>
      </c>
      <c r="L59" s="285">
        <v>1148</v>
      </c>
      <c r="M59" s="352" t="s">
        <v>4</v>
      </c>
      <c r="O59" s="198"/>
      <c r="P59" s="198"/>
      <c r="Q59" s="198"/>
      <c r="R59" s="198"/>
      <c r="S59" s="198"/>
      <c r="T59" s="198"/>
      <c r="U59" s="198"/>
      <c r="V59" s="198"/>
      <c r="X59" s="198"/>
      <c r="Y59" s="198"/>
      <c r="Z59" s="198"/>
      <c r="AA59" s="199"/>
    </row>
    <row r="60" spans="1:31" x14ac:dyDescent="0.35">
      <c r="A60">
        <v>59</v>
      </c>
      <c r="B60" s="184" t="s">
        <v>231</v>
      </c>
      <c r="C60" s="285">
        <v>4059</v>
      </c>
      <c r="D60" s="285">
        <v>723</v>
      </c>
      <c r="E60" s="285">
        <v>1070</v>
      </c>
      <c r="F60" s="285">
        <v>3793</v>
      </c>
      <c r="G60" s="285"/>
      <c r="H60" s="285"/>
      <c r="I60" s="382"/>
      <c r="J60" s="285">
        <v>1895</v>
      </c>
      <c r="K60" s="321">
        <v>1480</v>
      </c>
      <c r="L60" s="285">
        <v>684</v>
      </c>
      <c r="M60" s="352" t="s">
        <v>4</v>
      </c>
      <c r="O60" s="198"/>
      <c r="P60" s="198"/>
      <c r="Q60" s="198"/>
      <c r="R60" s="196"/>
      <c r="S60" s="196"/>
      <c r="T60" s="196"/>
      <c r="U60" s="196"/>
      <c r="V60" s="196"/>
      <c r="X60" s="196"/>
      <c r="Y60" s="196"/>
      <c r="Z60" s="196"/>
      <c r="AA60" s="197"/>
    </row>
    <row r="61" spans="1:31" x14ac:dyDescent="0.35">
      <c r="A61">
        <v>60</v>
      </c>
      <c r="B61" s="184" t="s">
        <v>218</v>
      </c>
      <c r="C61" s="285">
        <v>3969</v>
      </c>
      <c r="D61" s="285">
        <v>725</v>
      </c>
      <c r="E61" s="285">
        <v>1193</v>
      </c>
      <c r="F61" s="285">
        <v>5288</v>
      </c>
      <c r="G61" s="285"/>
      <c r="H61" s="285"/>
      <c r="I61" s="382"/>
      <c r="J61" s="285">
        <v>1735</v>
      </c>
      <c r="K61" s="321">
        <v>1647</v>
      </c>
      <c r="L61" s="285">
        <v>587</v>
      </c>
      <c r="M61" s="352" t="s">
        <v>4</v>
      </c>
      <c r="O61" s="198"/>
      <c r="P61" s="198"/>
      <c r="Q61" s="198"/>
      <c r="R61" s="198"/>
      <c r="S61" s="198"/>
      <c r="T61" s="198"/>
      <c r="U61" s="198"/>
      <c r="V61" s="198"/>
      <c r="X61" s="198"/>
      <c r="Y61" s="198"/>
      <c r="Z61" s="198"/>
      <c r="AA61" s="199"/>
    </row>
    <row r="62" spans="1:31" x14ac:dyDescent="0.35">
      <c r="A62">
        <v>61</v>
      </c>
      <c r="B62" s="184" t="s">
        <v>227</v>
      </c>
      <c r="C62" s="285">
        <v>3968</v>
      </c>
      <c r="D62" s="285">
        <v>912</v>
      </c>
      <c r="E62" s="285">
        <v>1506</v>
      </c>
      <c r="F62" s="285">
        <v>6632</v>
      </c>
      <c r="G62" s="285"/>
      <c r="H62" s="285"/>
      <c r="I62" s="382"/>
      <c r="J62" s="285">
        <v>1316</v>
      </c>
      <c r="K62" s="321">
        <v>1651</v>
      </c>
      <c r="L62" s="285">
        <v>1001</v>
      </c>
      <c r="M62" s="352" t="s">
        <v>4</v>
      </c>
      <c r="O62" s="198"/>
      <c r="P62" s="198"/>
      <c r="Q62" s="198"/>
      <c r="R62" s="198"/>
      <c r="S62" s="198"/>
      <c r="T62" s="198"/>
      <c r="U62" s="198"/>
      <c r="V62" s="198"/>
      <c r="X62" s="198"/>
      <c r="Y62" s="198"/>
      <c r="Z62" s="198"/>
      <c r="AA62" s="199"/>
    </row>
    <row r="63" spans="1:31" x14ac:dyDescent="0.35">
      <c r="A63">
        <v>62</v>
      </c>
      <c r="B63" s="184" t="s">
        <v>226</v>
      </c>
      <c r="C63" s="285">
        <v>2850</v>
      </c>
      <c r="D63" s="285">
        <v>873</v>
      </c>
      <c r="E63" s="285">
        <v>715</v>
      </c>
      <c r="F63" s="285">
        <v>4848</v>
      </c>
      <c r="G63" s="285"/>
      <c r="H63" s="285"/>
      <c r="I63" s="382"/>
      <c r="J63" s="285">
        <v>1294</v>
      </c>
      <c r="K63" s="321">
        <v>818</v>
      </c>
      <c r="L63" s="285">
        <v>738</v>
      </c>
      <c r="M63" s="352" t="s">
        <v>4</v>
      </c>
      <c r="O63" s="198"/>
      <c r="P63" s="198"/>
      <c r="Q63" s="198"/>
      <c r="R63" s="196"/>
      <c r="S63" s="196"/>
      <c r="T63" s="196"/>
      <c r="U63" s="196"/>
      <c r="V63" s="196"/>
      <c r="X63" s="196"/>
      <c r="Y63" s="196"/>
      <c r="Z63" s="196"/>
      <c r="AA63" s="197"/>
    </row>
    <row r="64" spans="1:31" x14ac:dyDescent="0.35">
      <c r="A64">
        <v>63</v>
      </c>
      <c r="B64" s="184" t="s">
        <v>234</v>
      </c>
      <c r="C64" s="285">
        <v>1651</v>
      </c>
      <c r="D64" s="285">
        <v>729</v>
      </c>
      <c r="E64" s="285">
        <v>735</v>
      </c>
      <c r="F64" s="285">
        <v>3602</v>
      </c>
      <c r="G64" s="285"/>
      <c r="H64" s="285"/>
      <c r="I64" s="382"/>
      <c r="J64" s="285">
        <v>191</v>
      </c>
      <c r="K64" s="321">
        <v>1009</v>
      </c>
      <c r="L64" s="285">
        <v>451</v>
      </c>
      <c r="M64" s="352" t="s">
        <v>4</v>
      </c>
      <c r="O64" s="196"/>
      <c r="P64" s="196"/>
      <c r="Q64" s="196"/>
      <c r="R64" s="196"/>
      <c r="S64" s="196"/>
      <c r="T64" s="196"/>
      <c r="U64" s="196"/>
      <c r="V64" s="196"/>
      <c r="X64" s="196"/>
      <c r="Y64" s="196"/>
      <c r="Z64" s="196"/>
      <c r="AA64" s="197"/>
    </row>
    <row r="65" spans="1:27" x14ac:dyDescent="0.35">
      <c r="A65">
        <v>64</v>
      </c>
      <c r="B65" s="184" t="s">
        <v>222</v>
      </c>
      <c r="C65" s="285">
        <v>1062</v>
      </c>
      <c r="D65" s="285">
        <v>164</v>
      </c>
      <c r="E65" s="285">
        <v>96</v>
      </c>
      <c r="F65" s="285">
        <v>663</v>
      </c>
      <c r="G65" s="285"/>
      <c r="H65" s="285"/>
      <c r="I65" s="382"/>
      <c r="J65" s="285">
        <v>18</v>
      </c>
      <c r="K65" s="321">
        <v>589</v>
      </c>
      <c r="L65" s="285">
        <v>455</v>
      </c>
      <c r="M65" s="352" t="s">
        <v>4</v>
      </c>
      <c r="O65" s="198"/>
      <c r="P65" s="198"/>
      <c r="Q65" s="198"/>
      <c r="R65" s="198"/>
      <c r="S65" s="198"/>
      <c r="T65" s="198"/>
      <c r="U65" s="198"/>
      <c r="V65" s="198"/>
      <c r="X65" s="196"/>
      <c r="Y65" s="196"/>
      <c r="Z65" s="196"/>
      <c r="AA65" s="197"/>
    </row>
    <row r="66" spans="1:27" x14ac:dyDescent="0.35">
      <c r="A66">
        <v>65</v>
      </c>
      <c r="B66" s="184" t="s">
        <v>230</v>
      </c>
      <c r="C66" s="285">
        <v>694</v>
      </c>
      <c r="D66" s="285">
        <v>642</v>
      </c>
      <c r="E66" s="285">
        <v>184</v>
      </c>
      <c r="F66" s="285">
        <v>491</v>
      </c>
      <c r="G66" s="285"/>
      <c r="H66" s="285"/>
      <c r="I66" s="382"/>
      <c r="J66" s="285">
        <v>151</v>
      </c>
      <c r="K66" s="321">
        <v>286</v>
      </c>
      <c r="L66" s="285">
        <v>257</v>
      </c>
      <c r="M66" s="352" t="s">
        <v>4</v>
      </c>
      <c r="O66" s="196"/>
      <c r="P66" s="196"/>
      <c r="Q66" s="196"/>
      <c r="R66" s="196"/>
      <c r="S66" s="196"/>
      <c r="T66" s="196"/>
      <c r="U66" s="196"/>
      <c r="V66" s="196"/>
      <c r="X66" s="196"/>
      <c r="Y66" s="196"/>
      <c r="Z66" s="196"/>
      <c r="AA66" s="197"/>
    </row>
    <row r="67" spans="1:27" x14ac:dyDescent="0.35">
      <c r="A67">
        <v>66</v>
      </c>
      <c r="B67" s="184" t="s">
        <v>229</v>
      </c>
      <c r="C67" s="285">
        <v>160</v>
      </c>
      <c r="D67" s="285">
        <v>773</v>
      </c>
      <c r="E67" s="285">
        <v>506</v>
      </c>
      <c r="F67" s="285">
        <v>1742</v>
      </c>
      <c r="G67" s="285"/>
      <c r="H67" s="285"/>
      <c r="I67" s="382"/>
      <c r="J67" s="285">
        <v>536</v>
      </c>
      <c r="K67" s="321">
        <v>654</v>
      </c>
      <c r="L67" s="285">
        <v>410</v>
      </c>
      <c r="M67" s="352" t="s">
        <v>4</v>
      </c>
      <c r="O67" s="196"/>
      <c r="P67" s="196"/>
      <c r="Q67" s="196"/>
      <c r="R67" s="196"/>
      <c r="S67" s="196"/>
      <c r="T67" s="196"/>
      <c r="U67" s="196"/>
      <c r="V67" s="196"/>
      <c r="X67" s="196"/>
      <c r="Y67" s="196"/>
      <c r="Z67" s="196"/>
      <c r="AA67" s="197"/>
    </row>
    <row r="68" spans="1:27" x14ac:dyDescent="0.35">
      <c r="A68">
        <v>67</v>
      </c>
      <c r="B68" s="184" t="s">
        <v>233</v>
      </c>
      <c r="C68" s="285">
        <v>59</v>
      </c>
      <c r="D68" s="285">
        <v>484</v>
      </c>
      <c r="E68" s="285">
        <v>11</v>
      </c>
      <c r="F68" s="285">
        <v>754</v>
      </c>
      <c r="G68" s="285"/>
      <c r="H68" s="285"/>
      <c r="I68" s="382"/>
      <c r="J68" s="285">
        <v>2</v>
      </c>
      <c r="K68" s="321">
        <v>23</v>
      </c>
      <c r="L68" s="285">
        <v>34</v>
      </c>
      <c r="M68" s="352" t="s">
        <v>4</v>
      </c>
      <c r="O68" s="198"/>
      <c r="P68" s="198"/>
      <c r="Q68" s="198"/>
      <c r="R68" s="198"/>
      <c r="S68" s="198"/>
      <c r="T68" s="198"/>
      <c r="U68" s="198"/>
      <c r="V68" s="198"/>
      <c r="X68" s="196"/>
      <c r="Y68" s="196"/>
      <c r="Z68" s="196"/>
      <c r="AA68" s="197"/>
    </row>
    <row r="69" spans="1:27" x14ac:dyDescent="0.35">
      <c r="A69">
        <v>68</v>
      </c>
      <c r="B69" s="184" t="s">
        <v>232</v>
      </c>
      <c r="C69" s="285">
        <v>35</v>
      </c>
      <c r="D69" s="285">
        <v>1</v>
      </c>
      <c r="E69" s="285">
        <v>17</v>
      </c>
      <c r="F69" s="285">
        <v>120</v>
      </c>
      <c r="G69" s="285"/>
      <c r="H69" s="285"/>
      <c r="I69" s="382"/>
      <c r="J69" s="285">
        <v>7</v>
      </c>
      <c r="K69" s="321">
        <v>17</v>
      </c>
      <c r="L69" s="285">
        <v>11</v>
      </c>
      <c r="M69" s="352" t="s">
        <v>4</v>
      </c>
      <c r="O69" s="196"/>
      <c r="P69" s="196"/>
      <c r="Q69" s="196"/>
      <c r="R69" s="196"/>
      <c r="S69" s="196"/>
      <c r="T69" s="196"/>
      <c r="U69" s="196"/>
      <c r="V69" s="196"/>
      <c r="X69" s="194"/>
      <c r="Y69" s="194"/>
      <c r="Z69" s="194"/>
      <c r="AA69" s="195"/>
    </row>
    <row r="70" spans="1:27" x14ac:dyDescent="0.35">
      <c r="A70">
        <v>69</v>
      </c>
      <c r="B70" s="204" t="s">
        <v>235</v>
      </c>
      <c r="C70" s="289">
        <v>316</v>
      </c>
      <c r="D70" s="289">
        <v>198</v>
      </c>
      <c r="E70" s="289">
        <v>32</v>
      </c>
      <c r="F70" s="289">
        <v>5396</v>
      </c>
      <c r="G70" s="289"/>
      <c r="H70" s="289"/>
      <c r="I70" s="289"/>
      <c r="J70" s="289">
        <v>72</v>
      </c>
      <c r="K70" s="322">
        <v>159</v>
      </c>
      <c r="L70" s="289">
        <v>85</v>
      </c>
      <c r="M70" s="352" t="s">
        <v>5</v>
      </c>
      <c r="O70" s="198"/>
      <c r="P70" s="198"/>
      <c r="Q70" s="198"/>
      <c r="R70" s="196"/>
      <c r="S70" s="196"/>
      <c r="T70" s="196"/>
      <c r="U70" s="196"/>
      <c r="V70" s="196"/>
      <c r="X70" s="196"/>
      <c r="Y70" s="196"/>
      <c r="Z70" s="196"/>
      <c r="AA70" s="197"/>
    </row>
    <row r="71" spans="1:27" x14ac:dyDescent="0.35">
      <c r="A71">
        <v>70</v>
      </c>
      <c r="B71" s="204" t="s">
        <v>239</v>
      </c>
      <c r="C71" s="289">
        <f>463+1961</f>
        <v>2424</v>
      </c>
      <c r="D71" s="289">
        <f>231+324</f>
        <v>555</v>
      </c>
      <c r="E71" s="289">
        <f>24+635</f>
        <v>659</v>
      </c>
      <c r="F71" s="289">
        <f>3267+2199</f>
        <v>5466</v>
      </c>
      <c r="G71" s="289"/>
      <c r="H71" s="289"/>
      <c r="I71" s="289"/>
      <c r="J71" s="289">
        <v>302</v>
      </c>
      <c r="K71" s="322">
        <f>106+1961</f>
        <v>2067</v>
      </c>
      <c r="L71" s="289">
        <v>55</v>
      </c>
      <c r="M71" s="352" t="s">
        <v>5</v>
      </c>
      <c r="O71" s="196"/>
      <c r="P71" s="196"/>
      <c r="Q71" s="196"/>
      <c r="R71" s="196"/>
      <c r="S71" s="196"/>
      <c r="T71" s="196"/>
      <c r="U71" s="196"/>
      <c r="V71" s="196"/>
      <c r="X71" s="196"/>
      <c r="Y71" s="196"/>
      <c r="Z71" s="196"/>
      <c r="AA71" s="197"/>
    </row>
    <row r="72" spans="1:27" x14ac:dyDescent="0.35">
      <c r="A72">
        <v>71</v>
      </c>
      <c r="B72" s="204" t="s">
        <v>244</v>
      </c>
      <c r="C72" s="289">
        <v>1888</v>
      </c>
      <c r="D72" s="289">
        <v>1733</v>
      </c>
      <c r="E72" s="289">
        <v>1214</v>
      </c>
      <c r="F72" s="289">
        <v>1023</v>
      </c>
      <c r="G72" s="290"/>
      <c r="H72" s="290"/>
      <c r="I72" s="290"/>
      <c r="J72" s="289">
        <v>564</v>
      </c>
      <c r="K72" s="322">
        <v>701</v>
      </c>
      <c r="L72" s="289">
        <v>623</v>
      </c>
      <c r="M72" s="352" t="s">
        <v>5</v>
      </c>
      <c r="O72" s="196"/>
      <c r="P72" s="196"/>
      <c r="Q72" s="196"/>
      <c r="R72" s="196"/>
      <c r="S72" s="196"/>
      <c r="T72" s="196"/>
      <c r="U72" s="196"/>
      <c r="V72" s="196"/>
      <c r="X72" s="196"/>
      <c r="Y72" s="196"/>
      <c r="Z72" s="196"/>
      <c r="AA72" s="197"/>
    </row>
    <row r="73" spans="1:27" x14ac:dyDescent="0.35">
      <c r="A73">
        <v>72</v>
      </c>
      <c r="B73" s="204" t="s">
        <v>237</v>
      </c>
      <c r="C73" s="289">
        <v>706</v>
      </c>
      <c r="D73" s="289">
        <v>421</v>
      </c>
      <c r="E73" s="289">
        <v>61</v>
      </c>
      <c r="F73" s="289">
        <v>495</v>
      </c>
      <c r="G73" s="289"/>
      <c r="H73" s="289"/>
      <c r="I73" s="289"/>
      <c r="J73" s="289">
        <v>509</v>
      </c>
      <c r="K73" s="322">
        <v>146</v>
      </c>
      <c r="L73" s="289">
        <v>51</v>
      </c>
      <c r="M73" s="352" t="s">
        <v>5</v>
      </c>
      <c r="O73" s="198"/>
      <c r="P73" s="198"/>
      <c r="Q73" s="198"/>
      <c r="R73" s="196"/>
      <c r="S73" s="196"/>
      <c r="T73" s="196"/>
      <c r="U73" s="196"/>
      <c r="V73" s="196"/>
      <c r="X73" s="196"/>
      <c r="Y73" s="196"/>
      <c r="Z73" s="196"/>
      <c r="AA73" s="197"/>
    </row>
    <row r="74" spans="1:27" x14ac:dyDescent="0.35">
      <c r="A74">
        <v>73</v>
      </c>
      <c r="B74" s="204" t="s">
        <v>238</v>
      </c>
      <c r="C74" s="289">
        <v>638</v>
      </c>
      <c r="D74" s="289">
        <v>404</v>
      </c>
      <c r="E74" s="289">
        <v>164</v>
      </c>
      <c r="F74" s="289">
        <v>2654</v>
      </c>
      <c r="G74" s="289"/>
      <c r="H74" s="289"/>
      <c r="I74" s="289"/>
      <c r="J74" s="289">
        <v>52</v>
      </c>
      <c r="K74" s="322">
        <v>405</v>
      </c>
      <c r="L74" s="289">
        <v>181</v>
      </c>
      <c r="M74" s="352" t="s">
        <v>5</v>
      </c>
      <c r="O74" s="198"/>
      <c r="P74" s="198"/>
      <c r="Q74" s="198"/>
      <c r="R74" s="196"/>
      <c r="S74" s="196"/>
      <c r="T74" s="196"/>
      <c r="U74" s="196"/>
      <c r="V74" s="196"/>
      <c r="X74" s="196"/>
      <c r="Y74" s="196"/>
      <c r="Z74" s="196"/>
      <c r="AA74" s="197"/>
    </row>
    <row r="75" spans="1:27" x14ac:dyDescent="0.35">
      <c r="A75">
        <v>74</v>
      </c>
      <c r="B75" s="204" t="s">
        <v>241</v>
      </c>
      <c r="C75" s="289">
        <v>269</v>
      </c>
      <c r="D75" s="289">
        <v>628</v>
      </c>
      <c r="E75" s="289">
        <v>84</v>
      </c>
      <c r="F75" s="289">
        <v>487</v>
      </c>
      <c r="G75" s="289"/>
      <c r="H75" s="289"/>
      <c r="I75" s="289"/>
      <c r="J75" s="289">
        <v>62</v>
      </c>
      <c r="K75" s="322">
        <v>134</v>
      </c>
      <c r="L75" s="289">
        <v>73</v>
      </c>
      <c r="M75" s="352" t="s">
        <v>5</v>
      </c>
      <c r="O75" s="202"/>
      <c r="P75" s="202"/>
      <c r="Q75" s="202"/>
      <c r="R75" s="202"/>
      <c r="S75" s="202"/>
      <c r="T75" s="202"/>
      <c r="U75" s="202"/>
      <c r="V75" s="202"/>
      <c r="X75" s="202"/>
      <c r="Y75" s="202"/>
      <c r="Z75" s="202"/>
      <c r="AA75" s="203"/>
    </row>
    <row r="76" spans="1:27" x14ac:dyDescent="0.35">
      <c r="A76">
        <v>75</v>
      </c>
      <c r="B76" s="204" t="s">
        <v>236</v>
      </c>
      <c r="C76" s="289">
        <v>196</v>
      </c>
      <c r="D76" s="289">
        <v>597</v>
      </c>
      <c r="E76" s="289">
        <v>82</v>
      </c>
      <c r="F76" s="289">
        <v>492</v>
      </c>
      <c r="G76" s="289"/>
      <c r="H76" s="289"/>
      <c r="I76" s="289"/>
      <c r="J76" s="291"/>
      <c r="K76" s="322">
        <v>137</v>
      </c>
      <c r="L76" s="289">
        <v>59</v>
      </c>
      <c r="M76" s="352" t="s">
        <v>5</v>
      </c>
      <c r="O76" s="196"/>
      <c r="P76" s="196"/>
      <c r="Q76" s="196"/>
      <c r="R76" s="196"/>
      <c r="S76" s="196"/>
      <c r="T76" s="196"/>
      <c r="U76" s="196"/>
      <c r="V76" s="196"/>
      <c r="X76" s="196"/>
      <c r="Y76" s="196"/>
      <c r="Z76" s="196"/>
      <c r="AA76" s="197"/>
    </row>
    <row r="77" spans="1:27" x14ac:dyDescent="0.35">
      <c r="A77">
        <v>76</v>
      </c>
      <c r="B77" s="204" t="s">
        <v>243</v>
      </c>
      <c r="C77" s="289">
        <v>59</v>
      </c>
      <c r="D77" s="289">
        <v>696</v>
      </c>
      <c r="E77" s="289">
        <v>13</v>
      </c>
      <c r="F77" s="289">
        <v>138</v>
      </c>
      <c r="G77" s="289"/>
      <c r="H77" s="289"/>
      <c r="I77" s="289"/>
      <c r="J77" s="289">
        <v>27</v>
      </c>
      <c r="K77" s="322">
        <v>19</v>
      </c>
      <c r="L77" s="289">
        <v>13</v>
      </c>
      <c r="M77" s="352" t="s">
        <v>5</v>
      </c>
      <c r="O77" s="196"/>
      <c r="P77" s="196"/>
      <c r="Q77" s="196"/>
      <c r="R77" s="196"/>
      <c r="S77" s="196"/>
      <c r="T77" s="196"/>
      <c r="U77" s="196"/>
      <c r="V77" s="196"/>
      <c r="X77" s="196"/>
      <c r="Y77" s="196"/>
      <c r="Z77" s="196"/>
      <c r="AA77" s="197"/>
    </row>
    <row r="78" spans="1:27" x14ac:dyDescent="0.35">
      <c r="A78">
        <v>77</v>
      </c>
      <c r="B78" s="204" t="s">
        <v>242</v>
      </c>
      <c r="C78" s="289">
        <v>27</v>
      </c>
      <c r="D78" s="289">
        <v>689</v>
      </c>
      <c r="E78" s="289">
        <v>7</v>
      </c>
      <c r="F78" s="289">
        <v>45</v>
      </c>
      <c r="G78" s="289"/>
      <c r="H78" s="289"/>
      <c r="I78" s="289"/>
      <c r="J78" s="289">
        <v>11</v>
      </c>
      <c r="K78" s="322">
        <v>10</v>
      </c>
      <c r="L78" s="289">
        <v>6</v>
      </c>
      <c r="M78" s="352" t="s">
        <v>5</v>
      </c>
      <c r="O78" s="196"/>
      <c r="P78" s="196"/>
      <c r="Q78" s="196"/>
      <c r="R78" s="196"/>
      <c r="S78" s="196"/>
      <c r="T78" s="196"/>
      <c r="U78" s="196"/>
      <c r="V78" s="196"/>
      <c r="X78" s="196"/>
      <c r="Y78" s="196"/>
      <c r="Z78" s="196"/>
      <c r="AA78" s="197"/>
    </row>
    <row r="79" spans="1:27" x14ac:dyDescent="0.35">
      <c r="A79">
        <v>78</v>
      </c>
      <c r="B79" s="204" t="s">
        <v>245</v>
      </c>
      <c r="C79" s="289">
        <v>13</v>
      </c>
      <c r="D79" s="291"/>
      <c r="E79" s="291"/>
      <c r="F79" s="289">
        <v>36</v>
      </c>
      <c r="G79" s="291"/>
      <c r="H79" s="291"/>
      <c r="I79" s="291"/>
      <c r="J79" s="289">
        <v>13</v>
      </c>
      <c r="K79" s="323"/>
      <c r="L79" s="291"/>
      <c r="M79" s="352" t="s">
        <v>5</v>
      </c>
      <c r="O79" s="198"/>
      <c r="P79" s="198"/>
      <c r="Q79" s="198"/>
      <c r="R79" s="196"/>
      <c r="S79" s="196"/>
      <c r="T79" s="196"/>
      <c r="U79" s="196"/>
      <c r="V79" s="196"/>
      <c r="X79" s="196"/>
      <c r="Y79" s="196"/>
      <c r="Z79" s="196"/>
      <c r="AA79" s="197"/>
    </row>
    <row r="80" spans="1:27" x14ac:dyDescent="0.35">
      <c r="A80">
        <v>79</v>
      </c>
      <c r="B80" s="204" t="s">
        <v>240</v>
      </c>
      <c r="C80" s="291"/>
      <c r="D80" s="291"/>
      <c r="E80" s="291"/>
      <c r="F80" s="291"/>
      <c r="G80" s="291"/>
      <c r="H80" s="291"/>
      <c r="I80" s="291"/>
      <c r="J80" s="291"/>
      <c r="K80" s="323"/>
      <c r="L80" s="291"/>
      <c r="M80" s="352" t="s">
        <v>5</v>
      </c>
      <c r="O80" s="196"/>
      <c r="P80" s="196"/>
      <c r="Q80" s="196"/>
      <c r="R80" s="202"/>
      <c r="S80" s="202"/>
      <c r="T80" s="202"/>
      <c r="U80" s="202"/>
      <c r="V80" s="202"/>
      <c r="X80" s="202"/>
      <c r="Y80" s="202"/>
      <c r="Z80" s="202"/>
      <c r="AA80" s="203"/>
    </row>
    <row r="81" spans="1:27" x14ac:dyDescent="0.35">
      <c r="A81">
        <v>80</v>
      </c>
      <c r="B81" s="204" t="s">
        <v>246</v>
      </c>
      <c r="C81" s="291"/>
      <c r="D81" s="291"/>
      <c r="E81" s="291"/>
      <c r="F81" s="291"/>
      <c r="G81" s="291"/>
      <c r="H81" s="291"/>
      <c r="I81" s="291"/>
      <c r="J81" s="291"/>
      <c r="K81" s="323"/>
      <c r="L81" s="291"/>
      <c r="M81" s="352" t="s">
        <v>5</v>
      </c>
      <c r="O81" s="202"/>
      <c r="P81" s="202"/>
      <c r="Q81" s="202"/>
      <c r="R81" s="202"/>
      <c r="S81" s="202"/>
      <c r="T81" s="202"/>
      <c r="U81" s="202"/>
      <c r="V81" s="202"/>
      <c r="X81" s="200"/>
      <c r="Y81" s="200"/>
      <c r="Z81" s="200"/>
      <c r="AA81" s="201"/>
    </row>
    <row r="82" spans="1:27" x14ac:dyDescent="0.35">
      <c r="A82">
        <v>81</v>
      </c>
      <c r="B82" s="183" t="s">
        <v>247</v>
      </c>
      <c r="C82" s="285">
        <v>26</v>
      </c>
      <c r="D82" s="285">
        <v>171</v>
      </c>
      <c r="E82" s="285">
        <v>1</v>
      </c>
      <c r="F82" s="285">
        <v>195</v>
      </c>
      <c r="G82" s="285"/>
      <c r="H82" s="285"/>
      <c r="I82" s="288"/>
      <c r="J82" s="285">
        <v>18</v>
      </c>
      <c r="K82" s="321">
        <v>5</v>
      </c>
      <c r="L82" s="285">
        <v>3</v>
      </c>
      <c r="M82" s="352" t="s">
        <v>6</v>
      </c>
      <c r="O82" s="205"/>
      <c r="Q82" s="205"/>
      <c r="R82" s="205"/>
      <c r="S82" s="205"/>
      <c r="T82" s="205"/>
      <c r="U82" s="205"/>
      <c r="V82" s="205"/>
      <c r="X82" s="205"/>
      <c r="Y82" s="205"/>
      <c r="Z82" s="205"/>
      <c r="AA82" s="206"/>
    </row>
    <row r="83" spans="1:27" x14ac:dyDescent="0.35">
      <c r="A83">
        <v>82</v>
      </c>
      <c r="B83" s="183" t="s">
        <v>248</v>
      </c>
      <c r="C83" s="286"/>
      <c r="D83" s="286"/>
      <c r="E83" s="286"/>
      <c r="F83" s="286"/>
      <c r="G83" s="286"/>
      <c r="H83" s="286"/>
      <c r="I83" s="288"/>
      <c r="J83" s="286"/>
      <c r="K83" s="324"/>
      <c r="L83" s="286"/>
      <c r="M83" s="352" t="s">
        <v>6</v>
      </c>
      <c r="O83" s="207"/>
      <c r="Q83" s="207"/>
      <c r="R83" s="207"/>
      <c r="S83" s="207"/>
      <c r="T83" s="207"/>
      <c r="U83" s="207"/>
      <c r="V83" s="207"/>
      <c r="X83" s="207"/>
      <c r="Y83" s="207"/>
      <c r="Z83" s="207"/>
      <c r="AA83" s="208"/>
    </row>
    <row r="84" spans="1:27" x14ac:dyDescent="0.35">
      <c r="A84">
        <v>83</v>
      </c>
      <c r="B84" s="183" t="s">
        <v>249</v>
      </c>
      <c r="C84" s="285">
        <v>1</v>
      </c>
      <c r="D84" s="286"/>
      <c r="E84" s="286"/>
      <c r="F84" s="286">
        <v>2</v>
      </c>
      <c r="G84" s="286"/>
      <c r="H84" s="285"/>
      <c r="I84" s="288"/>
      <c r="J84" s="285">
        <v>1</v>
      </c>
      <c r="K84" s="324"/>
      <c r="L84" s="286"/>
      <c r="M84" s="352" t="s">
        <v>6</v>
      </c>
      <c r="O84" s="205"/>
      <c r="Q84" s="207"/>
      <c r="R84" s="207"/>
      <c r="S84" s="207"/>
      <c r="T84" s="207"/>
      <c r="U84" s="207"/>
      <c r="V84" s="207"/>
      <c r="X84" s="207"/>
      <c r="Y84" s="207"/>
      <c r="Z84" s="207"/>
      <c r="AA84" s="208"/>
    </row>
    <row r="85" spans="1:27" x14ac:dyDescent="0.35">
      <c r="A85">
        <v>84</v>
      </c>
      <c r="B85" s="183" t="s">
        <v>624</v>
      </c>
      <c r="C85" s="285">
        <v>11</v>
      </c>
      <c r="D85" s="286"/>
      <c r="E85" s="286"/>
      <c r="F85" s="286">
        <v>7</v>
      </c>
      <c r="G85" s="286"/>
      <c r="H85" s="285"/>
      <c r="I85" s="288"/>
      <c r="J85" s="285">
        <v>11</v>
      </c>
      <c r="K85" s="324"/>
      <c r="L85" s="286"/>
      <c r="M85" s="352" t="s">
        <v>6</v>
      </c>
      <c r="O85" s="205"/>
      <c r="Q85" s="207"/>
      <c r="R85" s="207"/>
      <c r="S85" s="207"/>
      <c r="T85" s="207"/>
      <c r="U85" s="207"/>
      <c r="V85" s="207"/>
      <c r="X85" s="211"/>
      <c r="Y85" s="211"/>
      <c r="Z85" s="211"/>
      <c r="AA85" s="212"/>
    </row>
    <row r="86" spans="1:27" x14ac:dyDescent="0.35">
      <c r="A86">
        <v>85</v>
      </c>
      <c r="B86" s="215" t="s">
        <v>250</v>
      </c>
      <c r="C86" s="292">
        <v>45</v>
      </c>
      <c r="D86" s="292">
        <v>944</v>
      </c>
      <c r="E86" s="292">
        <v>25</v>
      </c>
      <c r="F86" s="292">
        <v>368</v>
      </c>
      <c r="G86" s="292"/>
      <c r="H86" s="292"/>
      <c r="I86" s="293"/>
      <c r="J86" s="292">
        <v>2</v>
      </c>
      <c r="K86" s="325">
        <v>27</v>
      </c>
      <c r="L86" s="292">
        <v>16</v>
      </c>
      <c r="M86" s="352" t="s">
        <v>7</v>
      </c>
      <c r="O86" s="205"/>
      <c r="P86" s="205"/>
      <c r="Q86" s="205"/>
      <c r="R86" s="205"/>
      <c r="S86" s="205"/>
      <c r="T86" s="205"/>
      <c r="U86" s="205"/>
      <c r="V86" s="205"/>
      <c r="X86" s="205"/>
      <c r="Y86" s="205"/>
      <c r="Z86" s="205"/>
      <c r="AA86" s="206"/>
    </row>
    <row r="87" spans="1:27" x14ac:dyDescent="0.35">
      <c r="A87">
        <v>86</v>
      </c>
      <c r="B87" s="215" t="s">
        <v>251</v>
      </c>
      <c r="C87" s="292">
        <v>798</v>
      </c>
      <c r="D87" s="292">
        <v>653</v>
      </c>
      <c r="E87" s="292">
        <v>219</v>
      </c>
      <c r="F87" s="292">
        <v>1105</v>
      </c>
      <c r="G87" s="292"/>
      <c r="H87" s="292"/>
      <c r="I87" s="293"/>
      <c r="J87" s="292">
        <v>205</v>
      </c>
      <c r="K87" s="325">
        <v>335</v>
      </c>
      <c r="L87" s="292">
        <v>258</v>
      </c>
      <c r="M87" s="352" t="s">
        <v>7</v>
      </c>
      <c r="O87" s="205"/>
      <c r="P87" s="205"/>
      <c r="Q87" s="205"/>
      <c r="R87" s="205"/>
      <c r="S87" s="205"/>
      <c r="T87" s="205"/>
      <c r="U87" s="205"/>
      <c r="V87" s="205"/>
      <c r="X87" s="205"/>
      <c r="Y87" s="205"/>
      <c r="Z87" s="205"/>
      <c r="AA87" s="206"/>
    </row>
    <row r="88" spans="1:27" x14ac:dyDescent="0.35">
      <c r="A88">
        <v>87</v>
      </c>
      <c r="B88" s="215" t="s">
        <v>257</v>
      </c>
      <c r="C88" s="292">
        <v>400</v>
      </c>
      <c r="D88" s="292">
        <v>895</v>
      </c>
      <c r="E88" s="292">
        <v>157</v>
      </c>
      <c r="F88" s="292">
        <v>731</v>
      </c>
      <c r="G88" s="292"/>
      <c r="H88" s="292"/>
      <c r="I88" s="293"/>
      <c r="J88" s="292">
        <v>82</v>
      </c>
      <c r="K88" s="325">
        <v>176</v>
      </c>
      <c r="L88" s="292">
        <v>142</v>
      </c>
      <c r="M88" s="352" t="s">
        <v>7</v>
      </c>
      <c r="O88" s="213"/>
      <c r="P88" s="213"/>
      <c r="Q88" s="205"/>
      <c r="R88" s="205"/>
      <c r="S88" s="205"/>
      <c r="T88" s="205"/>
      <c r="U88" s="205"/>
      <c r="V88" s="205"/>
      <c r="X88" s="205"/>
      <c r="Y88" s="205"/>
      <c r="Z88" s="205"/>
      <c r="AA88" s="206"/>
    </row>
    <row r="89" spans="1:27" x14ac:dyDescent="0.35">
      <c r="A89">
        <v>88</v>
      </c>
      <c r="B89" s="215" t="s">
        <v>256</v>
      </c>
      <c r="C89" s="292">
        <v>350</v>
      </c>
      <c r="D89" s="292">
        <v>127</v>
      </c>
      <c r="E89" s="292">
        <v>24</v>
      </c>
      <c r="F89" s="292">
        <v>189</v>
      </c>
      <c r="G89" s="292"/>
      <c r="H89" s="292"/>
      <c r="I89" s="293"/>
      <c r="J89" s="292">
        <v>95</v>
      </c>
      <c r="K89" s="325">
        <v>186</v>
      </c>
      <c r="L89" s="292">
        <v>69</v>
      </c>
      <c r="M89" s="352" t="s">
        <v>7</v>
      </c>
      <c r="O89" s="205"/>
      <c r="P89" s="205"/>
      <c r="Q89" s="205"/>
      <c r="R89" s="205"/>
      <c r="S89" s="205"/>
      <c r="T89" s="205"/>
      <c r="U89" s="205"/>
      <c r="V89" s="205"/>
      <c r="X89" s="205"/>
      <c r="Y89" s="205"/>
      <c r="Z89" s="205"/>
      <c r="AA89" s="206"/>
    </row>
    <row r="90" spans="1:27" x14ac:dyDescent="0.35">
      <c r="A90">
        <v>89</v>
      </c>
      <c r="B90" s="215" t="s">
        <v>253</v>
      </c>
      <c r="C90" s="292">
        <v>238</v>
      </c>
      <c r="D90" s="292">
        <v>516</v>
      </c>
      <c r="E90" s="292">
        <v>35</v>
      </c>
      <c r="F90" s="292">
        <v>623</v>
      </c>
      <c r="G90" s="292"/>
      <c r="H90" s="292"/>
      <c r="I90" s="293"/>
      <c r="J90" s="292">
        <v>144</v>
      </c>
      <c r="K90" s="325">
        <v>67</v>
      </c>
      <c r="L90" s="292">
        <v>27</v>
      </c>
      <c r="M90" s="352" t="s">
        <v>7</v>
      </c>
      <c r="O90" s="205"/>
      <c r="P90" s="205"/>
      <c r="Q90" s="205"/>
      <c r="R90" s="205"/>
      <c r="S90" s="205"/>
      <c r="T90" s="205"/>
      <c r="U90" s="205"/>
      <c r="V90" s="205"/>
      <c r="X90" s="205"/>
      <c r="Y90" s="205"/>
      <c r="Z90" s="205"/>
      <c r="AA90" s="206"/>
    </row>
    <row r="91" spans="1:27" x14ac:dyDescent="0.35">
      <c r="A91">
        <v>90</v>
      </c>
      <c r="B91" s="215" t="s">
        <v>258</v>
      </c>
      <c r="C91" s="292">
        <v>220</v>
      </c>
      <c r="D91" s="292">
        <v>455</v>
      </c>
      <c r="E91" s="292">
        <v>30</v>
      </c>
      <c r="F91" s="292">
        <v>424</v>
      </c>
      <c r="G91" s="292"/>
      <c r="H91" s="292"/>
      <c r="I91" s="293"/>
      <c r="J91" s="292">
        <v>124</v>
      </c>
      <c r="K91" s="325">
        <v>65</v>
      </c>
      <c r="L91" s="292">
        <v>31</v>
      </c>
      <c r="M91" s="352" t="s">
        <v>7</v>
      </c>
      <c r="O91" s="207"/>
      <c r="P91" s="207"/>
      <c r="Q91" s="207"/>
      <c r="R91" s="207"/>
      <c r="S91" s="207"/>
      <c r="T91" s="207"/>
      <c r="U91" s="207"/>
      <c r="V91" s="207"/>
      <c r="X91" s="207"/>
      <c r="Y91" s="207"/>
      <c r="Z91" s="207"/>
      <c r="AA91" s="208"/>
    </row>
    <row r="92" spans="1:27" x14ac:dyDescent="0.35">
      <c r="A92">
        <v>91</v>
      </c>
      <c r="B92" s="215" t="s">
        <v>254</v>
      </c>
      <c r="C92" s="292">
        <v>178</v>
      </c>
      <c r="D92" s="292">
        <v>766</v>
      </c>
      <c r="E92" s="292">
        <v>53</v>
      </c>
      <c r="F92" s="292">
        <v>1930</v>
      </c>
      <c r="G92" s="292"/>
      <c r="H92" s="292"/>
      <c r="I92" s="293"/>
      <c r="J92" s="292">
        <v>75</v>
      </c>
      <c r="K92" s="325">
        <v>70</v>
      </c>
      <c r="L92" s="292">
        <v>33</v>
      </c>
      <c r="M92" s="352" t="s">
        <v>7</v>
      </c>
      <c r="O92" s="205"/>
      <c r="P92" s="205"/>
      <c r="Q92" s="205"/>
      <c r="R92" s="205"/>
      <c r="S92" s="205"/>
      <c r="T92" s="205"/>
      <c r="U92" s="205"/>
      <c r="V92" s="205"/>
      <c r="X92" s="205"/>
      <c r="Y92" s="205"/>
      <c r="Z92" s="205"/>
      <c r="AA92" s="206"/>
    </row>
    <row r="93" spans="1:27" x14ac:dyDescent="0.35">
      <c r="A93">
        <v>92</v>
      </c>
      <c r="B93" s="215" t="s">
        <v>259</v>
      </c>
      <c r="C93" s="292">
        <v>123</v>
      </c>
      <c r="D93" s="292">
        <v>429</v>
      </c>
      <c r="E93" s="292">
        <v>29</v>
      </c>
      <c r="F93" s="292">
        <v>264</v>
      </c>
      <c r="G93" s="292"/>
      <c r="H93" s="292"/>
      <c r="I93" s="293"/>
      <c r="J93" s="292">
        <v>32</v>
      </c>
      <c r="K93" s="325">
        <v>67</v>
      </c>
      <c r="L93" s="292">
        <v>24</v>
      </c>
      <c r="M93" s="352" t="s">
        <v>7</v>
      </c>
      <c r="O93" s="205"/>
      <c r="P93" s="205"/>
      <c r="Q93" s="205"/>
      <c r="R93" s="205"/>
      <c r="S93" s="205"/>
      <c r="T93" s="205"/>
      <c r="U93" s="205"/>
      <c r="V93" s="205"/>
      <c r="X93" s="205"/>
      <c r="Y93" s="205"/>
      <c r="Z93" s="205"/>
      <c r="AA93" s="206"/>
    </row>
    <row r="94" spans="1:27" x14ac:dyDescent="0.35">
      <c r="A94">
        <v>93</v>
      </c>
      <c r="B94" s="215" t="s">
        <v>252</v>
      </c>
      <c r="C94" s="292">
        <v>54</v>
      </c>
      <c r="D94" s="292">
        <v>1000</v>
      </c>
      <c r="E94" s="292">
        <v>23</v>
      </c>
      <c r="F94" s="292">
        <v>58</v>
      </c>
      <c r="G94" s="294"/>
      <c r="H94" s="292"/>
      <c r="I94" s="293"/>
      <c r="J94" s="292">
        <v>17</v>
      </c>
      <c r="K94" s="325">
        <v>23</v>
      </c>
      <c r="L94" s="292">
        <v>14</v>
      </c>
      <c r="M94" s="352" t="s">
        <v>7</v>
      </c>
      <c r="O94" s="205"/>
      <c r="P94" s="205"/>
      <c r="Q94" s="205"/>
      <c r="R94" s="205"/>
      <c r="S94" s="205"/>
      <c r="T94" s="205"/>
      <c r="U94" s="205"/>
      <c r="V94" s="205"/>
      <c r="X94" s="205"/>
      <c r="Y94" s="205"/>
      <c r="Z94" s="205"/>
      <c r="AA94" s="206"/>
    </row>
    <row r="95" spans="1:27" x14ac:dyDescent="0.35">
      <c r="A95">
        <v>94</v>
      </c>
      <c r="B95" s="215" t="s">
        <v>255</v>
      </c>
      <c r="C95" s="292">
        <v>33</v>
      </c>
      <c r="D95" s="295"/>
      <c r="E95" s="295"/>
      <c r="F95" s="295">
        <v>33</v>
      </c>
      <c r="G95" s="295"/>
      <c r="H95" s="292"/>
      <c r="I95" s="293"/>
      <c r="J95" s="292">
        <v>33</v>
      </c>
      <c r="K95" s="326"/>
      <c r="L95" s="295"/>
      <c r="M95" s="352" t="s">
        <v>7</v>
      </c>
      <c r="O95" s="205"/>
      <c r="P95" s="205"/>
      <c r="Q95" s="205"/>
      <c r="R95" s="205"/>
      <c r="S95" s="205"/>
      <c r="T95" s="205"/>
      <c r="U95" s="205"/>
      <c r="V95" s="205"/>
      <c r="X95" s="209"/>
      <c r="Y95" s="209"/>
      <c r="Z95" s="209"/>
      <c r="AA95" s="210"/>
    </row>
    <row r="96" spans="1:27" x14ac:dyDescent="0.35">
      <c r="A96">
        <v>95</v>
      </c>
      <c r="B96" s="144" t="s">
        <v>260</v>
      </c>
      <c r="C96" s="283">
        <v>4380</v>
      </c>
      <c r="D96" s="283">
        <v>991</v>
      </c>
      <c r="E96" s="283">
        <v>1690</v>
      </c>
      <c r="F96" s="283">
        <v>2776</v>
      </c>
      <c r="G96" s="283"/>
      <c r="H96" s="283"/>
      <c r="I96" s="383"/>
      <c r="J96" s="283">
        <v>2065</v>
      </c>
      <c r="K96" s="327">
        <v>1705</v>
      </c>
      <c r="L96" s="283">
        <v>610</v>
      </c>
      <c r="M96" s="352" t="s">
        <v>8</v>
      </c>
      <c r="O96" s="213"/>
      <c r="P96" s="213"/>
      <c r="Q96" s="213"/>
      <c r="R96" s="213"/>
      <c r="S96" s="213"/>
      <c r="T96" s="213"/>
      <c r="U96" s="213"/>
      <c r="V96" s="213"/>
      <c r="X96" s="205"/>
      <c r="Y96" s="205"/>
      <c r="Z96" s="205"/>
      <c r="AA96" s="206"/>
    </row>
    <row r="97" spans="1:27" x14ac:dyDescent="0.35">
      <c r="A97">
        <v>96</v>
      </c>
      <c r="B97" s="144" t="s">
        <v>270</v>
      </c>
      <c r="C97" s="283">
        <v>1734</v>
      </c>
      <c r="D97" s="283">
        <v>600</v>
      </c>
      <c r="E97" s="283">
        <v>468</v>
      </c>
      <c r="F97" s="283">
        <v>3923</v>
      </c>
      <c r="G97" s="283"/>
      <c r="H97" s="283"/>
      <c r="I97" s="383"/>
      <c r="J97" s="283">
        <v>630</v>
      </c>
      <c r="K97" s="327">
        <v>780</v>
      </c>
      <c r="L97" s="283">
        <v>324</v>
      </c>
      <c r="M97" s="352" t="s">
        <v>8</v>
      </c>
      <c r="O97" s="205"/>
      <c r="P97" s="205"/>
      <c r="Q97" s="205"/>
      <c r="R97" s="205"/>
      <c r="S97" s="205"/>
      <c r="T97" s="205"/>
      <c r="U97" s="205"/>
      <c r="V97" s="205"/>
      <c r="X97" s="205"/>
      <c r="Y97" s="205"/>
      <c r="Z97" s="205"/>
      <c r="AA97" s="206"/>
    </row>
    <row r="98" spans="1:27" x14ac:dyDescent="0.35">
      <c r="A98">
        <v>97</v>
      </c>
      <c r="B98" s="144" t="s">
        <v>262</v>
      </c>
      <c r="C98" s="283">
        <v>1179</v>
      </c>
      <c r="D98" s="283">
        <v>261</v>
      </c>
      <c r="E98" s="283">
        <v>99</v>
      </c>
      <c r="F98" s="283">
        <v>1301</v>
      </c>
      <c r="G98" s="283"/>
      <c r="H98" s="283"/>
      <c r="I98" s="383"/>
      <c r="J98" s="283">
        <v>669</v>
      </c>
      <c r="K98" s="327">
        <v>378</v>
      </c>
      <c r="L98" s="283">
        <v>132</v>
      </c>
      <c r="M98" s="352" t="s">
        <v>8</v>
      </c>
      <c r="O98" s="213"/>
      <c r="P98" s="213"/>
      <c r="Q98" s="213"/>
      <c r="R98" s="205"/>
      <c r="S98" s="205"/>
      <c r="T98" s="205"/>
      <c r="U98" s="205"/>
      <c r="V98" s="205"/>
      <c r="X98" s="205"/>
      <c r="Y98" s="205"/>
      <c r="Z98" s="205"/>
      <c r="AA98" s="206"/>
    </row>
    <row r="99" spans="1:27" x14ac:dyDescent="0.35">
      <c r="A99">
        <v>98</v>
      </c>
      <c r="B99" s="144" t="s">
        <v>261</v>
      </c>
      <c r="C99" s="283">
        <v>979</v>
      </c>
      <c r="D99" s="283">
        <v>616</v>
      </c>
      <c r="E99" s="283">
        <v>185</v>
      </c>
      <c r="F99" s="283">
        <v>636</v>
      </c>
      <c r="G99" s="283"/>
      <c r="H99" s="283"/>
      <c r="I99" s="383"/>
      <c r="J99" s="283">
        <v>348</v>
      </c>
      <c r="K99" s="327">
        <v>301</v>
      </c>
      <c r="L99" s="283">
        <v>330</v>
      </c>
      <c r="M99" s="352" t="s">
        <v>8</v>
      </c>
      <c r="O99" s="205"/>
      <c r="P99" s="205"/>
      <c r="Q99" s="205"/>
      <c r="R99" s="205"/>
      <c r="S99" s="205"/>
      <c r="T99" s="205"/>
      <c r="U99" s="205"/>
      <c r="V99" s="205"/>
      <c r="X99" s="205"/>
      <c r="Y99" s="205"/>
      <c r="Z99" s="205"/>
      <c r="AA99" s="206"/>
    </row>
    <row r="100" spans="1:27" x14ac:dyDescent="0.35">
      <c r="A100">
        <v>99</v>
      </c>
      <c r="B100" s="144" t="s">
        <v>271</v>
      </c>
      <c r="C100" s="283">
        <v>836</v>
      </c>
      <c r="D100" s="283">
        <v>910</v>
      </c>
      <c r="E100" s="283">
        <v>317</v>
      </c>
      <c r="F100" s="283">
        <v>2021</v>
      </c>
      <c r="G100" s="283"/>
      <c r="H100" s="283"/>
      <c r="I100" s="383"/>
      <c r="J100" s="283">
        <v>367</v>
      </c>
      <c r="K100" s="327">
        <v>348</v>
      </c>
      <c r="L100" s="283">
        <v>121</v>
      </c>
      <c r="M100" s="352" t="s">
        <v>8</v>
      </c>
      <c r="O100" s="205"/>
      <c r="P100" s="205"/>
      <c r="Q100" s="205"/>
      <c r="R100" s="205"/>
      <c r="S100" s="205"/>
      <c r="T100" s="205"/>
      <c r="U100" s="205"/>
      <c r="V100" s="205"/>
      <c r="X100" s="205"/>
      <c r="Y100" s="205"/>
      <c r="Z100" s="205"/>
      <c r="AA100" s="206"/>
    </row>
    <row r="101" spans="1:27" x14ac:dyDescent="0.35">
      <c r="A101">
        <v>100</v>
      </c>
      <c r="B101" s="144" t="s">
        <v>272</v>
      </c>
      <c r="C101" s="283">
        <v>571</v>
      </c>
      <c r="D101" s="283">
        <v>892</v>
      </c>
      <c r="E101" s="283">
        <v>73</v>
      </c>
      <c r="F101" s="283">
        <v>842</v>
      </c>
      <c r="G101" s="283"/>
      <c r="H101" s="283"/>
      <c r="I101" s="383"/>
      <c r="J101" s="283">
        <v>460</v>
      </c>
      <c r="K101" s="327">
        <v>82</v>
      </c>
      <c r="L101" s="283">
        <v>29</v>
      </c>
      <c r="M101" s="352" t="s">
        <v>8</v>
      </c>
      <c r="O101" s="205"/>
      <c r="P101" s="205"/>
      <c r="Q101" s="205"/>
      <c r="R101" s="205"/>
      <c r="S101" s="205"/>
      <c r="T101" s="205"/>
      <c r="U101" s="205"/>
      <c r="V101" s="205"/>
      <c r="X101" s="205"/>
      <c r="Y101" s="205"/>
      <c r="Z101" s="205"/>
      <c r="AA101" s="206"/>
    </row>
    <row r="102" spans="1:27" x14ac:dyDescent="0.35">
      <c r="A102">
        <v>101</v>
      </c>
      <c r="B102" s="144" t="s">
        <v>264</v>
      </c>
      <c r="C102" s="283">
        <v>474</v>
      </c>
      <c r="D102" s="283">
        <v>117</v>
      </c>
      <c r="E102" s="283">
        <v>27</v>
      </c>
      <c r="F102" s="283">
        <v>458</v>
      </c>
      <c r="G102" s="283"/>
      <c r="H102" s="283"/>
      <c r="I102" s="383"/>
      <c r="J102" s="283">
        <v>70</v>
      </c>
      <c r="K102" s="327">
        <v>228</v>
      </c>
      <c r="L102" s="283">
        <v>176</v>
      </c>
      <c r="M102" s="352" t="s">
        <v>8</v>
      </c>
      <c r="O102" s="205"/>
      <c r="P102" s="205"/>
      <c r="Q102" s="205"/>
      <c r="R102" s="207"/>
      <c r="S102" s="207"/>
      <c r="T102" s="207"/>
      <c r="U102" s="207"/>
      <c r="V102" s="207"/>
      <c r="X102" s="207"/>
      <c r="Y102" s="207"/>
      <c r="Z102" s="207"/>
      <c r="AA102" s="208"/>
    </row>
    <row r="103" spans="1:27" x14ac:dyDescent="0.35">
      <c r="A103">
        <v>102</v>
      </c>
      <c r="B103" s="144" t="s">
        <v>265</v>
      </c>
      <c r="C103" s="283">
        <v>159</v>
      </c>
      <c r="D103" s="283">
        <v>120</v>
      </c>
      <c r="E103" s="283">
        <v>85</v>
      </c>
      <c r="F103" s="283">
        <v>234</v>
      </c>
      <c r="G103" s="283"/>
      <c r="H103" s="283"/>
      <c r="I103" s="383"/>
      <c r="J103" s="283">
        <v>41</v>
      </c>
      <c r="K103" s="327">
        <v>70</v>
      </c>
      <c r="L103" s="283">
        <v>48</v>
      </c>
      <c r="M103" s="352" t="s">
        <v>8</v>
      </c>
      <c r="O103" s="205"/>
      <c r="P103" s="205"/>
      <c r="Q103" s="205"/>
      <c r="R103" s="205"/>
      <c r="S103" s="205"/>
      <c r="T103" s="205"/>
      <c r="U103" s="205"/>
      <c r="V103" s="205"/>
      <c r="X103" s="205"/>
      <c r="Y103" s="205"/>
      <c r="Z103" s="205"/>
      <c r="AA103" s="206"/>
    </row>
    <row r="104" spans="1:27" x14ac:dyDescent="0.35">
      <c r="A104">
        <v>103</v>
      </c>
      <c r="B104" s="144" t="s">
        <v>268</v>
      </c>
      <c r="C104" s="283">
        <v>156</v>
      </c>
      <c r="D104" s="283">
        <v>468</v>
      </c>
      <c r="E104" s="283">
        <v>43</v>
      </c>
      <c r="F104" s="283">
        <v>345</v>
      </c>
      <c r="G104" s="283"/>
      <c r="H104" s="283"/>
      <c r="I104" s="383"/>
      <c r="J104" s="283">
        <v>31</v>
      </c>
      <c r="K104" s="327">
        <v>92</v>
      </c>
      <c r="L104" s="283">
        <v>33</v>
      </c>
      <c r="M104" s="352" t="s">
        <v>8</v>
      </c>
      <c r="O104" s="205"/>
      <c r="P104" s="205"/>
      <c r="Q104" s="205"/>
      <c r="R104" s="205"/>
      <c r="S104" s="205"/>
      <c r="T104" s="205"/>
      <c r="U104" s="205"/>
      <c r="V104" s="205"/>
      <c r="X104" s="205"/>
      <c r="Y104" s="205"/>
      <c r="Z104" s="205"/>
      <c r="AA104" s="206"/>
    </row>
    <row r="105" spans="1:27" x14ac:dyDescent="0.35">
      <c r="A105">
        <v>104</v>
      </c>
      <c r="B105" s="146" t="s">
        <v>267</v>
      </c>
      <c r="C105" s="283">
        <v>103</v>
      </c>
      <c r="D105" s="283">
        <v>1083</v>
      </c>
      <c r="E105" s="283">
        <v>39</v>
      </c>
      <c r="F105" s="283">
        <v>96</v>
      </c>
      <c r="G105" s="283"/>
      <c r="H105" s="283"/>
      <c r="I105" s="383"/>
      <c r="J105" s="283">
        <v>50</v>
      </c>
      <c r="K105" s="327">
        <v>36</v>
      </c>
      <c r="L105" s="283">
        <v>17</v>
      </c>
      <c r="M105" s="352" t="s">
        <v>8</v>
      </c>
      <c r="O105" s="207"/>
      <c r="P105" s="207"/>
      <c r="Q105" s="207"/>
      <c r="R105" s="207"/>
      <c r="S105" s="207"/>
      <c r="T105" s="207"/>
      <c r="U105" s="207"/>
      <c r="V105" s="207"/>
      <c r="X105" s="207"/>
      <c r="Y105" s="207"/>
      <c r="Z105" s="207"/>
      <c r="AA105" s="208"/>
    </row>
    <row r="106" spans="1:27" x14ac:dyDescent="0.35">
      <c r="A106">
        <v>105</v>
      </c>
      <c r="B106" s="144" t="s">
        <v>273</v>
      </c>
      <c r="C106" s="283">
        <v>73</v>
      </c>
      <c r="D106" s="283">
        <v>2333</v>
      </c>
      <c r="E106" s="283">
        <v>16</v>
      </c>
      <c r="F106" s="283">
        <v>96</v>
      </c>
      <c r="G106" s="283"/>
      <c r="H106" s="283"/>
      <c r="I106" s="383"/>
      <c r="J106" s="283">
        <v>60</v>
      </c>
      <c r="K106" s="327">
        <v>7</v>
      </c>
      <c r="L106" s="283">
        <v>6</v>
      </c>
      <c r="M106" s="352" t="s">
        <v>8</v>
      </c>
      <c r="O106" s="213"/>
      <c r="P106" s="213"/>
      <c r="Q106" s="213"/>
      <c r="R106" s="205"/>
      <c r="S106" s="205"/>
      <c r="T106" s="205"/>
      <c r="U106" s="205"/>
      <c r="V106" s="205"/>
      <c r="X106" s="205"/>
      <c r="Y106" s="205"/>
      <c r="Z106" s="205"/>
      <c r="AA106" s="206"/>
    </row>
    <row r="107" spans="1:27" x14ac:dyDescent="0.35">
      <c r="A107">
        <v>106</v>
      </c>
      <c r="B107" s="144" t="s">
        <v>266</v>
      </c>
      <c r="C107" s="283">
        <v>68</v>
      </c>
      <c r="D107" s="384"/>
      <c r="E107" s="384"/>
      <c r="F107" s="283">
        <v>140</v>
      </c>
      <c r="G107" s="384"/>
      <c r="H107" s="384"/>
      <c r="I107" s="383"/>
      <c r="J107" s="283">
        <v>68</v>
      </c>
      <c r="K107" s="385"/>
      <c r="L107" s="384"/>
      <c r="M107" s="352" t="s">
        <v>8</v>
      </c>
      <c r="O107" s="213"/>
      <c r="P107" s="213"/>
      <c r="Q107" s="213"/>
      <c r="R107" s="205"/>
      <c r="S107" s="205"/>
      <c r="T107" s="205"/>
      <c r="U107" s="205"/>
      <c r="V107" s="205"/>
      <c r="X107" s="205"/>
      <c r="Y107" s="205"/>
      <c r="Z107" s="205"/>
      <c r="AA107" s="206"/>
    </row>
    <row r="108" spans="1:27" x14ac:dyDescent="0.35">
      <c r="A108">
        <v>107</v>
      </c>
      <c r="B108" s="144" t="s">
        <v>263</v>
      </c>
      <c r="C108" s="283">
        <v>5</v>
      </c>
      <c r="D108" s="283">
        <v>750</v>
      </c>
      <c r="E108" s="283">
        <v>2</v>
      </c>
      <c r="F108" s="283">
        <v>7</v>
      </c>
      <c r="G108" s="283"/>
      <c r="H108" s="283"/>
      <c r="I108" s="383"/>
      <c r="J108" s="283">
        <v>1</v>
      </c>
      <c r="K108" s="327">
        <v>3</v>
      </c>
      <c r="L108" s="283">
        <v>1</v>
      </c>
      <c r="M108" s="352" t="s">
        <v>8</v>
      </c>
      <c r="O108" s="205"/>
      <c r="P108" s="205"/>
      <c r="Q108" s="205"/>
      <c r="R108" s="205"/>
      <c r="S108" s="205"/>
      <c r="T108" s="205"/>
      <c r="U108" s="205"/>
      <c r="V108" s="205"/>
      <c r="X108" s="205"/>
      <c r="Y108" s="205"/>
      <c r="Z108" s="205"/>
      <c r="AA108" s="206"/>
    </row>
    <row r="109" spans="1:27" x14ac:dyDescent="0.35">
      <c r="A109">
        <v>108</v>
      </c>
      <c r="B109" s="144" t="s">
        <v>269</v>
      </c>
      <c r="C109" s="384"/>
      <c r="D109" s="384"/>
      <c r="E109" s="384"/>
      <c r="F109" s="384"/>
      <c r="G109" s="384"/>
      <c r="H109" s="384"/>
      <c r="I109" s="383"/>
      <c r="J109" s="384"/>
      <c r="K109" s="385"/>
      <c r="L109" s="384"/>
      <c r="M109" s="352" t="s">
        <v>8</v>
      </c>
      <c r="O109" s="205"/>
      <c r="P109" s="205"/>
      <c r="Q109" s="205"/>
      <c r="R109" s="205"/>
      <c r="S109" s="205"/>
      <c r="T109" s="205"/>
      <c r="U109" s="205"/>
      <c r="V109" s="205"/>
      <c r="X109" s="209"/>
      <c r="Y109" s="209"/>
      <c r="Z109" s="209"/>
      <c r="AA109" s="210"/>
    </row>
    <row r="110" spans="1:27" x14ac:dyDescent="0.35">
      <c r="A110">
        <v>109</v>
      </c>
      <c r="B110" s="222" t="s">
        <v>274</v>
      </c>
      <c r="C110" s="296">
        <v>548</v>
      </c>
      <c r="D110" s="296">
        <v>546</v>
      </c>
      <c r="E110" s="296">
        <v>115</v>
      </c>
      <c r="F110" s="296">
        <v>881</v>
      </c>
      <c r="G110" s="296"/>
      <c r="H110" s="296"/>
      <c r="I110" s="296"/>
      <c r="J110" s="296">
        <v>227</v>
      </c>
      <c r="K110" s="328">
        <v>211</v>
      </c>
      <c r="L110" s="296">
        <v>110</v>
      </c>
      <c r="M110" s="352" t="s">
        <v>9</v>
      </c>
      <c r="O110" s="220"/>
      <c r="P110" s="220"/>
      <c r="Q110" s="220"/>
      <c r="R110" s="220"/>
      <c r="S110" s="220"/>
      <c r="T110" s="220"/>
      <c r="U110" s="220"/>
      <c r="V110" s="220"/>
      <c r="X110" s="220"/>
      <c r="Y110" s="220"/>
      <c r="Z110" s="220"/>
      <c r="AA110" s="221"/>
    </row>
    <row r="111" spans="1:27" x14ac:dyDescent="0.35">
      <c r="A111">
        <v>110</v>
      </c>
      <c r="B111" s="222" t="s">
        <v>276</v>
      </c>
      <c r="C111" s="296">
        <v>91</v>
      </c>
      <c r="D111" s="296">
        <v>661</v>
      </c>
      <c r="E111" s="296">
        <v>24</v>
      </c>
      <c r="F111" s="296">
        <v>59</v>
      </c>
      <c r="G111" s="296"/>
      <c r="H111" s="296"/>
      <c r="I111" s="296"/>
      <c r="J111" s="296">
        <v>41</v>
      </c>
      <c r="K111" s="328">
        <v>37</v>
      </c>
      <c r="L111" s="296">
        <v>13</v>
      </c>
      <c r="M111" s="352" t="s">
        <v>9</v>
      </c>
      <c r="O111" s="220"/>
      <c r="P111" s="220"/>
      <c r="Q111" s="220"/>
      <c r="R111" s="220"/>
      <c r="S111" s="220"/>
      <c r="T111" s="220"/>
      <c r="U111" s="220"/>
      <c r="V111" s="220"/>
      <c r="X111" s="220"/>
      <c r="Y111" s="220"/>
      <c r="Z111" s="220"/>
      <c r="AA111" s="221"/>
    </row>
    <row r="112" spans="1:27" x14ac:dyDescent="0.35">
      <c r="A112">
        <v>111</v>
      </c>
      <c r="B112" s="222" t="s">
        <v>275</v>
      </c>
      <c r="C112" s="296">
        <v>87</v>
      </c>
      <c r="D112" s="296">
        <v>713</v>
      </c>
      <c r="E112" s="296">
        <v>29</v>
      </c>
      <c r="F112" s="296">
        <v>173</v>
      </c>
      <c r="G112" s="296"/>
      <c r="H112" s="296"/>
      <c r="I112" s="296"/>
      <c r="J112" s="296">
        <v>12</v>
      </c>
      <c r="K112" s="328">
        <v>40</v>
      </c>
      <c r="L112" s="296">
        <v>34</v>
      </c>
      <c r="M112" s="352" t="s">
        <v>9</v>
      </c>
      <c r="O112" s="220"/>
      <c r="P112" s="220"/>
      <c r="Q112" s="220"/>
      <c r="R112" s="220"/>
      <c r="S112" s="220"/>
      <c r="T112" s="220"/>
      <c r="U112" s="220"/>
      <c r="V112" s="220"/>
      <c r="X112" s="220"/>
      <c r="Y112" s="220"/>
      <c r="Z112" s="220"/>
      <c r="AA112" s="221"/>
    </row>
    <row r="113" spans="1:27" x14ac:dyDescent="0.35">
      <c r="A113">
        <v>112</v>
      </c>
      <c r="B113" s="222" t="s">
        <v>277</v>
      </c>
      <c r="C113" s="296">
        <v>24</v>
      </c>
      <c r="D113" s="296">
        <v>677</v>
      </c>
      <c r="E113" s="296">
        <v>7</v>
      </c>
      <c r="F113" s="296">
        <v>66</v>
      </c>
      <c r="G113" s="296"/>
      <c r="H113" s="296"/>
      <c r="I113" s="296"/>
      <c r="J113" s="296">
        <v>8</v>
      </c>
      <c r="K113" s="328">
        <v>11</v>
      </c>
      <c r="L113" s="296">
        <v>6</v>
      </c>
      <c r="M113" s="352" t="s">
        <v>9</v>
      </c>
      <c r="O113" s="220"/>
      <c r="P113" s="220"/>
      <c r="Q113" s="220"/>
      <c r="R113" s="220"/>
      <c r="S113" s="220"/>
      <c r="T113" s="220"/>
      <c r="U113" s="220"/>
      <c r="V113" s="220"/>
      <c r="X113" s="220"/>
      <c r="Y113" s="220"/>
      <c r="Z113" s="220"/>
      <c r="AA113" s="221"/>
    </row>
    <row r="114" spans="1:27" x14ac:dyDescent="0.35">
      <c r="A114">
        <v>113</v>
      </c>
      <c r="B114" s="222" t="s">
        <v>278</v>
      </c>
      <c r="C114" s="296">
        <v>14</v>
      </c>
      <c r="D114" s="296">
        <v>400</v>
      </c>
      <c r="E114" s="296">
        <v>2</v>
      </c>
      <c r="F114" s="296">
        <v>41</v>
      </c>
      <c r="G114" s="296"/>
      <c r="H114" s="296"/>
      <c r="I114" s="296"/>
      <c r="J114" s="297"/>
      <c r="K114" s="328">
        <v>5</v>
      </c>
      <c r="L114" s="296">
        <v>9</v>
      </c>
      <c r="M114" s="352" t="s">
        <v>9</v>
      </c>
      <c r="O114" s="220"/>
      <c r="P114" s="220"/>
      <c r="Q114" s="220"/>
      <c r="R114" s="220"/>
      <c r="S114" s="220"/>
      <c r="T114" s="220"/>
      <c r="U114" s="220"/>
      <c r="V114" s="220"/>
      <c r="X114" s="220"/>
      <c r="Y114" s="220"/>
      <c r="Z114" s="220"/>
      <c r="AA114" s="221"/>
    </row>
    <row r="115" spans="1:27" x14ac:dyDescent="0.35">
      <c r="A115">
        <v>114</v>
      </c>
      <c r="B115" s="222" t="s">
        <v>279</v>
      </c>
      <c r="C115" s="297"/>
      <c r="D115" s="297"/>
      <c r="E115" s="297"/>
      <c r="F115" s="297"/>
      <c r="G115" s="297"/>
      <c r="H115" s="297"/>
      <c r="I115" s="297"/>
      <c r="J115" s="297"/>
      <c r="K115" s="329"/>
      <c r="L115" s="297"/>
      <c r="M115" s="352" t="s">
        <v>9</v>
      </c>
      <c r="O115" s="218"/>
      <c r="P115" s="218"/>
      <c r="Q115" s="218"/>
      <c r="R115" s="218"/>
      <c r="S115" s="218"/>
      <c r="T115" s="218"/>
      <c r="U115" s="218"/>
      <c r="V115" s="218"/>
      <c r="X115" s="218"/>
      <c r="Y115" s="218"/>
      <c r="Z115" s="218"/>
      <c r="AA115" s="219"/>
    </row>
    <row r="116" spans="1:27" x14ac:dyDescent="0.35">
      <c r="A116">
        <v>115</v>
      </c>
      <c r="B116" s="222" t="s">
        <v>280</v>
      </c>
      <c r="C116" s="297"/>
      <c r="D116" s="297"/>
      <c r="E116" s="297"/>
      <c r="F116" s="297"/>
      <c r="G116" s="297"/>
      <c r="H116" s="297"/>
      <c r="I116" s="297"/>
      <c r="J116" s="297"/>
      <c r="K116" s="329"/>
      <c r="L116" s="297"/>
      <c r="M116" s="352" t="s">
        <v>9</v>
      </c>
      <c r="O116" s="218"/>
      <c r="P116" s="218"/>
      <c r="Q116" s="218"/>
      <c r="R116" s="218"/>
      <c r="S116" s="218"/>
      <c r="T116" s="218"/>
      <c r="U116" s="218"/>
      <c r="V116" s="218"/>
      <c r="X116" s="216"/>
      <c r="Y116" s="216"/>
      <c r="Z116" s="216"/>
      <c r="AA116" s="217"/>
    </row>
    <row r="117" spans="1:27" x14ac:dyDescent="0.35">
      <c r="A117">
        <v>116</v>
      </c>
      <c r="B117" s="227" t="s">
        <v>281</v>
      </c>
      <c r="C117" s="298">
        <v>3415</v>
      </c>
      <c r="D117" s="298">
        <v>425</v>
      </c>
      <c r="E117" s="298">
        <v>990</v>
      </c>
      <c r="F117" s="298">
        <v>2618</v>
      </c>
      <c r="G117" s="298"/>
      <c r="H117" s="298"/>
      <c r="I117" s="298"/>
      <c r="J117" s="298">
        <v>227</v>
      </c>
      <c r="K117" s="330">
        <v>2331</v>
      </c>
      <c r="L117" s="298">
        <v>857</v>
      </c>
      <c r="M117" s="352" t="s">
        <v>1341</v>
      </c>
      <c r="O117" s="225"/>
      <c r="P117" s="225"/>
      <c r="Q117" s="225"/>
      <c r="R117" s="225"/>
      <c r="S117" s="225"/>
      <c r="T117" s="225"/>
      <c r="U117" s="225"/>
      <c r="V117" s="225"/>
      <c r="X117" s="220"/>
      <c r="Y117" s="220"/>
      <c r="Z117" s="220"/>
      <c r="AA117" s="221"/>
    </row>
    <row r="118" spans="1:27" x14ac:dyDescent="0.35">
      <c r="A118">
        <v>117</v>
      </c>
      <c r="B118" s="227" t="s">
        <v>288</v>
      </c>
      <c r="C118" s="298">
        <v>2123</v>
      </c>
      <c r="D118" s="298">
        <v>817</v>
      </c>
      <c r="E118" s="298">
        <v>951</v>
      </c>
      <c r="F118" s="298">
        <v>2865</v>
      </c>
      <c r="G118" s="298"/>
      <c r="H118" s="298"/>
      <c r="I118" s="298"/>
      <c r="J118" s="298">
        <v>478</v>
      </c>
      <c r="K118" s="330">
        <v>1164</v>
      </c>
      <c r="L118" s="298">
        <v>481</v>
      </c>
      <c r="M118" s="352" t="s">
        <v>1341</v>
      </c>
      <c r="O118" s="220"/>
      <c r="P118" s="220"/>
      <c r="Q118" s="220"/>
      <c r="R118" s="220"/>
      <c r="S118" s="220"/>
      <c r="T118" s="220"/>
      <c r="U118" s="220"/>
      <c r="V118" s="220"/>
      <c r="X118" s="220"/>
      <c r="Y118" s="220"/>
      <c r="Z118" s="220"/>
      <c r="AA118" s="221"/>
    </row>
    <row r="119" spans="1:27" x14ac:dyDescent="0.35">
      <c r="A119">
        <v>118</v>
      </c>
      <c r="B119" s="227" t="s">
        <v>286</v>
      </c>
      <c r="C119" s="298">
        <v>1129</v>
      </c>
      <c r="D119" s="298">
        <v>649</v>
      </c>
      <c r="E119" s="298">
        <v>415</v>
      </c>
      <c r="F119" s="298">
        <v>1782</v>
      </c>
      <c r="G119" s="298"/>
      <c r="H119" s="298"/>
      <c r="I119" s="298"/>
      <c r="J119" s="298">
        <v>252</v>
      </c>
      <c r="K119" s="330">
        <v>640</v>
      </c>
      <c r="L119" s="298">
        <v>238</v>
      </c>
      <c r="M119" s="352" t="s">
        <v>1341</v>
      </c>
      <c r="O119" s="220"/>
      <c r="P119" s="220"/>
      <c r="Q119" s="220"/>
      <c r="R119" s="220"/>
      <c r="S119" s="220"/>
      <c r="T119" s="220"/>
      <c r="U119" s="220"/>
      <c r="V119" s="220"/>
      <c r="X119" s="220"/>
      <c r="Y119" s="220"/>
      <c r="Z119" s="220"/>
      <c r="AA119" s="221"/>
    </row>
    <row r="120" spans="1:27" x14ac:dyDescent="0.35">
      <c r="A120">
        <v>119</v>
      </c>
      <c r="B120" s="227" t="s">
        <v>287</v>
      </c>
      <c r="C120" s="298">
        <v>743</v>
      </c>
      <c r="D120" s="298">
        <v>822</v>
      </c>
      <c r="E120" s="298">
        <v>345</v>
      </c>
      <c r="F120" s="298">
        <v>1265</v>
      </c>
      <c r="G120" s="298"/>
      <c r="H120" s="298"/>
      <c r="I120" s="298"/>
      <c r="J120" s="298">
        <v>163</v>
      </c>
      <c r="K120" s="330">
        <v>420</v>
      </c>
      <c r="L120" s="298">
        <v>160</v>
      </c>
      <c r="M120" s="352" t="s">
        <v>1341</v>
      </c>
      <c r="O120" s="225"/>
      <c r="P120" s="225"/>
      <c r="Q120" s="225"/>
      <c r="R120" s="220"/>
      <c r="S120" s="220"/>
      <c r="T120" s="220"/>
      <c r="U120" s="220"/>
      <c r="V120" s="220"/>
      <c r="X120" s="220"/>
      <c r="Y120" s="220"/>
      <c r="Z120" s="220"/>
      <c r="AA120" s="221"/>
    </row>
    <row r="121" spans="1:27" x14ac:dyDescent="0.35">
      <c r="A121">
        <v>120</v>
      </c>
      <c r="B121" s="227" t="s">
        <v>284</v>
      </c>
      <c r="C121" s="298">
        <v>639</v>
      </c>
      <c r="D121" s="298">
        <v>300</v>
      </c>
      <c r="E121" s="298">
        <v>87</v>
      </c>
      <c r="F121" s="298">
        <v>1284</v>
      </c>
      <c r="G121" s="298"/>
      <c r="H121" s="298"/>
      <c r="I121" s="298"/>
      <c r="J121" s="298">
        <v>30</v>
      </c>
      <c r="K121" s="330">
        <v>289</v>
      </c>
      <c r="L121" s="298">
        <v>320</v>
      </c>
      <c r="M121" s="352" t="s">
        <v>1341</v>
      </c>
      <c r="O121" s="220"/>
      <c r="P121" s="220"/>
      <c r="Q121" s="220"/>
      <c r="R121" s="220"/>
      <c r="S121" s="220"/>
      <c r="T121" s="220"/>
      <c r="U121" s="220"/>
      <c r="V121" s="220"/>
      <c r="X121" s="220"/>
      <c r="Y121" s="220"/>
      <c r="Z121" s="220"/>
      <c r="AA121" s="221"/>
    </row>
    <row r="122" spans="1:27" x14ac:dyDescent="0.35">
      <c r="A122">
        <v>121</v>
      </c>
      <c r="B122" s="227" t="s">
        <v>283</v>
      </c>
      <c r="C122" s="298">
        <v>503</v>
      </c>
      <c r="D122" s="298">
        <v>802</v>
      </c>
      <c r="E122" s="298">
        <v>205</v>
      </c>
      <c r="F122" s="298">
        <v>791</v>
      </c>
      <c r="G122" s="298"/>
      <c r="H122" s="298"/>
      <c r="I122" s="298"/>
      <c r="J122" s="298">
        <v>85</v>
      </c>
      <c r="K122" s="330">
        <v>255</v>
      </c>
      <c r="L122" s="298">
        <v>163</v>
      </c>
      <c r="M122" s="352" t="s">
        <v>1341</v>
      </c>
      <c r="O122" s="225"/>
      <c r="P122" s="225"/>
      <c r="Q122" s="225"/>
      <c r="R122" s="220"/>
      <c r="S122" s="220"/>
      <c r="T122" s="220"/>
      <c r="U122" s="220"/>
      <c r="V122" s="220"/>
      <c r="X122" s="220"/>
      <c r="Y122" s="220"/>
      <c r="Z122" s="220"/>
      <c r="AA122" s="221"/>
    </row>
    <row r="123" spans="1:27" x14ac:dyDescent="0.35">
      <c r="A123">
        <v>122</v>
      </c>
      <c r="B123" s="227" t="s">
        <v>285</v>
      </c>
      <c r="C123" s="298">
        <v>454</v>
      </c>
      <c r="D123" s="298">
        <v>712</v>
      </c>
      <c r="E123" s="298">
        <v>137</v>
      </c>
      <c r="F123" s="298">
        <v>801</v>
      </c>
      <c r="G123" s="298"/>
      <c r="H123" s="298"/>
      <c r="I123" s="298"/>
      <c r="J123" s="298">
        <v>181</v>
      </c>
      <c r="K123" s="330">
        <v>193</v>
      </c>
      <c r="L123" s="298">
        <v>81</v>
      </c>
      <c r="M123" s="352" t="s">
        <v>1341</v>
      </c>
      <c r="O123" s="225"/>
      <c r="P123" s="225"/>
      <c r="Q123" s="225"/>
      <c r="R123" s="220"/>
      <c r="S123" s="220"/>
      <c r="T123" s="220"/>
      <c r="U123" s="220"/>
      <c r="V123" s="220"/>
      <c r="X123" s="220"/>
      <c r="Y123" s="220"/>
      <c r="Z123" s="220"/>
      <c r="AA123" s="221"/>
    </row>
    <row r="124" spans="1:27" x14ac:dyDescent="0.35">
      <c r="A124">
        <v>123</v>
      </c>
      <c r="B124" s="227" t="s">
        <v>290</v>
      </c>
      <c r="C124" s="298">
        <v>336</v>
      </c>
      <c r="D124" s="298">
        <v>116</v>
      </c>
      <c r="E124" s="298">
        <v>29</v>
      </c>
      <c r="F124" s="298">
        <v>650</v>
      </c>
      <c r="G124" s="298"/>
      <c r="H124" s="298"/>
      <c r="I124" s="298"/>
      <c r="J124" s="386"/>
      <c r="K124" s="330">
        <v>249</v>
      </c>
      <c r="L124" s="298">
        <v>87</v>
      </c>
      <c r="M124" s="352" t="s">
        <v>1341</v>
      </c>
      <c r="O124" s="225"/>
      <c r="P124" s="225"/>
      <c r="Q124" s="225"/>
      <c r="R124" s="225"/>
      <c r="S124" s="225"/>
      <c r="T124" s="225"/>
      <c r="U124" s="225"/>
      <c r="V124" s="225"/>
      <c r="X124" s="220"/>
      <c r="Y124" s="220"/>
      <c r="Z124" s="220"/>
      <c r="AA124" s="221"/>
    </row>
    <row r="125" spans="1:27" x14ac:dyDescent="0.35">
      <c r="A125">
        <v>124</v>
      </c>
      <c r="B125" s="227" t="s">
        <v>1320</v>
      </c>
      <c r="C125" s="298">
        <v>85</v>
      </c>
      <c r="D125" s="298">
        <v>20</v>
      </c>
      <c r="E125" s="298">
        <v>1</v>
      </c>
      <c r="F125" s="298">
        <v>125</v>
      </c>
      <c r="G125" s="298"/>
      <c r="H125" s="298"/>
      <c r="I125" s="298"/>
      <c r="J125" s="298">
        <v>4</v>
      </c>
      <c r="K125" s="330">
        <v>60</v>
      </c>
      <c r="L125" s="298">
        <v>21</v>
      </c>
      <c r="M125" s="352" t="s">
        <v>1341</v>
      </c>
      <c r="O125" s="220"/>
      <c r="P125" s="220"/>
      <c r="Q125" s="220"/>
      <c r="R125" s="220"/>
      <c r="S125" s="220"/>
      <c r="T125" s="220"/>
      <c r="U125" s="220"/>
      <c r="V125" s="220"/>
      <c r="X125" s="220"/>
      <c r="Y125" s="220"/>
      <c r="Z125" s="220"/>
      <c r="AA125" s="221"/>
    </row>
    <row r="126" spans="1:27" x14ac:dyDescent="0.35">
      <c r="A126">
        <v>125</v>
      </c>
      <c r="B126" s="227" t="s">
        <v>289</v>
      </c>
      <c r="C126" s="298">
        <v>23</v>
      </c>
      <c r="D126" s="298">
        <v>602</v>
      </c>
      <c r="E126" s="298">
        <v>6</v>
      </c>
      <c r="F126" s="298">
        <v>40</v>
      </c>
      <c r="G126" s="298"/>
      <c r="H126" s="298"/>
      <c r="I126" s="298"/>
      <c r="J126" s="298">
        <v>6</v>
      </c>
      <c r="K126" s="330">
        <v>10</v>
      </c>
      <c r="L126" s="298">
        <v>7</v>
      </c>
      <c r="M126" s="352" t="s">
        <v>1341</v>
      </c>
      <c r="O126" s="220"/>
      <c r="P126" s="220"/>
      <c r="Q126" s="220"/>
      <c r="R126" s="220"/>
      <c r="S126" s="220"/>
      <c r="T126" s="220"/>
      <c r="U126" s="220"/>
      <c r="V126" s="220"/>
      <c r="X126" s="223"/>
      <c r="Y126" s="223"/>
      <c r="Z126" s="223"/>
      <c r="AA126" s="224"/>
    </row>
    <row r="127" spans="1:27" x14ac:dyDescent="0.35">
      <c r="A127">
        <v>126</v>
      </c>
      <c r="B127" s="154" t="s">
        <v>292</v>
      </c>
      <c r="C127" s="299">
        <v>14240</v>
      </c>
      <c r="D127" s="299">
        <v>1373</v>
      </c>
      <c r="E127" s="299">
        <v>11794</v>
      </c>
      <c r="F127" s="299">
        <v>18194</v>
      </c>
      <c r="G127" s="299"/>
      <c r="H127" s="299"/>
      <c r="I127" s="299"/>
      <c r="J127" s="299">
        <v>1643</v>
      </c>
      <c r="K127" s="331">
        <v>8591</v>
      </c>
      <c r="L127" s="299">
        <v>4006</v>
      </c>
      <c r="M127" s="352" t="s">
        <v>1342</v>
      </c>
      <c r="O127" s="225"/>
      <c r="P127" s="225"/>
      <c r="Q127" s="225"/>
      <c r="R127" s="225"/>
      <c r="S127" s="225"/>
      <c r="T127" s="225"/>
      <c r="U127" s="225"/>
      <c r="V127" s="225"/>
      <c r="X127" s="225"/>
      <c r="Y127" s="225"/>
      <c r="Z127" s="225"/>
      <c r="AA127" s="226"/>
    </row>
    <row r="128" spans="1:27" x14ac:dyDescent="0.35">
      <c r="A128">
        <v>127</v>
      </c>
      <c r="B128" s="154" t="s">
        <v>293</v>
      </c>
      <c r="C128" s="299">
        <f>17261+43</f>
        <v>17304</v>
      </c>
      <c r="D128" s="299">
        <f>878+907</f>
        <v>1785</v>
      </c>
      <c r="E128" s="299">
        <f>7745+39</f>
        <v>7784</v>
      </c>
      <c r="F128" s="299">
        <f>14505+34</f>
        <v>14539</v>
      </c>
      <c r="G128" s="299"/>
      <c r="H128" s="299"/>
      <c r="I128" s="299"/>
      <c r="J128" s="299">
        <v>4332</v>
      </c>
      <c r="K128" s="331">
        <f>8816+43</f>
        <v>8859</v>
      </c>
      <c r="L128" s="299">
        <v>4113</v>
      </c>
      <c r="M128" s="352" t="s">
        <v>1342</v>
      </c>
      <c r="O128" s="225"/>
      <c r="P128" s="225"/>
      <c r="Q128" s="225"/>
      <c r="R128" s="225"/>
      <c r="S128" s="225"/>
      <c r="T128" s="225"/>
      <c r="U128" s="225"/>
      <c r="V128" s="225"/>
      <c r="X128" s="225"/>
      <c r="Y128" s="225"/>
      <c r="Z128" s="225"/>
      <c r="AA128" s="226"/>
    </row>
    <row r="129" spans="1:27" x14ac:dyDescent="0.35">
      <c r="A129">
        <v>128</v>
      </c>
      <c r="B129" s="154" t="s">
        <v>300</v>
      </c>
      <c r="C129" s="299">
        <f>13843+389</f>
        <v>14232</v>
      </c>
      <c r="D129" s="299">
        <f>682+915</f>
        <v>1597</v>
      </c>
      <c r="E129" s="299">
        <f>5761+356</f>
        <v>6117</v>
      </c>
      <c r="F129" s="299">
        <f>17978+311</f>
        <v>18289</v>
      </c>
      <c r="G129" s="299"/>
      <c r="H129" s="299"/>
      <c r="I129" s="299"/>
      <c r="J129" s="299">
        <v>1521</v>
      </c>
      <c r="K129" s="331">
        <f>8448+389</f>
        <v>8837</v>
      </c>
      <c r="L129" s="299">
        <v>3874</v>
      </c>
      <c r="M129" s="352" t="s">
        <v>1342</v>
      </c>
      <c r="O129" s="225"/>
      <c r="P129" s="225"/>
      <c r="Q129" s="225"/>
      <c r="R129" s="225"/>
      <c r="S129" s="225"/>
      <c r="T129" s="225"/>
      <c r="U129" s="225"/>
      <c r="V129" s="225"/>
      <c r="X129" s="225"/>
      <c r="Y129" s="225"/>
      <c r="Z129" s="225"/>
      <c r="AA129" s="226"/>
    </row>
    <row r="130" spans="1:27" x14ac:dyDescent="0.35">
      <c r="A130">
        <v>129</v>
      </c>
      <c r="B130" s="154" t="s">
        <v>295</v>
      </c>
      <c r="C130" s="299">
        <v>10841</v>
      </c>
      <c r="D130" s="299">
        <v>442</v>
      </c>
      <c r="E130" s="299">
        <v>2139</v>
      </c>
      <c r="F130" s="299">
        <v>24047</v>
      </c>
      <c r="G130" s="299"/>
      <c r="H130" s="299"/>
      <c r="I130" s="299"/>
      <c r="J130" s="299">
        <v>1920</v>
      </c>
      <c r="K130" s="331">
        <v>4839</v>
      </c>
      <c r="L130" s="299">
        <v>4082</v>
      </c>
      <c r="M130" s="352" t="s">
        <v>1342</v>
      </c>
      <c r="O130" s="225"/>
      <c r="P130" s="225"/>
      <c r="Q130" s="225"/>
      <c r="R130" s="225"/>
      <c r="S130" s="225"/>
      <c r="T130" s="225"/>
      <c r="U130" s="225"/>
      <c r="V130" s="225"/>
      <c r="X130" s="225"/>
      <c r="Y130" s="225"/>
      <c r="Z130" s="225"/>
      <c r="AA130" s="226"/>
    </row>
    <row r="131" spans="1:27" x14ac:dyDescent="0.35">
      <c r="A131">
        <v>130</v>
      </c>
      <c r="B131" s="154" t="s">
        <v>294</v>
      </c>
      <c r="C131" s="299">
        <v>5234</v>
      </c>
      <c r="D131" s="299">
        <v>747</v>
      </c>
      <c r="E131" s="299">
        <v>2218</v>
      </c>
      <c r="F131" s="299">
        <v>22017</v>
      </c>
      <c r="G131" s="299"/>
      <c r="H131" s="299"/>
      <c r="I131" s="299"/>
      <c r="J131" s="299">
        <v>1114</v>
      </c>
      <c r="K131" s="331">
        <v>2970</v>
      </c>
      <c r="L131" s="299">
        <v>1150</v>
      </c>
      <c r="M131" s="352" t="s">
        <v>1342</v>
      </c>
      <c r="O131" s="225"/>
      <c r="P131" s="225"/>
      <c r="Q131" s="225"/>
      <c r="R131" s="220"/>
      <c r="S131" s="220"/>
      <c r="T131" s="220"/>
      <c r="U131" s="220"/>
      <c r="V131" s="220"/>
      <c r="X131" s="220"/>
      <c r="Y131" s="220"/>
      <c r="Z131" s="220"/>
      <c r="AA131" s="221"/>
    </row>
    <row r="132" spans="1:27" x14ac:dyDescent="0.35">
      <c r="A132">
        <v>131</v>
      </c>
      <c r="B132" s="154" t="s">
        <v>302</v>
      </c>
      <c r="C132" s="299">
        <v>4941</v>
      </c>
      <c r="D132" s="299">
        <v>885</v>
      </c>
      <c r="E132" s="299">
        <v>2496</v>
      </c>
      <c r="F132" s="299">
        <v>4297</v>
      </c>
      <c r="G132" s="299"/>
      <c r="H132" s="299"/>
      <c r="I132" s="299"/>
      <c r="J132" s="299">
        <v>506</v>
      </c>
      <c r="K132" s="331">
        <v>2821</v>
      </c>
      <c r="L132" s="299">
        <v>1614</v>
      </c>
      <c r="M132" s="352" t="s">
        <v>1342</v>
      </c>
      <c r="O132" s="225"/>
      <c r="P132" s="225"/>
      <c r="Q132" s="225"/>
      <c r="R132" s="220"/>
      <c r="S132" s="220"/>
      <c r="T132" s="220"/>
      <c r="U132" s="220"/>
      <c r="V132" s="220"/>
      <c r="X132" s="220"/>
      <c r="Y132" s="220"/>
      <c r="Z132" s="220"/>
      <c r="AA132" s="221"/>
    </row>
    <row r="133" spans="1:27" x14ac:dyDescent="0.35">
      <c r="A133">
        <v>132</v>
      </c>
      <c r="B133" s="154" t="s">
        <v>297</v>
      </c>
      <c r="C133" s="299">
        <v>1428</v>
      </c>
      <c r="D133" s="299">
        <v>539</v>
      </c>
      <c r="E133" s="299">
        <v>475</v>
      </c>
      <c r="F133" s="299">
        <v>2131</v>
      </c>
      <c r="G133" s="299"/>
      <c r="H133" s="299"/>
      <c r="I133" s="299"/>
      <c r="J133" s="299">
        <v>117</v>
      </c>
      <c r="K133" s="331">
        <v>881</v>
      </c>
      <c r="L133" s="299">
        <v>430</v>
      </c>
      <c r="M133" s="352" t="s">
        <v>1342</v>
      </c>
      <c r="O133" s="225"/>
      <c r="P133" s="225"/>
      <c r="Q133" s="225"/>
      <c r="R133" s="220"/>
      <c r="S133" s="220"/>
      <c r="T133" s="220"/>
      <c r="U133" s="220"/>
      <c r="V133" s="220"/>
      <c r="X133" s="220"/>
      <c r="Y133" s="220"/>
      <c r="Z133" s="220"/>
      <c r="AA133" s="221"/>
    </row>
    <row r="134" spans="1:27" x14ac:dyDescent="0.35">
      <c r="A134">
        <v>133</v>
      </c>
      <c r="B134" s="154" t="s">
        <v>298</v>
      </c>
      <c r="C134" s="299">
        <v>1187</v>
      </c>
      <c r="D134" s="299">
        <v>882</v>
      </c>
      <c r="E134" s="299">
        <v>516</v>
      </c>
      <c r="F134" s="299">
        <v>1696</v>
      </c>
      <c r="G134" s="299"/>
      <c r="H134" s="299"/>
      <c r="I134" s="299"/>
      <c r="J134" s="299">
        <v>243</v>
      </c>
      <c r="K134" s="331">
        <v>585</v>
      </c>
      <c r="L134" s="299">
        <v>359</v>
      </c>
      <c r="M134" s="352" t="s">
        <v>1342</v>
      </c>
      <c r="O134" s="225"/>
      <c r="P134" s="225"/>
      <c r="Q134" s="225"/>
      <c r="R134" s="220"/>
      <c r="S134" s="220"/>
      <c r="T134" s="220"/>
      <c r="U134" s="220"/>
      <c r="V134" s="220"/>
      <c r="X134" s="220"/>
      <c r="Y134" s="220"/>
      <c r="Z134" s="220"/>
      <c r="AA134" s="221"/>
    </row>
    <row r="135" spans="1:27" x14ac:dyDescent="0.35">
      <c r="A135">
        <v>134</v>
      </c>
      <c r="B135" s="154" t="s">
        <v>306</v>
      </c>
      <c r="C135" s="299">
        <v>1176</v>
      </c>
      <c r="D135" s="299">
        <v>953</v>
      </c>
      <c r="E135" s="299">
        <v>494</v>
      </c>
      <c r="F135" s="299">
        <v>980</v>
      </c>
      <c r="G135" s="299"/>
      <c r="H135" s="299"/>
      <c r="I135" s="299"/>
      <c r="J135" s="299">
        <v>228</v>
      </c>
      <c r="K135" s="331">
        <v>519</v>
      </c>
      <c r="L135" s="299">
        <v>429</v>
      </c>
      <c r="M135" s="352" t="s">
        <v>1342</v>
      </c>
      <c r="O135" s="225"/>
      <c r="P135" s="225"/>
      <c r="Q135" s="225"/>
      <c r="R135" s="225"/>
      <c r="S135" s="225"/>
      <c r="T135" s="225"/>
      <c r="U135" s="225"/>
      <c r="V135" s="225"/>
      <c r="X135" s="225"/>
      <c r="Y135" s="225"/>
      <c r="Z135" s="225"/>
      <c r="AA135" s="226"/>
    </row>
    <row r="136" spans="1:27" x14ac:dyDescent="0.35">
      <c r="A136">
        <v>135</v>
      </c>
      <c r="B136" s="154" t="s">
        <v>296</v>
      </c>
      <c r="C136" s="299">
        <v>865</v>
      </c>
      <c r="D136" s="299">
        <v>488</v>
      </c>
      <c r="E136" s="299">
        <v>205</v>
      </c>
      <c r="F136" s="299">
        <v>1233</v>
      </c>
      <c r="G136" s="299"/>
      <c r="H136" s="299"/>
      <c r="I136" s="299"/>
      <c r="J136" s="299">
        <v>225</v>
      </c>
      <c r="K136" s="331">
        <v>420</v>
      </c>
      <c r="L136" s="299">
        <v>220</v>
      </c>
      <c r="M136" s="352" t="s">
        <v>1342</v>
      </c>
      <c r="O136" s="220"/>
      <c r="P136" s="220"/>
      <c r="Q136" s="220"/>
      <c r="R136" s="220"/>
      <c r="S136" s="220"/>
      <c r="T136" s="220"/>
      <c r="U136" s="220"/>
      <c r="V136" s="220"/>
      <c r="X136" s="220"/>
      <c r="Y136" s="220"/>
      <c r="Z136" s="220"/>
      <c r="AA136" s="221"/>
    </row>
    <row r="137" spans="1:27" x14ac:dyDescent="0.35">
      <c r="A137">
        <v>136</v>
      </c>
      <c r="B137" s="154" t="s">
        <v>301</v>
      </c>
      <c r="C137" s="299">
        <v>542</v>
      </c>
      <c r="D137" s="299">
        <v>1</v>
      </c>
      <c r="E137" s="299">
        <v>402</v>
      </c>
      <c r="F137" s="299">
        <v>704</v>
      </c>
      <c r="G137" s="299"/>
      <c r="H137" s="299"/>
      <c r="I137" s="299"/>
      <c r="J137" s="387"/>
      <c r="K137" s="331">
        <v>402</v>
      </c>
      <c r="L137" s="299">
        <v>140</v>
      </c>
      <c r="M137" s="352" t="s">
        <v>1342</v>
      </c>
      <c r="O137" s="225"/>
      <c r="P137" s="225"/>
      <c r="Q137" s="225"/>
      <c r="R137" s="225"/>
      <c r="S137" s="225"/>
      <c r="T137" s="225"/>
      <c r="U137" s="225"/>
      <c r="V137" s="225"/>
      <c r="X137" s="225"/>
      <c r="Y137" s="225"/>
      <c r="Z137" s="225"/>
      <c r="AA137" s="226"/>
    </row>
    <row r="138" spans="1:27" x14ac:dyDescent="0.35">
      <c r="A138">
        <v>137</v>
      </c>
      <c r="B138" s="154" t="s">
        <v>299</v>
      </c>
      <c r="C138" s="299">
        <v>206</v>
      </c>
      <c r="D138" s="299">
        <v>1044</v>
      </c>
      <c r="E138" s="299">
        <v>88</v>
      </c>
      <c r="F138" s="299">
        <v>2060</v>
      </c>
      <c r="G138" s="299"/>
      <c r="H138" s="299"/>
      <c r="I138" s="299"/>
      <c r="J138" s="299">
        <v>90</v>
      </c>
      <c r="K138" s="331">
        <v>85</v>
      </c>
      <c r="L138" s="299">
        <v>31</v>
      </c>
      <c r="M138" s="352" t="s">
        <v>1342</v>
      </c>
      <c r="O138" s="220"/>
      <c r="P138" s="220"/>
      <c r="Q138" s="220"/>
      <c r="R138" s="220"/>
      <c r="S138" s="220"/>
      <c r="T138" s="220"/>
      <c r="U138" s="220"/>
      <c r="V138" s="220"/>
      <c r="X138" s="220"/>
      <c r="Y138" s="220"/>
      <c r="Z138" s="220"/>
      <c r="AA138" s="221"/>
    </row>
    <row r="139" spans="1:27" x14ac:dyDescent="0.35">
      <c r="A139">
        <v>138</v>
      </c>
      <c r="B139" s="154" t="s">
        <v>304</v>
      </c>
      <c r="C139" s="299">
        <v>167</v>
      </c>
      <c r="D139" s="299">
        <v>671</v>
      </c>
      <c r="E139" s="299">
        <v>83</v>
      </c>
      <c r="F139" s="299">
        <v>1443</v>
      </c>
      <c r="G139" s="299"/>
      <c r="H139" s="299"/>
      <c r="I139" s="299"/>
      <c r="J139" s="387"/>
      <c r="K139" s="331">
        <v>124</v>
      </c>
      <c r="L139" s="299">
        <v>43</v>
      </c>
      <c r="M139" s="352" t="s">
        <v>1342</v>
      </c>
      <c r="O139" s="225"/>
      <c r="P139" s="225"/>
      <c r="Q139" s="225"/>
      <c r="R139" s="220"/>
      <c r="S139" s="220"/>
      <c r="T139" s="220"/>
      <c r="U139" s="220"/>
      <c r="V139" s="220"/>
      <c r="X139" s="220"/>
      <c r="Y139" s="220"/>
      <c r="Z139" s="220"/>
      <c r="AA139" s="221"/>
    </row>
    <row r="140" spans="1:27" x14ac:dyDescent="0.35">
      <c r="A140">
        <v>139</v>
      </c>
      <c r="B140" s="154" t="s">
        <v>305</v>
      </c>
      <c r="C140" s="299">
        <v>77</v>
      </c>
      <c r="D140" s="299">
        <v>672</v>
      </c>
      <c r="E140" s="299">
        <v>32</v>
      </c>
      <c r="F140" s="299">
        <v>3318</v>
      </c>
      <c r="G140" s="299"/>
      <c r="H140" s="299"/>
      <c r="I140" s="299"/>
      <c r="J140" s="299">
        <v>8</v>
      </c>
      <c r="K140" s="331">
        <v>47</v>
      </c>
      <c r="L140" s="299">
        <v>22</v>
      </c>
      <c r="M140" s="352" t="s">
        <v>1342</v>
      </c>
      <c r="O140" s="225"/>
      <c r="P140" s="225"/>
      <c r="Q140" s="225"/>
      <c r="R140" s="220"/>
      <c r="S140" s="220"/>
      <c r="T140" s="220"/>
      <c r="U140" s="220"/>
      <c r="V140" s="220"/>
      <c r="X140" s="220"/>
      <c r="Y140" s="220"/>
      <c r="Z140" s="220"/>
      <c r="AA140" s="221"/>
    </row>
    <row r="141" spans="1:27" x14ac:dyDescent="0.35">
      <c r="A141">
        <v>140</v>
      </c>
      <c r="B141" s="154" t="s">
        <v>303</v>
      </c>
      <c r="C141" s="299">
        <v>55</v>
      </c>
      <c r="D141" s="299">
        <v>500</v>
      </c>
      <c r="E141" s="299">
        <v>15</v>
      </c>
      <c r="F141" s="299">
        <v>682</v>
      </c>
      <c r="G141" s="299"/>
      <c r="H141" s="299"/>
      <c r="I141" s="299"/>
      <c r="J141" s="299">
        <v>15</v>
      </c>
      <c r="K141" s="331">
        <v>30</v>
      </c>
      <c r="L141" s="299">
        <v>10</v>
      </c>
      <c r="M141" s="352" t="s">
        <v>1342</v>
      </c>
      <c r="O141" s="220"/>
      <c r="P141" s="220"/>
      <c r="Q141" s="220"/>
      <c r="R141" s="220"/>
      <c r="S141" s="220"/>
      <c r="T141" s="220"/>
      <c r="U141" s="220"/>
      <c r="V141" s="220"/>
      <c r="X141" s="223"/>
      <c r="Y141" s="223"/>
      <c r="Z141" s="223"/>
      <c r="AA141" s="224"/>
    </row>
    <row r="142" spans="1:27" x14ac:dyDescent="0.35">
      <c r="A142">
        <v>141</v>
      </c>
      <c r="B142" s="147" t="s">
        <v>307</v>
      </c>
      <c r="C142" s="300">
        <f>46+151</f>
        <v>197</v>
      </c>
      <c r="D142" s="300">
        <f>598+1000</f>
        <v>1598</v>
      </c>
      <c r="E142" s="300">
        <f>20+18</f>
        <v>38</v>
      </c>
      <c r="F142" s="300">
        <f>18+121</f>
        <v>139</v>
      </c>
      <c r="G142" s="300"/>
      <c r="H142" s="300"/>
      <c r="I142" s="300"/>
      <c r="J142" s="388">
        <v>28</v>
      </c>
      <c r="K142" s="332">
        <f>34+18</f>
        <v>52</v>
      </c>
      <c r="L142" s="300">
        <f>12+105</f>
        <v>117</v>
      </c>
      <c r="M142" s="352" t="s">
        <v>14</v>
      </c>
      <c r="O142" s="196"/>
      <c r="P142" s="196"/>
      <c r="Q142" s="196"/>
      <c r="R142" s="196"/>
      <c r="S142" s="196"/>
      <c r="T142" s="196"/>
      <c r="U142" s="196"/>
      <c r="V142" s="196"/>
      <c r="X142" s="196"/>
      <c r="Y142" s="196"/>
      <c r="Z142" s="196"/>
      <c r="AA142" s="197"/>
    </row>
    <row r="143" spans="1:27" x14ac:dyDescent="0.35">
      <c r="A143">
        <v>142</v>
      </c>
      <c r="B143" s="147" t="s">
        <v>327</v>
      </c>
      <c r="C143" s="300">
        <v>2102</v>
      </c>
      <c r="D143" s="300">
        <v>253</v>
      </c>
      <c r="E143" s="300">
        <v>263</v>
      </c>
      <c r="F143" s="300">
        <v>7006</v>
      </c>
      <c r="G143" s="300"/>
      <c r="H143" s="300"/>
      <c r="I143" s="300"/>
      <c r="J143" s="300">
        <v>272</v>
      </c>
      <c r="K143" s="332">
        <v>1038</v>
      </c>
      <c r="L143" s="300">
        <v>792</v>
      </c>
      <c r="M143" s="352" t="s">
        <v>14</v>
      </c>
      <c r="O143" s="202"/>
      <c r="P143" s="202"/>
      <c r="Q143" s="202"/>
      <c r="R143" s="202"/>
      <c r="S143" s="202"/>
      <c r="T143" s="202"/>
      <c r="U143" s="202"/>
      <c r="V143" s="202"/>
      <c r="X143" s="202"/>
      <c r="Y143" s="202"/>
      <c r="Z143" s="202"/>
      <c r="AA143" s="203"/>
    </row>
    <row r="144" spans="1:27" x14ac:dyDescent="0.35">
      <c r="A144">
        <v>143</v>
      </c>
      <c r="B144" s="147" t="s">
        <v>309</v>
      </c>
      <c r="C144" s="300">
        <f>380+1600</f>
        <v>1980</v>
      </c>
      <c r="D144" s="300">
        <f>245+1300</f>
        <v>1545</v>
      </c>
      <c r="E144" s="300">
        <f>52+1784</f>
        <v>1836</v>
      </c>
      <c r="F144" s="300">
        <f>1521+1280</f>
        <v>2801</v>
      </c>
      <c r="G144" s="300"/>
      <c r="H144" s="300"/>
      <c r="I144" s="300"/>
      <c r="J144" s="388">
        <v>216</v>
      </c>
      <c r="K144" s="332">
        <f>212+1372</f>
        <v>1584</v>
      </c>
      <c r="L144" s="300">
        <f>168+12</f>
        <v>180</v>
      </c>
      <c r="M144" s="352" t="s">
        <v>14</v>
      </c>
      <c r="O144" s="198"/>
      <c r="P144" s="198"/>
      <c r="Q144" s="198"/>
      <c r="R144" s="196"/>
      <c r="S144" s="196"/>
      <c r="T144" s="196"/>
      <c r="U144" s="196"/>
      <c r="V144" s="196"/>
      <c r="X144" s="196"/>
      <c r="Y144" s="196"/>
      <c r="Z144" s="196"/>
      <c r="AA144" s="197"/>
    </row>
    <row r="145" spans="1:27" x14ac:dyDescent="0.35">
      <c r="A145">
        <v>144</v>
      </c>
      <c r="B145" s="147" t="s">
        <v>330</v>
      </c>
      <c r="C145" s="300">
        <v>1023</v>
      </c>
      <c r="D145" s="300">
        <v>352</v>
      </c>
      <c r="E145" s="300">
        <v>172</v>
      </c>
      <c r="F145" s="300">
        <v>3038</v>
      </c>
      <c r="G145" s="300"/>
      <c r="H145" s="300"/>
      <c r="I145" s="300"/>
      <c r="J145" s="300">
        <v>158</v>
      </c>
      <c r="K145" s="332">
        <v>488</v>
      </c>
      <c r="L145" s="300">
        <v>377</v>
      </c>
      <c r="M145" s="352" t="s">
        <v>14</v>
      </c>
      <c r="O145" s="202"/>
      <c r="P145" s="202"/>
      <c r="Q145" s="202"/>
      <c r="R145" s="202"/>
      <c r="S145" s="202"/>
      <c r="T145" s="202"/>
      <c r="U145" s="202"/>
      <c r="V145" s="202"/>
      <c r="X145" s="202"/>
      <c r="Y145" s="202"/>
      <c r="Z145" s="202"/>
      <c r="AA145" s="203"/>
    </row>
    <row r="146" spans="1:27" x14ac:dyDescent="0.35">
      <c r="A146">
        <v>145</v>
      </c>
      <c r="B146" s="147" t="s">
        <v>325</v>
      </c>
      <c r="C146" s="300">
        <v>764</v>
      </c>
      <c r="D146" s="300">
        <v>749</v>
      </c>
      <c r="E146" s="300">
        <v>128</v>
      </c>
      <c r="F146" s="300">
        <v>2505</v>
      </c>
      <c r="G146" s="300"/>
      <c r="H146" s="300"/>
      <c r="I146" s="300"/>
      <c r="J146" s="300">
        <v>505</v>
      </c>
      <c r="K146" s="332">
        <v>171</v>
      </c>
      <c r="L146" s="300">
        <v>87</v>
      </c>
      <c r="M146" s="352" t="s">
        <v>14</v>
      </c>
      <c r="O146" s="196"/>
      <c r="P146" s="196"/>
      <c r="Q146" s="196"/>
      <c r="R146" s="196"/>
      <c r="S146" s="196"/>
      <c r="T146" s="196"/>
      <c r="U146" s="196"/>
      <c r="V146" s="196"/>
      <c r="X146" s="196"/>
      <c r="Y146" s="196"/>
      <c r="Z146" s="196"/>
      <c r="AA146" s="197"/>
    </row>
    <row r="147" spans="1:27" x14ac:dyDescent="0.35">
      <c r="A147">
        <v>146</v>
      </c>
      <c r="B147" s="147" t="s">
        <v>329</v>
      </c>
      <c r="C147" s="300">
        <f>14+203+443</f>
        <v>660</v>
      </c>
      <c r="D147" s="300">
        <f>57+429+1437</f>
        <v>1923</v>
      </c>
      <c r="E147" s="300">
        <f>0+87+630</f>
        <v>717</v>
      </c>
      <c r="F147" s="300">
        <f>19+162+354</f>
        <v>535</v>
      </c>
      <c r="G147" s="300"/>
      <c r="H147" s="300"/>
      <c r="I147" s="300"/>
      <c r="J147" s="300">
        <f>11+5</f>
        <v>16</v>
      </c>
      <c r="K147" s="332">
        <f>2+203+439</f>
        <v>644</v>
      </c>
      <c r="L147" s="300">
        <v>1</v>
      </c>
      <c r="M147" s="352" t="s">
        <v>14</v>
      </c>
      <c r="O147" s="202"/>
      <c r="P147" s="202"/>
      <c r="Q147" s="202"/>
      <c r="R147" s="202"/>
      <c r="S147" s="202"/>
      <c r="T147" s="202"/>
      <c r="U147" s="202"/>
      <c r="V147" s="202"/>
      <c r="X147" s="202"/>
      <c r="Y147" s="202"/>
      <c r="Z147" s="202"/>
      <c r="AA147" s="203"/>
    </row>
    <row r="148" spans="1:27" x14ac:dyDescent="0.35">
      <c r="A148">
        <v>147</v>
      </c>
      <c r="B148" s="147" t="s">
        <v>328</v>
      </c>
      <c r="C148" s="300">
        <v>374</v>
      </c>
      <c r="D148" s="300">
        <v>274</v>
      </c>
      <c r="E148" s="300">
        <v>6</v>
      </c>
      <c r="F148" s="300">
        <v>976</v>
      </c>
      <c r="G148" s="300"/>
      <c r="H148" s="300"/>
      <c r="I148" s="300"/>
      <c r="J148" s="300">
        <v>239</v>
      </c>
      <c r="K148" s="332">
        <v>21</v>
      </c>
      <c r="L148" s="300">
        <v>114</v>
      </c>
      <c r="M148" s="352" t="s">
        <v>14</v>
      </c>
      <c r="O148" s="196"/>
      <c r="P148" s="196"/>
      <c r="Q148" s="196"/>
      <c r="R148" s="196"/>
      <c r="S148" s="196"/>
      <c r="T148" s="196"/>
      <c r="U148" s="196"/>
      <c r="V148" s="196"/>
      <c r="X148" s="196"/>
      <c r="Y148" s="196"/>
      <c r="Z148" s="196"/>
      <c r="AA148" s="197"/>
    </row>
    <row r="149" spans="1:27" x14ac:dyDescent="0.35">
      <c r="A149">
        <v>148</v>
      </c>
      <c r="B149" s="147" t="s">
        <v>319</v>
      </c>
      <c r="C149" s="300">
        <v>313</v>
      </c>
      <c r="D149" s="300">
        <v>317</v>
      </c>
      <c r="E149" s="300">
        <v>14</v>
      </c>
      <c r="F149" s="300">
        <v>681</v>
      </c>
      <c r="G149" s="300"/>
      <c r="H149" s="300"/>
      <c r="I149" s="300"/>
      <c r="J149" s="300">
        <v>241</v>
      </c>
      <c r="K149" s="332">
        <v>44</v>
      </c>
      <c r="L149" s="300">
        <v>28</v>
      </c>
      <c r="M149" s="352" t="s">
        <v>14</v>
      </c>
      <c r="O149" s="202"/>
      <c r="P149" s="202"/>
      <c r="Q149" s="202"/>
      <c r="R149" s="202"/>
      <c r="S149" s="202"/>
      <c r="T149" s="202"/>
      <c r="U149" s="202"/>
      <c r="V149" s="202"/>
      <c r="X149" s="202"/>
      <c r="Y149" s="202"/>
      <c r="Z149" s="202"/>
      <c r="AA149" s="203"/>
    </row>
    <row r="150" spans="1:27" x14ac:dyDescent="0.35">
      <c r="A150">
        <v>149</v>
      </c>
      <c r="B150" s="147" t="s">
        <v>326</v>
      </c>
      <c r="C150" s="300">
        <v>176</v>
      </c>
      <c r="D150" s="300">
        <v>252</v>
      </c>
      <c r="E150" s="300">
        <v>9</v>
      </c>
      <c r="F150" s="300">
        <v>355</v>
      </c>
      <c r="G150" s="300"/>
      <c r="H150" s="300"/>
      <c r="I150" s="300"/>
      <c r="J150" s="300">
        <v>101</v>
      </c>
      <c r="K150" s="332">
        <v>37</v>
      </c>
      <c r="L150" s="300">
        <v>39</v>
      </c>
      <c r="M150" s="352" t="s">
        <v>14</v>
      </c>
      <c r="O150" s="202"/>
      <c r="P150" s="202"/>
      <c r="Q150" s="202"/>
      <c r="R150" s="202"/>
      <c r="S150" s="202"/>
      <c r="T150" s="202"/>
      <c r="U150" s="202"/>
      <c r="V150" s="202"/>
      <c r="X150" s="202"/>
      <c r="Y150" s="202"/>
      <c r="Z150" s="202"/>
      <c r="AA150" s="203"/>
    </row>
    <row r="151" spans="1:27" x14ac:dyDescent="0.35">
      <c r="A151">
        <v>150</v>
      </c>
      <c r="B151" s="147" t="s">
        <v>311</v>
      </c>
      <c r="C151" s="300">
        <v>130</v>
      </c>
      <c r="D151" s="300">
        <v>634</v>
      </c>
      <c r="E151" s="300">
        <v>22</v>
      </c>
      <c r="F151" s="300">
        <v>952</v>
      </c>
      <c r="G151" s="300"/>
      <c r="H151" s="300"/>
      <c r="I151" s="300"/>
      <c r="J151" s="388"/>
      <c r="K151" s="332">
        <v>35</v>
      </c>
      <c r="L151" s="300">
        <v>94</v>
      </c>
      <c r="M151" s="352" t="s">
        <v>14</v>
      </c>
      <c r="O151" s="202"/>
      <c r="P151" s="202"/>
      <c r="Q151" s="202"/>
      <c r="R151" s="202"/>
      <c r="S151" s="202"/>
      <c r="T151" s="202"/>
      <c r="U151" s="202"/>
      <c r="V151" s="202"/>
      <c r="X151" s="202"/>
      <c r="Y151" s="202"/>
      <c r="Z151" s="202"/>
      <c r="AA151" s="203"/>
    </row>
    <row r="152" spans="1:27" x14ac:dyDescent="0.35">
      <c r="A152">
        <v>151</v>
      </c>
      <c r="B152" s="147" t="s">
        <v>323</v>
      </c>
      <c r="C152" s="300">
        <v>58</v>
      </c>
      <c r="D152" s="300">
        <v>357</v>
      </c>
      <c r="E152" s="300">
        <v>7</v>
      </c>
      <c r="F152" s="300">
        <v>537</v>
      </c>
      <c r="G152" s="300"/>
      <c r="H152" s="300"/>
      <c r="I152" s="300"/>
      <c r="J152" s="300">
        <v>21</v>
      </c>
      <c r="K152" s="332">
        <v>19</v>
      </c>
      <c r="L152" s="300">
        <v>18</v>
      </c>
      <c r="M152" s="352" t="s">
        <v>14</v>
      </c>
      <c r="O152" s="202"/>
      <c r="P152" s="202"/>
      <c r="Q152" s="202"/>
      <c r="R152" s="202"/>
      <c r="S152" s="202"/>
      <c r="T152" s="202"/>
      <c r="U152" s="202"/>
      <c r="V152" s="202"/>
      <c r="X152" s="202"/>
      <c r="Y152" s="202"/>
      <c r="Z152" s="202"/>
      <c r="AA152" s="203"/>
    </row>
    <row r="153" spans="1:27" x14ac:dyDescent="0.35">
      <c r="A153">
        <v>152</v>
      </c>
      <c r="B153" s="147" t="s">
        <v>321</v>
      </c>
      <c r="C153" s="300">
        <v>40</v>
      </c>
      <c r="D153" s="388"/>
      <c r="E153" s="388"/>
      <c r="F153" s="300">
        <v>80</v>
      </c>
      <c r="G153" s="388"/>
      <c r="H153" s="388"/>
      <c r="I153" s="388"/>
      <c r="J153" s="388"/>
      <c r="K153" s="389"/>
      <c r="L153" s="300">
        <v>40</v>
      </c>
      <c r="M153" s="352" t="s">
        <v>14</v>
      </c>
      <c r="O153" s="202"/>
      <c r="P153" s="202"/>
      <c r="Q153" s="202"/>
      <c r="R153" s="202"/>
      <c r="S153" s="202"/>
      <c r="T153" s="202"/>
      <c r="U153" s="202"/>
      <c r="V153" s="202"/>
      <c r="X153" s="202"/>
      <c r="Y153" s="202"/>
      <c r="Z153" s="202"/>
      <c r="AA153" s="203"/>
    </row>
    <row r="154" spans="1:27" x14ac:dyDescent="0.35">
      <c r="A154">
        <v>153</v>
      </c>
      <c r="B154" s="147" t="s">
        <v>313</v>
      </c>
      <c r="C154" s="300">
        <v>37</v>
      </c>
      <c r="D154" s="300">
        <v>600</v>
      </c>
      <c r="E154" s="300">
        <v>2</v>
      </c>
      <c r="F154" s="300">
        <v>299</v>
      </c>
      <c r="G154" s="300"/>
      <c r="H154" s="300"/>
      <c r="I154" s="300"/>
      <c r="J154" s="300">
        <v>32</v>
      </c>
      <c r="K154" s="332">
        <v>4</v>
      </c>
      <c r="L154" s="300">
        <v>1</v>
      </c>
      <c r="M154" s="352" t="s">
        <v>14</v>
      </c>
      <c r="O154" s="196"/>
      <c r="P154" s="196"/>
      <c r="Q154" s="196"/>
      <c r="R154" s="196"/>
      <c r="S154" s="196"/>
      <c r="T154" s="196"/>
      <c r="U154" s="196"/>
      <c r="V154" s="196"/>
      <c r="X154" s="196"/>
      <c r="Y154" s="196"/>
      <c r="Z154" s="196"/>
      <c r="AA154" s="197"/>
    </row>
    <row r="155" spans="1:27" x14ac:dyDescent="0.35">
      <c r="A155">
        <v>154</v>
      </c>
      <c r="B155" s="147" t="s">
        <v>324</v>
      </c>
      <c r="C155" s="300">
        <v>5</v>
      </c>
      <c r="D155" s="300">
        <v>201</v>
      </c>
      <c r="E155" s="300">
        <v>1</v>
      </c>
      <c r="F155" s="300">
        <v>12</v>
      </c>
      <c r="G155" s="300"/>
      <c r="H155" s="300"/>
      <c r="I155" s="300"/>
      <c r="J155" s="388"/>
      <c r="K155" s="332">
        <v>4</v>
      </c>
      <c r="L155" s="300">
        <v>1</v>
      </c>
      <c r="M155" s="352" t="s">
        <v>14</v>
      </c>
      <c r="O155" s="202"/>
      <c r="P155" s="202"/>
      <c r="Q155" s="202"/>
      <c r="R155" s="202"/>
      <c r="S155" s="202"/>
      <c r="T155" s="202"/>
      <c r="U155" s="202"/>
      <c r="V155" s="202"/>
      <c r="X155" s="202"/>
      <c r="Y155" s="202"/>
      <c r="Z155" s="202"/>
      <c r="AA155" s="203"/>
    </row>
    <row r="156" spans="1:27" x14ac:dyDescent="0.35">
      <c r="A156">
        <v>155</v>
      </c>
      <c r="B156" s="147" t="s">
        <v>308</v>
      </c>
      <c r="C156" s="388"/>
      <c r="D156" s="388"/>
      <c r="E156" s="388"/>
      <c r="F156" s="388"/>
      <c r="G156" s="388"/>
      <c r="H156" s="388"/>
      <c r="I156" s="388"/>
      <c r="J156" s="388"/>
      <c r="K156" s="389"/>
      <c r="L156" s="388"/>
      <c r="M156" s="352" t="s">
        <v>14</v>
      </c>
      <c r="O156" s="196"/>
      <c r="P156" s="196"/>
      <c r="Q156" s="196"/>
      <c r="R156" s="202"/>
      <c r="S156" s="202"/>
      <c r="T156" s="202"/>
      <c r="U156" s="202"/>
      <c r="V156" s="202"/>
      <c r="X156" s="196"/>
      <c r="Y156" s="196"/>
      <c r="Z156" s="196"/>
      <c r="AA156" s="197"/>
    </row>
    <row r="157" spans="1:27" x14ac:dyDescent="0.35">
      <c r="A157">
        <v>156</v>
      </c>
      <c r="B157" s="147" t="s">
        <v>310</v>
      </c>
      <c r="C157" s="388"/>
      <c r="D157" s="388"/>
      <c r="E157" s="388"/>
      <c r="F157" s="388"/>
      <c r="G157" s="388"/>
      <c r="H157" s="388"/>
      <c r="I157" s="388"/>
      <c r="J157" s="388"/>
      <c r="K157" s="389"/>
      <c r="L157" s="388"/>
      <c r="M157" s="352" t="s">
        <v>14</v>
      </c>
      <c r="O157" s="202"/>
      <c r="P157" s="202"/>
      <c r="Q157" s="202"/>
      <c r="R157" s="202"/>
      <c r="S157" s="202"/>
      <c r="T157" s="202"/>
      <c r="U157" s="202"/>
      <c r="V157" s="202"/>
      <c r="X157" s="202"/>
      <c r="Y157" s="202"/>
      <c r="Z157" s="202"/>
      <c r="AA157" s="203"/>
    </row>
    <row r="158" spans="1:27" x14ac:dyDescent="0.35">
      <c r="A158">
        <v>157</v>
      </c>
      <c r="B158" s="147" t="s">
        <v>312</v>
      </c>
      <c r="C158" s="388"/>
      <c r="D158" s="388"/>
      <c r="E158" s="388"/>
      <c r="F158" s="388"/>
      <c r="G158" s="388"/>
      <c r="H158" s="388"/>
      <c r="I158" s="388"/>
      <c r="J158" s="388"/>
      <c r="K158" s="389"/>
      <c r="L158" s="388"/>
      <c r="M158" s="352" t="s">
        <v>14</v>
      </c>
      <c r="O158" s="196"/>
      <c r="P158" s="196"/>
      <c r="Q158" s="196"/>
      <c r="R158" s="196"/>
      <c r="S158" s="196"/>
      <c r="T158" s="196"/>
      <c r="U158" s="196"/>
      <c r="V158" s="196"/>
      <c r="X158" s="196"/>
      <c r="Y158" s="196"/>
      <c r="Z158" s="196"/>
      <c r="AA158" s="197"/>
    </row>
    <row r="159" spans="1:27" x14ac:dyDescent="0.35">
      <c r="A159">
        <v>158</v>
      </c>
      <c r="B159" s="147" t="s">
        <v>314</v>
      </c>
      <c r="C159" s="388"/>
      <c r="D159" s="388"/>
      <c r="E159" s="388"/>
      <c r="F159" s="388"/>
      <c r="G159" s="388"/>
      <c r="H159" s="388"/>
      <c r="I159" s="388"/>
      <c r="J159" s="388"/>
      <c r="K159" s="389"/>
      <c r="L159" s="388"/>
      <c r="M159" s="352" t="s">
        <v>14</v>
      </c>
      <c r="O159" s="196"/>
      <c r="P159" s="196"/>
      <c r="Q159" s="196"/>
      <c r="R159" s="196"/>
      <c r="S159" s="196"/>
      <c r="T159" s="196"/>
      <c r="U159" s="196"/>
      <c r="V159" s="196"/>
      <c r="X159" s="196"/>
      <c r="Y159" s="196"/>
      <c r="Z159" s="196"/>
      <c r="AA159" s="197"/>
    </row>
    <row r="160" spans="1:27" x14ac:dyDescent="0.35">
      <c r="A160">
        <v>159</v>
      </c>
      <c r="B160" s="147" t="s">
        <v>315</v>
      </c>
      <c r="C160" s="388"/>
      <c r="D160" s="388"/>
      <c r="E160" s="388"/>
      <c r="F160" s="388"/>
      <c r="G160" s="388"/>
      <c r="H160" s="388"/>
      <c r="I160" s="388"/>
      <c r="J160" s="388"/>
      <c r="K160" s="389"/>
      <c r="L160" s="388"/>
      <c r="M160" s="352" t="s">
        <v>14</v>
      </c>
      <c r="O160" s="198"/>
      <c r="P160" s="198"/>
      <c r="Q160" s="198"/>
      <c r="R160" s="196"/>
      <c r="S160" s="196"/>
      <c r="T160" s="196"/>
      <c r="U160" s="196"/>
      <c r="V160" s="196"/>
      <c r="X160" s="196"/>
      <c r="Y160" s="196"/>
      <c r="Z160" s="196"/>
      <c r="AA160" s="197"/>
    </row>
    <row r="161" spans="1:27" x14ac:dyDescent="0.35">
      <c r="A161">
        <v>160</v>
      </c>
      <c r="B161" s="147" t="s">
        <v>316</v>
      </c>
      <c r="C161" s="388"/>
      <c r="D161" s="388"/>
      <c r="E161" s="388"/>
      <c r="F161" s="388"/>
      <c r="G161" s="388"/>
      <c r="H161" s="388"/>
      <c r="I161" s="388"/>
      <c r="J161" s="388"/>
      <c r="K161" s="389"/>
      <c r="L161" s="388"/>
      <c r="M161" s="352" t="s">
        <v>14</v>
      </c>
      <c r="O161" s="196"/>
      <c r="P161" s="196"/>
      <c r="Q161" s="196"/>
      <c r="R161" s="196"/>
      <c r="S161" s="196"/>
      <c r="T161" s="196"/>
      <c r="U161" s="196"/>
      <c r="V161" s="196"/>
      <c r="X161" s="196"/>
      <c r="Y161" s="196"/>
      <c r="Z161" s="196"/>
      <c r="AA161" s="197"/>
    </row>
    <row r="162" spans="1:27" x14ac:dyDescent="0.35">
      <c r="A162">
        <v>161</v>
      </c>
      <c r="B162" s="147" t="s">
        <v>317</v>
      </c>
      <c r="C162" s="388"/>
      <c r="D162" s="388"/>
      <c r="E162" s="388"/>
      <c r="F162" s="388"/>
      <c r="G162" s="388"/>
      <c r="H162" s="388"/>
      <c r="I162" s="388"/>
      <c r="J162" s="388"/>
      <c r="K162" s="389"/>
      <c r="L162" s="388"/>
      <c r="M162" s="352" t="s">
        <v>14</v>
      </c>
      <c r="O162" s="198"/>
      <c r="P162" s="198"/>
      <c r="Q162" s="198"/>
      <c r="R162" s="198"/>
      <c r="S162" s="198"/>
      <c r="T162" s="198"/>
      <c r="U162" s="198"/>
      <c r="V162" s="198"/>
      <c r="X162" s="196"/>
      <c r="Y162" s="196"/>
      <c r="Z162" s="196"/>
      <c r="AA162" s="197"/>
    </row>
    <row r="163" spans="1:27" x14ac:dyDescent="0.35">
      <c r="A163">
        <v>162</v>
      </c>
      <c r="B163" s="147" t="s">
        <v>318</v>
      </c>
      <c r="C163" s="388"/>
      <c r="D163" s="388"/>
      <c r="E163" s="388"/>
      <c r="F163" s="388"/>
      <c r="G163" s="388"/>
      <c r="H163" s="388"/>
      <c r="I163" s="388"/>
      <c r="J163" s="388"/>
      <c r="K163" s="389"/>
      <c r="L163" s="388"/>
      <c r="M163" s="352" t="s">
        <v>14</v>
      </c>
      <c r="O163" s="196"/>
      <c r="P163" s="196"/>
      <c r="Q163" s="196"/>
      <c r="R163" s="196"/>
      <c r="S163" s="196"/>
      <c r="T163" s="196"/>
      <c r="U163" s="196"/>
      <c r="V163" s="196"/>
      <c r="X163" s="196"/>
      <c r="Y163" s="196"/>
      <c r="Z163" s="196"/>
      <c r="AA163" s="197"/>
    </row>
    <row r="164" spans="1:27" x14ac:dyDescent="0.35">
      <c r="A164">
        <v>163</v>
      </c>
      <c r="B164" s="147" t="s">
        <v>320</v>
      </c>
      <c r="C164" s="388"/>
      <c r="D164" s="388"/>
      <c r="E164" s="388"/>
      <c r="F164" s="388"/>
      <c r="G164" s="388"/>
      <c r="H164" s="388"/>
      <c r="I164" s="388"/>
      <c r="J164" s="388"/>
      <c r="K164" s="389"/>
      <c r="L164" s="388"/>
      <c r="M164" s="352" t="s">
        <v>14</v>
      </c>
      <c r="O164" s="196"/>
      <c r="P164" s="196"/>
      <c r="Q164" s="196"/>
      <c r="R164" s="196"/>
      <c r="S164" s="196"/>
      <c r="T164" s="196"/>
      <c r="U164" s="196"/>
      <c r="V164" s="196"/>
      <c r="X164" s="196"/>
      <c r="Y164" s="196"/>
      <c r="Z164" s="196"/>
      <c r="AA164" s="197"/>
    </row>
    <row r="165" spans="1:27" x14ac:dyDescent="0.35">
      <c r="A165">
        <v>164</v>
      </c>
      <c r="B165" s="147" t="s">
        <v>322</v>
      </c>
      <c r="C165" s="388"/>
      <c r="D165" s="388"/>
      <c r="E165" s="388"/>
      <c r="F165" s="388"/>
      <c r="G165" s="388"/>
      <c r="H165" s="388"/>
      <c r="I165" s="388"/>
      <c r="J165" s="388"/>
      <c r="K165" s="389"/>
      <c r="L165" s="388"/>
      <c r="M165" s="352" t="s">
        <v>14</v>
      </c>
      <c r="O165" s="198"/>
      <c r="P165" s="198"/>
      <c r="Q165" s="198"/>
      <c r="R165" s="196"/>
      <c r="S165" s="196"/>
      <c r="T165" s="196"/>
      <c r="U165" s="196"/>
      <c r="V165" s="196"/>
      <c r="X165" s="194"/>
      <c r="Y165" s="194"/>
      <c r="Z165" s="194"/>
      <c r="AA165" s="195"/>
    </row>
    <row r="166" spans="1:27" x14ac:dyDescent="0.35">
      <c r="A166">
        <v>165</v>
      </c>
      <c r="B166" s="349" t="s">
        <v>331</v>
      </c>
      <c r="C166" s="306">
        <v>2474</v>
      </c>
      <c r="D166" s="390">
        <v>641</v>
      </c>
      <c r="E166" s="306">
        <v>567</v>
      </c>
      <c r="F166" s="306">
        <v>24</v>
      </c>
      <c r="G166" s="306"/>
      <c r="H166" s="306"/>
      <c r="I166" s="306"/>
      <c r="J166" s="306">
        <v>941</v>
      </c>
      <c r="K166" s="306">
        <v>884</v>
      </c>
      <c r="L166" s="306">
        <v>649</v>
      </c>
      <c r="M166" s="352" t="s">
        <v>15</v>
      </c>
      <c r="O166" s="196"/>
      <c r="Q166" s="196"/>
      <c r="R166" s="196"/>
      <c r="S166" s="196"/>
      <c r="T166" s="196"/>
      <c r="U166" s="196"/>
      <c r="V166" s="196"/>
      <c r="X166" s="196"/>
      <c r="Y166" s="196"/>
      <c r="Z166" s="196"/>
      <c r="AA166" s="197"/>
    </row>
    <row r="167" spans="1:27" x14ac:dyDescent="0.35">
      <c r="A167">
        <v>166</v>
      </c>
      <c r="B167" s="349" t="s">
        <v>332</v>
      </c>
      <c r="C167" s="306">
        <f>3066+443</f>
        <v>3509</v>
      </c>
      <c r="D167" s="390">
        <f>1228+1043</f>
        <v>2271</v>
      </c>
      <c r="E167" s="306">
        <f>1261+462</f>
        <v>1723</v>
      </c>
      <c r="F167" s="306">
        <f>4131+265</f>
        <v>4396</v>
      </c>
      <c r="G167" s="306"/>
      <c r="H167" s="306"/>
      <c r="I167" s="306"/>
      <c r="J167" s="306">
        <v>1068</v>
      </c>
      <c r="K167" s="306">
        <f>1027+443</f>
        <v>1470</v>
      </c>
      <c r="L167" s="306">
        <v>971</v>
      </c>
      <c r="M167" s="352" t="s">
        <v>15</v>
      </c>
      <c r="O167" s="198"/>
      <c r="Q167" s="198"/>
      <c r="R167" s="198"/>
      <c r="S167" s="198"/>
      <c r="T167" s="198"/>
      <c r="U167" s="198"/>
      <c r="V167" s="198"/>
      <c r="X167" s="196"/>
      <c r="Y167" s="196"/>
      <c r="Z167" s="196"/>
      <c r="AA167" s="197"/>
    </row>
    <row r="168" spans="1:27" x14ac:dyDescent="0.35">
      <c r="A168">
        <v>167</v>
      </c>
      <c r="B168" s="349" t="s">
        <v>333</v>
      </c>
      <c r="C168" s="306">
        <v>1825</v>
      </c>
      <c r="D168" s="390">
        <v>343</v>
      </c>
      <c r="E168" s="306">
        <v>304</v>
      </c>
      <c r="F168" s="306">
        <v>775</v>
      </c>
      <c r="G168" s="306"/>
      <c r="H168" s="306"/>
      <c r="I168" s="306"/>
      <c r="J168" s="306">
        <v>544</v>
      </c>
      <c r="K168" s="306">
        <v>887</v>
      </c>
      <c r="L168" s="306">
        <v>394</v>
      </c>
      <c r="M168" s="352" t="s">
        <v>15</v>
      </c>
      <c r="O168" s="196"/>
      <c r="Q168" s="196"/>
      <c r="R168" s="196"/>
      <c r="S168" s="196"/>
      <c r="T168" s="196"/>
      <c r="U168" s="196"/>
      <c r="V168" s="196"/>
      <c r="X168" s="196"/>
      <c r="Y168" s="196"/>
      <c r="Z168" s="196"/>
      <c r="AA168" s="197"/>
    </row>
    <row r="169" spans="1:27" x14ac:dyDescent="0.35">
      <c r="A169">
        <v>168</v>
      </c>
      <c r="B169" s="349" t="s">
        <v>334</v>
      </c>
      <c r="C169" s="391"/>
      <c r="D169" s="392"/>
      <c r="E169" s="391"/>
      <c r="F169" s="391"/>
      <c r="G169" s="391"/>
      <c r="H169" s="391"/>
      <c r="I169" s="391"/>
      <c r="J169" s="391"/>
      <c r="K169" s="391"/>
      <c r="L169" s="391"/>
      <c r="M169" s="352" t="s">
        <v>15</v>
      </c>
      <c r="O169" s="202"/>
      <c r="Q169" s="202"/>
      <c r="R169" s="202"/>
      <c r="S169" s="202"/>
      <c r="T169" s="202"/>
      <c r="U169" s="202"/>
      <c r="V169" s="202"/>
      <c r="X169" s="202"/>
      <c r="Y169" s="202"/>
      <c r="Z169" s="202"/>
      <c r="AA169" s="203"/>
    </row>
    <row r="170" spans="1:27" x14ac:dyDescent="0.35">
      <c r="A170">
        <v>169</v>
      </c>
      <c r="B170" s="349" t="s">
        <v>335</v>
      </c>
      <c r="C170" s="391"/>
      <c r="D170" s="392"/>
      <c r="E170" s="391"/>
      <c r="F170" s="391"/>
      <c r="G170" s="391"/>
      <c r="H170" s="391"/>
      <c r="I170" s="391"/>
      <c r="J170" s="391"/>
      <c r="K170" s="391"/>
      <c r="L170" s="391"/>
      <c r="M170" s="352" t="s">
        <v>15</v>
      </c>
      <c r="O170" s="202"/>
      <c r="Q170" s="202"/>
      <c r="R170" s="202"/>
      <c r="S170" s="202"/>
      <c r="T170" s="202"/>
      <c r="U170" s="202"/>
      <c r="V170" s="202"/>
      <c r="X170" s="202"/>
      <c r="Y170" s="202"/>
      <c r="Z170" s="202"/>
      <c r="AA170" s="203"/>
    </row>
    <row r="171" spans="1:27" x14ac:dyDescent="0.35">
      <c r="A171">
        <v>170</v>
      </c>
      <c r="B171" s="349" t="s">
        <v>336</v>
      </c>
      <c r="C171" s="391"/>
      <c r="D171" s="392"/>
      <c r="E171" s="391"/>
      <c r="F171" s="391"/>
      <c r="G171" s="391"/>
      <c r="H171" s="391"/>
      <c r="I171" s="391"/>
      <c r="J171" s="391"/>
      <c r="K171" s="391"/>
      <c r="L171" s="391"/>
      <c r="M171" s="352" t="s">
        <v>15</v>
      </c>
      <c r="O171" s="202"/>
      <c r="Q171" s="202"/>
      <c r="R171" s="202"/>
      <c r="S171" s="202"/>
      <c r="T171" s="202"/>
      <c r="U171" s="202"/>
      <c r="V171" s="202"/>
      <c r="X171" s="200"/>
      <c r="Y171" s="200"/>
      <c r="Z171" s="200"/>
      <c r="AA171" s="201"/>
    </row>
    <row r="172" spans="1:27" x14ac:dyDescent="0.35">
      <c r="A172">
        <v>171</v>
      </c>
      <c r="B172" s="236" t="s">
        <v>337</v>
      </c>
      <c r="C172" s="301">
        <v>178</v>
      </c>
      <c r="D172" s="301">
        <v>147</v>
      </c>
      <c r="E172" s="301">
        <v>6</v>
      </c>
      <c r="F172" s="301">
        <v>3524</v>
      </c>
      <c r="G172" s="301"/>
      <c r="H172" s="301"/>
      <c r="I172" s="301"/>
      <c r="J172" s="301">
        <v>94</v>
      </c>
      <c r="K172" s="333">
        <v>40</v>
      </c>
      <c r="L172" s="301">
        <v>44</v>
      </c>
      <c r="M172" s="352" t="s">
        <v>16</v>
      </c>
      <c r="O172" s="228"/>
      <c r="Q172" s="228"/>
      <c r="R172" s="228"/>
      <c r="S172" s="228"/>
      <c r="T172" s="228"/>
      <c r="U172" s="228"/>
      <c r="V172" s="228"/>
      <c r="X172" s="228"/>
      <c r="Y172" s="228"/>
      <c r="Z172" s="228"/>
      <c r="AA172" s="229"/>
    </row>
    <row r="173" spans="1:27" x14ac:dyDescent="0.35">
      <c r="A173">
        <v>172</v>
      </c>
      <c r="B173" s="236" t="s">
        <v>354</v>
      </c>
      <c r="C173" s="301">
        <v>1199</v>
      </c>
      <c r="D173" s="301">
        <v>451</v>
      </c>
      <c r="E173" s="301">
        <v>282</v>
      </c>
      <c r="F173" s="301">
        <v>1417</v>
      </c>
      <c r="G173" s="301"/>
      <c r="H173" s="301"/>
      <c r="I173" s="301"/>
      <c r="J173" s="301">
        <v>263</v>
      </c>
      <c r="K173" s="333">
        <v>625</v>
      </c>
      <c r="L173" s="301">
        <v>311</v>
      </c>
      <c r="M173" s="352" t="s">
        <v>16</v>
      </c>
      <c r="O173" s="228"/>
      <c r="Q173" s="228"/>
      <c r="R173" s="228"/>
      <c r="S173" s="228"/>
      <c r="T173" s="228"/>
      <c r="U173" s="228"/>
      <c r="V173" s="228"/>
      <c r="X173" s="228"/>
      <c r="Y173" s="228"/>
      <c r="Z173" s="228"/>
      <c r="AA173" s="229"/>
    </row>
    <row r="174" spans="1:27" x14ac:dyDescent="0.35">
      <c r="A174">
        <v>173</v>
      </c>
      <c r="B174" s="236" t="s">
        <v>341</v>
      </c>
      <c r="C174" s="301">
        <f>989+190</f>
        <v>1179</v>
      </c>
      <c r="D174" s="301">
        <f>660+840</f>
        <v>1500</v>
      </c>
      <c r="E174" s="301">
        <f>309+110</f>
        <v>419</v>
      </c>
      <c r="F174" s="301">
        <f>2876+152</f>
        <v>3028</v>
      </c>
      <c r="G174" s="301"/>
      <c r="H174" s="301"/>
      <c r="I174" s="301"/>
      <c r="J174" s="301">
        <v>311</v>
      </c>
      <c r="K174" s="333">
        <f>468+131</f>
        <v>599</v>
      </c>
      <c r="L174" s="301">
        <f>210+59</f>
        <v>269</v>
      </c>
      <c r="M174" s="352" t="s">
        <v>16</v>
      </c>
      <c r="O174" s="228"/>
      <c r="Q174" s="228"/>
      <c r="R174" s="228"/>
      <c r="S174" s="228"/>
      <c r="T174" s="228"/>
      <c r="U174" s="228"/>
      <c r="V174" s="228"/>
      <c r="X174" s="228"/>
      <c r="Y174" s="228"/>
      <c r="Z174" s="228"/>
      <c r="AA174" s="229"/>
    </row>
    <row r="175" spans="1:27" x14ac:dyDescent="0.35">
      <c r="A175">
        <v>174</v>
      </c>
      <c r="B175" s="236" t="s">
        <v>357</v>
      </c>
      <c r="C175" s="301">
        <f>521+106</f>
        <v>627</v>
      </c>
      <c r="D175" s="301">
        <v>184</v>
      </c>
      <c r="E175" s="301">
        <v>38</v>
      </c>
      <c r="F175" s="301">
        <f>181+61</f>
        <v>242</v>
      </c>
      <c r="G175" s="301"/>
      <c r="H175" s="301"/>
      <c r="I175" s="301"/>
      <c r="J175" s="301">
        <v>239</v>
      </c>
      <c r="K175" s="333">
        <v>206</v>
      </c>
      <c r="L175" s="301">
        <f>76+106</f>
        <v>182</v>
      </c>
      <c r="M175" s="352" t="s">
        <v>16</v>
      </c>
      <c r="O175" s="228"/>
      <c r="Q175" s="228"/>
      <c r="R175" s="228"/>
      <c r="S175" s="228"/>
      <c r="T175" s="228"/>
      <c r="U175" s="228"/>
      <c r="V175" s="228"/>
      <c r="X175" s="228"/>
      <c r="Y175" s="228"/>
      <c r="Z175" s="228"/>
      <c r="AA175" s="229"/>
    </row>
    <row r="176" spans="1:27" x14ac:dyDescent="0.35">
      <c r="A176">
        <v>175</v>
      </c>
      <c r="B176" s="236" t="s">
        <v>345</v>
      </c>
      <c r="C176" s="301">
        <f>190+401</f>
        <v>591</v>
      </c>
      <c r="D176" s="301">
        <f>755+521</f>
        <v>1276</v>
      </c>
      <c r="E176" s="301">
        <f>46+209</f>
        <v>255</v>
      </c>
      <c r="F176" s="301">
        <f>364+321</f>
        <v>685</v>
      </c>
      <c r="G176" s="301"/>
      <c r="H176" s="301"/>
      <c r="I176" s="301"/>
      <c r="J176" s="301">
        <v>98</v>
      </c>
      <c r="K176" s="333">
        <f>61+401</f>
        <v>462</v>
      </c>
      <c r="L176" s="301">
        <v>31</v>
      </c>
      <c r="M176" s="352" t="s">
        <v>16</v>
      </c>
      <c r="O176" s="228"/>
      <c r="Q176" s="228"/>
      <c r="R176" s="228"/>
      <c r="S176" s="228"/>
      <c r="T176" s="228"/>
      <c r="U176" s="228"/>
      <c r="V176" s="228"/>
      <c r="X176" s="228"/>
      <c r="Y176" s="228"/>
      <c r="Z176" s="228"/>
      <c r="AA176" s="229"/>
    </row>
    <row r="177" spans="1:27" x14ac:dyDescent="0.35">
      <c r="A177">
        <v>176</v>
      </c>
      <c r="B177" s="236" t="s">
        <v>338</v>
      </c>
      <c r="C177" s="301">
        <f>374+192</f>
        <v>566</v>
      </c>
      <c r="D177" s="301">
        <f>1170+595</f>
        <v>1765</v>
      </c>
      <c r="E177" s="301">
        <f>115+114</f>
        <v>229</v>
      </c>
      <c r="F177" s="301">
        <f>569+153</f>
        <v>722</v>
      </c>
      <c r="G177" s="301"/>
      <c r="H177" s="301"/>
      <c r="I177" s="301"/>
      <c r="J177" s="301">
        <v>230</v>
      </c>
      <c r="K177" s="333">
        <f>98+192</f>
        <v>290</v>
      </c>
      <c r="L177" s="301">
        <v>45</v>
      </c>
      <c r="M177" s="352" t="s">
        <v>16</v>
      </c>
      <c r="O177" s="228"/>
      <c r="Q177" s="228"/>
      <c r="R177" s="228"/>
      <c r="S177" s="228"/>
      <c r="T177" s="228"/>
      <c r="U177" s="228"/>
      <c r="V177" s="228"/>
      <c r="X177" s="228"/>
      <c r="Y177" s="228"/>
      <c r="Z177" s="228"/>
      <c r="AA177" s="229"/>
    </row>
    <row r="178" spans="1:27" x14ac:dyDescent="0.35">
      <c r="A178">
        <v>177</v>
      </c>
      <c r="B178" s="236" t="s">
        <v>348</v>
      </c>
      <c r="C178" s="301">
        <v>520</v>
      </c>
      <c r="D178" s="301">
        <v>1218</v>
      </c>
      <c r="E178" s="301">
        <v>357</v>
      </c>
      <c r="F178" s="301">
        <v>1967</v>
      </c>
      <c r="G178" s="301"/>
      <c r="H178" s="301"/>
      <c r="I178" s="301"/>
      <c r="J178" s="301">
        <v>123</v>
      </c>
      <c r="K178" s="333">
        <v>294</v>
      </c>
      <c r="L178" s="301">
        <v>103</v>
      </c>
      <c r="M178" s="352" t="s">
        <v>16</v>
      </c>
      <c r="O178" s="228"/>
      <c r="Q178" s="228"/>
      <c r="R178" s="228"/>
      <c r="S178" s="228"/>
      <c r="T178" s="228"/>
      <c r="U178" s="228"/>
      <c r="V178" s="228"/>
      <c r="X178" s="228"/>
      <c r="Y178" s="228"/>
      <c r="Z178" s="228"/>
      <c r="AA178" s="229"/>
    </row>
    <row r="179" spans="1:27" x14ac:dyDescent="0.35">
      <c r="A179">
        <v>178</v>
      </c>
      <c r="B179" s="236" t="s">
        <v>353</v>
      </c>
      <c r="C179" s="301">
        <v>479</v>
      </c>
      <c r="D179" s="301">
        <v>834</v>
      </c>
      <c r="E179" s="301">
        <v>101</v>
      </c>
      <c r="F179" s="301">
        <v>2571</v>
      </c>
      <c r="G179" s="301"/>
      <c r="H179" s="301"/>
      <c r="I179" s="301"/>
      <c r="J179" s="301">
        <v>315</v>
      </c>
      <c r="K179" s="333">
        <v>121</v>
      </c>
      <c r="L179" s="301">
        <v>42</v>
      </c>
      <c r="M179" s="352" t="s">
        <v>16</v>
      </c>
      <c r="O179" s="228"/>
      <c r="Q179" s="228"/>
      <c r="R179" s="228"/>
      <c r="S179" s="228"/>
      <c r="T179" s="228"/>
      <c r="U179" s="228"/>
      <c r="V179" s="228"/>
      <c r="X179" s="228"/>
      <c r="Y179" s="228"/>
      <c r="Z179" s="228"/>
      <c r="AA179" s="229"/>
    </row>
    <row r="180" spans="1:27" x14ac:dyDescent="0.35">
      <c r="A180">
        <v>179</v>
      </c>
      <c r="B180" s="236" t="s">
        <v>346</v>
      </c>
      <c r="C180" s="301">
        <f>174+203</f>
        <v>377</v>
      </c>
      <c r="D180" s="301">
        <f>721+599</f>
        <v>1320</v>
      </c>
      <c r="E180" s="301">
        <f>50+88</f>
        <v>138</v>
      </c>
      <c r="F180" s="301">
        <f>867+162</f>
        <v>1029</v>
      </c>
      <c r="G180" s="301"/>
      <c r="H180" s="301"/>
      <c r="I180" s="301"/>
      <c r="J180" s="301">
        <f>81+56</f>
        <v>137</v>
      </c>
      <c r="K180" s="333">
        <f>69+147</f>
        <v>216</v>
      </c>
      <c r="L180" s="301">
        <v>24</v>
      </c>
      <c r="M180" s="352" t="s">
        <v>16</v>
      </c>
      <c r="O180" s="228"/>
      <c r="Q180" s="228"/>
      <c r="R180" s="228"/>
      <c r="S180" s="228"/>
      <c r="T180" s="228"/>
      <c r="U180" s="228"/>
      <c r="V180" s="228"/>
      <c r="X180" s="228"/>
      <c r="Y180" s="228"/>
      <c r="Z180" s="228"/>
      <c r="AA180" s="229"/>
    </row>
    <row r="181" spans="1:27" x14ac:dyDescent="0.35">
      <c r="A181">
        <v>180</v>
      </c>
      <c r="B181" s="236" t="s">
        <v>350</v>
      </c>
      <c r="C181" s="301">
        <v>253</v>
      </c>
      <c r="D181" s="301">
        <v>688</v>
      </c>
      <c r="E181" s="301">
        <v>35</v>
      </c>
      <c r="F181" s="301">
        <v>759</v>
      </c>
      <c r="G181" s="301"/>
      <c r="H181" s="301"/>
      <c r="I181" s="301"/>
      <c r="J181" s="301">
        <v>163</v>
      </c>
      <c r="K181" s="333">
        <v>50</v>
      </c>
      <c r="L181" s="301">
        <v>40</v>
      </c>
      <c r="M181" s="352" t="s">
        <v>16</v>
      </c>
      <c r="O181" s="228"/>
      <c r="Q181" s="228"/>
      <c r="R181" s="228"/>
      <c r="S181" s="228"/>
      <c r="T181" s="228"/>
      <c r="U181" s="228"/>
      <c r="V181" s="228"/>
      <c r="X181" s="228"/>
      <c r="Y181" s="228"/>
      <c r="Z181" s="228"/>
      <c r="AA181" s="229"/>
    </row>
    <row r="182" spans="1:27" x14ac:dyDescent="0.35">
      <c r="A182">
        <v>181</v>
      </c>
      <c r="B182" s="236" t="s">
        <v>352</v>
      </c>
      <c r="C182" s="301">
        <v>245</v>
      </c>
      <c r="D182" s="301">
        <v>328</v>
      </c>
      <c r="E182" s="301">
        <v>40</v>
      </c>
      <c r="F182" s="301">
        <v>2553</v>
      </c>
      <c r="G182" s="301"/>
      <c r="H182" s="301"/>
      <c r="I182" s="301"/>
      <c r="J182" s="301">
        <v>37</v>
      </c>
      <c r="K182" s="333">
        <v>121</v>
      </c>
      <c r="L182" s="301">
        <v>87</v>
      </c>
      <c r="M182" s="352" t="s">
        <v>16</v>
      </c>
      <c r="O182" s="228"/>
      <c r="Q182" s="228"/>
      <c r="R182" s="228"/>
      <c r="S182" s="228"/>
      <c r="T182" s="228"/>
      <c r="U182" s="228"/>
      <c r="V182" s="228"/>
      <c r="X182" s="228"/>
      <c r="Y182" s="228"/>
      <c r="Z182" s="228"/>
      <c r="AA182" s="229"/>
    </row>
    <row r="183" spans="1:27" x14ac:dyDescent="0.35">
      <c r="A183">
        <v>182</v>
      </c>
      <c r="B183" s="236" t="s">
        <v>347</v>
      </c>
      <c r="C183" s="301">
        <v>213</v>
      </c>
      <c r="D183" s="301">
        <v>200</v>
      </c>
      <c r="E183" s="301">
        <v>23</v>
      </c>
      <c r="F183" s="301">
        <v>472</v>
      </c>
      <c r="G183" s="301"/>
      <c r="H183" s="301"/>
      <c r="I183" s="301"/>
      <c r="J183" s="301">
        <v>49</v>
      </c>
      <c r="K183" s="333">
        <v>116</v>
      </c>
      <c r="L183" s="301">
        <v>48</v>
      </c>
      <c r="M183" s="352" t="s">
        <v>16</v>
      </c>
      <c r="O183" s="228"/>
      <c r="Q183" s="228"/>
      <c r="R183" s="228"/>
      <c r="S183" s="228"/>
      <c r="T183" s="228"/>
      <c r="U183" s="228"/>
      <c r="V183" s="228"/>
      <c r="X183" s="228"/>
      <c r="Y183" s="228"/>
      <c r="Z183" s="228"/>
      <c r="AA183" s="229"/>
    </row>
    <row r="184" spans="1:27" x14ac:dyDescent="0.35">
      <c r="A184">
        <v>183</v>
      </c>
      <c r="B184" s="236" t="s">
        <v>349</v>
      </c>
      <c r="C184" s="301">
        <v>202</v>
      </c>
      <c r="D184" s="301">
        <v>1247</v>
      </c>
      <c r="E184" s="301">
        <v>120</v>
      </c>
      <c r="F184" s="301">
        <v>2078</v>
      </c>
      <c r="G184" s="301"/>
      <c r="H184" s="301"/>
      <c r="I184" s="301"/>
      <c r="J184" s="301">
        <v>64</v>
      </c>
      <c r="K184" s="333">
        <v>96</v>
      </c>
      <c r="L184" s="301">
        <v>41</v>
      </c>
      <c r="M184" s="352" t="s">
        <v>16</v>
      </c>
      <c r="O184" s="228"/>
      <c r="Q184" s="228"/>
      <c r="R184" s="228"/>
      <c r="S184" s="228"/>
      <c r="T184" s="228"/>
      <c r="U184" s="228"/>
      <c r="V184" s="228"/>
      <c r="X184" s="228"/>
      <c r="Y184" s="228"/>
      <c r="Z184" s="228"/>
      <c r="AA184" s="229"/>
    </row>
    <row r="185" spans="1:27" x14ac:dyDescent="0.35">
      <c r="A185">
        <v>184</v>
      </c>
      <c r="B185" s="236" t="s">
        <v>356</v>
      </c>
      <c r="C185" s="301">
        <v>159</v>
      </c>
      <c r="D185" s="393"/>
      <c r="E185" s="301">
        <v>15</v>
      </c>
      <c r="F185" s="301">
        <v>216</v>
      </c>
      <c r="G185" s="301"/>
      <c r="H185" s="301"/>
      <c r="I185" s="301"/>
      <c r="J185" s="301">
        <v>135</v>
      </c>
      <c r="K185" s="394"/>
      <c r="L185" s="301">
        <v>24</v>
      </c>
      <c r="M185" s="352" t="s">
        <v>16</v>
      </c>
      <c r="O185" s="228"/>
      <c r="Q185" s="228"/>
      <c r="R185" s="228"/>
      <c r="S185" s="228"/>
      <c r="T185" s="228"/>
      <c r="U185" s="228"/>
      <c r="V185" s="228"/>
      <c r="X185" s="228"/>
      <c r="Y185" s="228"/>
      <c r="Z185" s="228"/>
      <c r="AA185" s="229"/>
    </row>
    <row r="186" spans="1:27" x14ac:dyDescent="0.35">
      <c r="A186">
        <v>185</v>
      </c>
      <c r="B186" s="236" t="s">
        <v>342</v>
      </c>
      <c r="C186" s="301">
        <v>143</v>
      </c>
      <c r="D186" s="301">
        <v>88</v>
      </c>
      <c r="E186" s="301">
        <v>4</v>
      </c>
      <c r="F186" s="301">
        <v>490</v>
      </c>
      <c r="G186" s="301"/>
      <c r="H186" s="301"/>
      <c r="I186" s="301"/>
      <c r="J186" s="301">
        <v>73</v>
      </c>
      <c r="K186" s="333">
        <v>50</v>
      </c>
      <c r="L186" s="301">
        <v>20</v>
      </c>
      <c r="M186" s="352" t="s">
        <v>16</v>
      </c>
      <c r="O186" s="232"/>
      <c r="Q186" s="228"/>
      <c r="R186" s="228"/>
      <c r="S186" s="228"/>
      <c r="T186" s="228"/>
      <c r="U186" s="228"/>
      <c r="V186" s="228"/>
      <c r="X186" s="228"/>
      <c r="Y186" s="228"/>
      <c r="Z186" s="228"/>
      <c r="AA186" s="229"/>
    </row>
    <row r="187" spans="1:27" x14ac:dyDescent="0.35">
      <c r="A187">
        <v>186</v>
      </c>
      <c r="B187" s="236" t="s">
        <v>339</v>
      </c>
      <c r="C187" s="301">
        <v>122</v>
      </c>
      <c r="D187" s="301">
        <v>429</v>
      </c>
      <c r="E187" s="301">
        <v>6</v>
      </c>
      <c r="F187" s="301">
        <v>170</v>
      </c>
      <c r="G187" s="301"/>
      <c r="H187" s="301"/>
      <c r="I187" s="301"/>
      <c r="J187" s="301">
        <v>99</v>
      </c>
      <c r="K187" s="333">
        <v>13</v>
      </c>
      <c r="L187" s="301">
        <v>10</v>
      </c>
      <c r="M187" s="352" t="s">
        <v>16</v>
      </c>
      <c r="O187" s="228"/>
      <c r="Q187" s="228"/>
      <c r="R187" s="228"/>
      <c r="S187" s="228"/>
      <c r="T187" s="228"/>
      <c r="U187" s="228"/>
      <c r="V187" s="228"/>
      <c r="X187" s="228"/>
      <c r="Y187" s="228"/>
      <c r="Z187" s="228"/>
      <c r="AA187" s="229"/>
    </row>
    <row r="188" spans="1:27" x14ac:dyDescent="0.35">
      <c r="A188">
        <v>187</v>
      </c>
      <c r="B188" s="236" t="s">
        <v>344</v>
      </c>
      <c r="C188" s="301">
        <v>118</v>
      </c>
      <c r="D188" s="301">
        <v>83</v>
      </c>
      <c r="E188" s="301">
        <v>3</v>
      </c>
      <c r="F188" s="301">
        <v>492</v>
      </c>
      <c r="G188" s="301"/>
      <c r="H188" s="301"/>
      <c r="I188" s="301"/>
      <c r="J188" s="301">
        <v>57</v>
      </c>
      <c r="K188" s="333">
        <v>42</v>
      </c>
      <c r="L188" s="301">
        <v>19</v>
      </c>
      <c r="M188" s="352" t="s">
        <v>16</v>
      </c>
      <c r="O188" s="228"/>
      <c r="Q188" s="228"/>
      <c r="R188" s="228"/>
      <c r="S188" s="228"/>
      <c r="T188" s="228"/>
      <c r="U188" s="228"/>
      <c r="V188" s="228"/>
      <c r="X188" s="228"/>
      <c r="Y188" s="228"/>
      <c r="Z188" s="228"/>
      <c r="AA188" s="229"/>
    </row>
    <row r="189" spans="1:27" x14ac:dyDescent="0.35">
      <c r="A189">
        <v>188</v>
      </c>
      <c r="B189" s="236" t="s">
        <v>358</v>
      </c>
      <c r="C189" s="301">
        <v>95</v>
      </c>
      <c r="D189" s="301">
        <v>558</v>
      </c>
      <c r="E189" s="301">
        <v>13</v>
      </c>
      <c r="F189" s="301">
        <v>371</v>
      </c>
      <c r="G189" s="301"/>
      <c r="H189" s="301"/>
      <c r="I189" s="301"/>
      <c r="J189" s="301">
        <v>50</v>
      </c>
      <c r="K189" s="333">
        <v>23</v>
      </c>
      <c r="L189" s="301">
        <v>22</v>
      </c>
      <c r="M189" s="352" t="s">
        <v>16</v>
      </c>
      <c r="O189" s="228"/>
      <c r="Q189" s="228"/>
      <c r="R189" s="228"/>
      <c r="S189" s="228"/>
      <c r="T189" s="228"/>
      <c r="U189" s="228"/>
      <c r="V189" s="228"/>
      <c r="X189" s="228"/>
      <c r="Y189" s="228"/>
      <c r="Z189" s="228"/>
      <c r="AA189" s="229"/>
    </row>
    <row r="190" spans="1:27" x14ac:dyDescent="0.35">
      <c r="A190">
        <v>189</v>
      </c>
      <c r="B190" s="236" t="s">
        <v>340</v>
      </c>
      <c r="C190" s="301">
        <v>82</v>
      </c>
      <c r="D190" s="301">
        <v>580</v>
      </c>
      <c r="E190" s="301">
        <v>14</v>
      </c>
      <c r="F190" s="301">
        <v>99</v>
      </c>
      <c r="G190" s="301"/>
      <c r="H190" s="301"/>
      <c r="I190" s="301"/>
      <c r="J190" s="301">
        <v>40</v>
      </c>
      <c r="K190" s="333">
        <v>24</v>
      </c>
      <c r="L190" s="301">
        <v>18</v>
      </c>
      <c r="M190" s="352" t="s">
        <v>16</v>
      </c>
      <c r="O190" s="228"/>
      <c r="Q190" s="228"/>
      <c r="R190" s="228"/>
      <c r="S190" s="228"/>
      <c r="T190" s="228"/>
      <c r="U190" s="228"/>
      <c r="V190" s="228"/>
      <c r="X190" s="228"/>
      <c r="Y190" s="228"/>
      <c r="Z190" s="228"/>
      <c r="AA190" s="229"/>
    </row>
    <row r="191" spans="1:27" x14ac:dyDescent="0.35">
      <c r="A191">
        <v>190</v>
      </c>
      <c r="B191" s="236" t="s">
        <v>343</v>
      </c>
      <c r="C191" s="301">
        <v>45</v>
      </c>
      <c r="D191" s="301">
        <v>384</v>
      </c>
      <c r="E191" s="301">
        <v>4</v>
      </c>
      <c r="F191" s="301">
        <v>92</v>
      </c>
      <c r="G191" s="301"/>
      <c r="H191" s="301"/>
      <c r="I191" s="301"/>
      <c r="J191" s="301">
        <v>31</v>
      </c>
      <c r="K191" s="333">
        <v>11</v>
      </c>
      <c r="L191" s="301">
        <v>4</v>
      </c>
      <c r="M191" s="352" t="s">
        <v>16</v>
      </c>
      <c r="O191" s="228"/>
      <c r="Q191" s="232"/>
      <c r="R191" s="232"/>
      <c r="S191" s="232"/>
      <c r="T191" s="232"/>
      <c r="U191" s="232"/>
      <c r="V191" s="232"/>
      <c r="X191" s="228"/>
      <c r="Y191" s="228"/>
      <c r="Z191" s="228"/>
      <c r="AA191" s="229"/>
    </row>
    <row r="192" spans="1:27" x14ac:dyDescent="0.35">
      <c r="A192">
        <v>191</v>
      </c>
      <c r="B192" s="236" t="s">
        <v>355</v>
      </c>
      <c r="C192" s="301">
        <v>13</v>
      </c>
      <c r="D192" s="301">
        <v>550</v>
      </c>
      <c r="E192" s="301">
        <v>4</v>
      </c>
      <c r="F192" s="301">
        <v>203</v>
      </c>
      <c r="G192" s="301"/>
      <c r="H192" s="301"/>
      <c r="I192" s="301"/>
      <c r="J192" s="301">
        <v>3</v>
      </c>
      <c r="K192" s="333">
        <v>6</v>
      </c>
      <c r="L192" s="301">
        <v>3</v>
      </c>
      <c r="M192" s="352" t="s">
        <v>16</v>
      </c>
      <c r="O192" s="228"/>
      <c r="Q192" s="228"/>
      <c r="R192" s="228"/>
      <c r="S192" s="228"/>
      <c r="T192" s="228"/>
      <c r="U192" s="228"/>
      <c r="V192" s="228"/>
      <c r="X192" s="228"/>
      <c r="Y192" s="228"/>
      <c r="Z192" s="228"/>
      <c r="AA192" s="229"/>
    </row>
    <row r="193" spans="1:27" x14ac:dyDescent="0.35">
      <c r="A193">
        <v>192</v>
      </c>
      <c r="B193" s="236" t="s">
        <v>351</v>
      </c>
      <c r="C193" s="301">
        <v>4</v>
      </c>
      <c r="D193" s="301">
        <v>400</v>
      </c>
      <c r="E193" s="301">
        <v>1</v>
      </c>
      <c r="F193" s="301">
        <v>18</v>
      </c>
      <c r="G193" s="301"/>
      <c r="H193" s="301"/>
      <c r="I193" s="301"/>
      <c r="J193" s="393"/>
      <c r="K193" s="333">
        <v>3</v>
      </c>
      <c r="L193" s="301">
        <v>1</v>
      </c>
      <c r="M193" s="352" t="s">
        <v>16</v>
      </c>
      <c r="O193" s="228"/>
      <c r="Q193" s="228"/>
      <c r="R193" s="228"/>
      <c r="S193" s="228"/>
      <c r="T193" s="228"/>
      <c r="U193" s="228"/>
      <c r="V193" s="228"/>
      <c r="X193" s="230"/>
      <c r="Y193" s="230"/>
      <c r="Z193" s="230"/>
      <c r="AA193" s="231"/>
    </row>
    <row r="194" spans="1:27" x14ac:dyDescent="0.35">
      <c r="A194">
        <v>193</v>
      </c>
      <c r="B194" s="138" t="s">
        <v>359</v>
      </c>
      <c r="C194" s="302">
        <v>1412</v>
      </c>
      <c r="D194" s="302">
        <v>702</v>
      </c>
      <c r="E194" s="302">
        <v>375</v>
      </c>
      <c r="F194" s="302">
        <v>9267</v>
      </c>
      <c r="G194" s="302"/>
      <c r="H194" s="302"/>
      <c r="I194" s="302"/>
      <c r="J194" s="302">
        <v>634</v>
      </c>
      <c r="K194" s="334">
        <v>535</v>
      </c>
      <c r="L194" s="302">
        <v>243</v>
      </c>
      <c r="M194" s="352" t="s">
        <v>364</v>
      </c>
      <c r="O194" s="228"/>
      <c r="Q194" s="228"/>
      <c r="R194" s="228"/>
      <c r="S194" s="228"/>
      <c r="T194" s="228"/>
      <c r="U194" s="228"/>
      <c r="V194" s="228"/>
      <c r="X194" s="228"/>
      <c r="Y194" s="228"/>
      <c r="Z194" s="228"/>
      <c r="AA194" s="229"/>
    </row>
    <row r="195" spans="1:27" x14ac:dyDescent="0.35">
      <c r="A195">
        <v>194</v>
      </c>
      <c r="B195" s="138" t="s">
        <v>362</v>
      </c>
      <c r="C195" s="302">
        <v>3587</v>
      </c>
      <c r="D195" s="302">
        <v>463</v>
      </c>
      <c r="E195" s="302">
        <v>843</v>
      </c>
      <c r="F195" s="302">
        <v>17937</v>
      </c>
      <c r="G195" s="302"/>
      <c r="H195" s="302"/>
      <c r="I195" s="302"/>
      <c r="J195" s="302">
        <v>1087</v>
      </c>
      <c r="K195" s="334">
        <v>1819</v>
      </c>
      <c r="L195" s="302">
        <v>681</v>
      </c>
      <c r="M195" s="352" t="s">
        <v>364</v>
      </c>
      <c r="O195" s="228"/>
      <c r="Q195" s="228"/>
      <c r="R195" s="228"/>
      <c r="S195" s="228"/>
      <c r="T195" s="228"/>
      <c r="U195" s="228"/>
      <c r="V195" s="228"/>
      <c r="X195" s="228"/>
      <c r="Y195" s="228"/>
      <c r="Z195" s="228"/>
      <c r="AA195" s="229"/>
    </row>
    <row r="196" spans="1:27" x14ac:dyDescent="0.35">
      <c r="A196">
        <v>195</v>
      </c>
      <c r="B196" s="138" t="s">
        <v>361</v>
      </c>
      <c r="C196" s="302">
        <v>87</v>
      </c>
      <c r="D196" s="302">
        <v>616</v>
      </c>
      <c r="E196" s="302">
        <v>19</v>
      </c>
      <c r="F196" s="302">
        <v>350</v>
      </c>
      <c r="G196" s="302"/>
      <c r="H196" s="302"/>
      <c r="I196" s="302"/>
      <c r="J196" s="302">
        <v>46</v>
      </c>
      <c r="K196" s="334">
        <v>30</v>
      </c>
      <c r="L196" s="302">
        <v>11</v>
      </c>
      <c r="M196" s="352" t="s">
        <v>364</v>
      </c>
      <c r="O196" s="228"/>
      <c r="Q196" s="228"/>
      <c r="R196" s="228"/>
      <c r="S196" s="228"/>
      <c r="T196" s="228"/>
      <c r="U196" s="228"/>
      <c r="V196" s="228"/>
      <c r="X196" s="228"/>
      <c r="Y196" s="228"/>
      <c r="Z196" s="228"/>
      <c r="AA196" s="229"/>
    </row>
    <row r="197" spans="1:27" x14ac:dyDescent="0.35">
      <c r="A197">
        <v>196</v>
      </c>
      <c r="B197" s="138" t="s">
        <v>360</v>
      </c>
      <c r="C197" s="302">
        <v>66</v>
      </c>
      <c r="D197" s="302">
        <v>103</v>
      </c>
      <c r="E197" s="302">
        <v>1</v>
      </c>
      <c r="F197" s="302">
        <v>741</v>
      </c>
      <c r="G197" s="302"/>
      <c r="H197" s="302"/>
      <c r="I197" s="302"/>
      <c r="J197" s="302">
        <v>55</v>
      </c>
      <c r="K197" s="334">
        <v>8</v>
      </c>
      <c r="L197" s="302">
        <v>3</v>
      </c>
      <c r="M197" s="352" t="s">
        <v>364</v>
      </c>
      <c r="O197" s="234"/>
      <c r="Q197" s="234"/>
      <c r="R197" s="234"/>
      <c r="S197" s="234"/>
      <c r="T197" s="234"/>
      <c r="U197" s="234"/>
      <c r="V197" s="234"/>
      <c r="X197" s="228"/>
      <c r="Y197" s="228"/>
      <c r="Z197" s="228"/>
      <c r="AA197" s="229"/>
    </row>
    <row r="198" spans="1:27" x14ac:dyDescent="0.35">
      <c r="A198">
        <v>197</v>
      </c>
      <c r="B198" s="138" t="s">
        <v>363</v>
      </c>
      <c r="C198" s="395"/>
      <c r="D198" s="395"/>
      <c r="E198" s="395"/>
      <c r="F198" s="395"/>
      <c r="G198" s="395"/>
      <c r="H198" s="395"/>
      <c r="I198" s="395"/>
      <c r="J198" s="395"/>
      <c r="K198" s="396"/>
      <c r="L198" s="395"/>
      <c r="M198" s="352" t="s">
        <v>364</v>
      </c>
      <c r="O198" s="232"/>
      <c r="Q198" s="232"/>
      <c r="R198" s="232"/>
      <c r="S198" s="232"/>
      <c r="T198" s="232"/>
      <c r="U198" s="232"/>
      <c r="V198" s="232"/>
      <c r="X198" s="237"/>
      <c r="Y198" s="237"/>
      <c r="Z198" s="237"/>
      <c r="AA198" s="238"/>
    </row>
    <row r="199" spans="1:27" x14ac:dyDescent="0.35">
      <c r="A199">
        <v>198</v>
      </c>
      <c r="B199" s="239" t="s">
        <v>365</v>
      </c>
      <c r="C199" s="397"/>
      <c r="D199" s="398"/>
      <c r="E199" s="398"/>
      <c r="F199" s="398"/>
      <c r="G199" s="398"/>
      <c r="H199" s="398"/>
      <c r="I199" s="398"/>
      <c r="J199" s="398"/>
      <c r="K199" s="399"/>
      <c r="L199" s="398"/>
      <c r="M199" s="352" t="s">
        <v>18</v>
      </c>
      <c r="O199" s="207"/>
      <c r="Q199" s="207"/>
      <c r="R199" s="207"/>
      <c r="S199" s="207"/>
      <c r="T199" s="207"/>
      <c r="U199" s="207"/>
      <c r="V199" s="207"/>
      <c r="X199" s="207"/>
      <c r="Y199" s="207"/>
      <c r="Z199" s="207"/>
      <c r="AA199" s="208"/>
    </row>
    <row r="200" spans="1:27" x14ac:dyDescent="0.35">
      <c r="A200">
        <v>199</v>
      </c>
      <c r="B200" s="239" t="s">
        <v>381</v>
      </c>
      <c r="C200" s="287">
        <f>1148+1556+1325</f>
        <v>4029</v>
      </c>
      <c r="D200" s="287">
        <f>782+1105+1018</f>
        <v>2905</v>
      </c>
      <c r="E200" s="287">
        <f>301+1706+828</f>
        <v>2835</v>
      </c>
      <c r="F200" s="287">
        <f>3444+1245+1695</f>
        <v>6384</v>
      </c>
      <c r="G200" s="287"/>
      <c r="H200" s="287"/>
      <c r="I200" s="287"/>
      <c r="J200" s="287">
        <f>492+58</f>
        <v>550</v>
      </c>
      <c r="K200" s="320">
        <f>385+1544+813</f>
        <v>2742</v>
      </c>
      <c r="L200" s="287">
        <f>271+12+453</f>
        <v>736</v>
      </c>
      <c r="M200" s="352" t="s">
        <v>18</v>
      </c>
      <c r="O200" s="205"/>
      <c r="Q200" s="205"/>
      <c r="R200" s="205"/>
      <c r="S200" s="205"/>
      <c r="T200" s="205"/>
      <c r="U200" s="205"/>
      <c r="V200" s="205"/>
      <c r="X200" s="205"/>
      <c r="Y200" s="205"/>
      <c r="Z200" s="205"/>
      <c r="AA200" s="206"/>
    </row>
    <row r="201" spans="1:27" x14ac:dyDescent="0.35">
      <c r="A201">
        <v>200</v>
      </c>
      <c r="B201" s="239" t="s">
        <v>383</v>
      </c>
      <c r="C201" s="287">
        <f>777+6917+2582</f>
        <v>10276</v>
      </c>
      <c r="D201" s="287">
        <f>809+979+909</f>
        <v>2697</v>
      </c>
      <c r="E201" s="287">
        <f>283+5769+1875</f>
        <v>7927</v>
      </c>
      <c r="F201" s="287">
        <f>766+5534+1382</f>
        <v>7682</v>
      </c>
      <c r="G201" s="287"/>
      <c r="H201" s="287"/>
      <c r="I201" s="287"/>
      <c r="J201" s="287">
        <f>112+260+202</f>
        <v>574</v>
      </c>
      <c r="K201" s="320">
        <f>350+5893+2062</f>
        <v>8305</v>
      </c>
      <c r="L201" s="287">
        <f>315+764+318</f>
        <v>1397</v>
      </c>
      <c r="M201" s="352" t="s">
        <v>18</v>
      </c>
      <c r="O201" s="207"/>
      <c r="Q201" s="207"/>
      <c r="R201" s="207"/>
      <c r="S201" s="207"/>
      <c r="T201" s="207"/>
      <c r="U201" s="207"/>
      <c r="V201" s="207"/>
      <c r="X201" s="207"/>
      <c r="Y201" s="207"/>
      <c r="Z201" s="207"/>
      <c r="AA201" s="208"/>
    </row>
    <row r="202" spans="1:27" x14ac:dyDescent="0.35">
      <c r="A202">
        <v>201</v>
      </c>
      <c r="B202" s="239" t="s">
        <v>380</v>
      </c>
      <c r="C202" s="287">
        <f>1246+814+662</f>
        <v>2722</v>
      </c>
      <c r="D202" s="287">
        <f>722+981+880</f>
        <v>2583</v>
      </c>
      <c r="E202" s="287">
        <f>372+785+405</f>
        <v>1562</v>
      </c>
      <c r="F202" s="287">
        <f>2492+651+551</f>
        <v>3694</v>
      </c>
      <c r="G202" s="287"/>
      <c r="H202" s="287"/>
      <c r="I202" s="287"/>
      <c r="J202" s="287">
        <f>523+1</f>
        <v>524</v>
      </c>
      <c r="K202" s="320">
        <f>515+800+460</f>
        <v>1775</v>
      </c>
      <c r="L202" s="287">
        <f>208+14+201</f>
        <v>423</v>
      </c>
      <c r="M202" s="352" t="s">
        <v>18</v>
      </c>
      <c r="O202" s="213"/>
      <c r="Q202" s="213"/>
      <c r="R202" s="213"/>
      <c r="S202" s="213"/>
      <c r="T202" s="213"/>
      <c r="U202" s="213"/>
      <c r="V202" s="213"/>
      <c r="X202" s="213"/>
      <c r="Y202" s="213"/>
      <c r="Z202" s="213"/>
      <c r="AA202" s="214"/>
    </row>
    <row r="203" spans="1:27" x14ac:dyDescent="0.35">
      <c r="A203">
        <v>202</v>
      </c>
      <c r="B203" s="239" t="s">
        <v>371</v>
      </c>
      <c r="C203" s="287">
        <f>1766+2494</f>
        <v>4260</v>
      </c>
      <c r="D203" s="287">
        <f>661+1019</f>
        <v>1680</v>
      </c>
      <c r="E203" s="287">
        <f>414+2416</f>
        <v>2830</v>
      </c>
      <c r="F203" s="287">
        <f>1981+1996</f>
        <v>3977</v>
      </c>
      <c r="G203" s="287"/>
      <c r="H203" s="287"/>
      <c r="I203" s="287"/>
      <c r="J203" s="287">
        <f>360+8</f>
        <v>368</v>
      </c>
      <c r="K203" s="320">
        <f>626+2371</f>
        <v>2997</v>
      </c>
      <c r="L203" s="287">
        <f>780+115</f>
        <v>895</v>
      </c>
      <c r="M203" s="352" t="s">
        <v>18</v>
      </c>
      <c r="O203" s="205"/>
      <c r="Q203" s="205"/>
      <c r="R203" s="205"/>
      <c r="S203" s="205"/>
      <c r="T203" s="205"/>
      <c r="U203" s="205"/>
      <c r="V203" s="205"/>
      <c r="X203" s="205"/>
      <c r="Y203" s="205"/>
      <c r="Z203" s="205"/>
      <c r="AA203" s="206"/>
    </row>
    <row r="204" spans="1:27" x14ac:dyDescent="0.35">
      <c r="A204">
        <v>203</v>
      </c>
      <c r="B204" s="239" t="s">
        <v>366</v>
      </c>
      <c r="C204" s="287">
        <f>1666+14</f>
        <v>1680</v>
      </c>
      <c r="D204" s="287">
        <f>718+857</f>
        <v>1575</v>
      </c>
      <c r="E204" s="287">
        <f>382+12</f>
        <v>394</v>
      </c>
      <c r="F204" s="287">
        <f>1712+6</f>
        <v>1718</v>
      </c>
      <c r="G204" s="287"/>
      <c r="H204" s="287"/>
      <c r="I204" s="287"/>
      <c r="J204" s="287">
        <v>497</v>
      </c>
      <c r="K204" s="320">
        <f>533+14</f>
        <v>547</v>
      </c>
      <c r="L204" s="287">
        <f>636+0</f>
        <v>636</v>
      </c>
      <c r="M204" s="352" t="s">
        <v>18</v>
      </c>
      <c r="O204" s="205"/>
      <c r="Q204" s="205"/>
      <c r="R204" s="205"/>
      <c r="S204" s="205"/>
      <c r="T204" s="205"/>
      <c r="U204" s="205"/>
      <c r="V204" s="205"/>
      <c r="X204" s="205"/>
      <c r="Y204" s="205"/>
      <c r="Z204" s="205"/>
      <c r="AA204" s="206"/>
    </row>
    <row r="205" spans="1:27" x14ac:dyDescent="0.35">
      <c r="A205">
        <v>204</v>
      </c>
      <c r="B205" s="239" t="s">
        <v>375</v>
      </c>
      <c r="C205" s="287">
        <v>4634</v>
      </c>
      <c r="D205" s="287">
        <v>861</v>
      </c>
      <c r="E205" s="287">
        <v>1982</v>
      </c>
      <c r="F205" s="287">
        <v>9556</v>
      </c>
      <c r="G205" s="287"/>
      <c r="H205" s="287"/>
      <c r="I205" s="287"/>
      <c r="J205" s="287">
        <v>1340</v>
      </c>
      <c r="K205" s="320">
        <v>2303</v>
      </c>
      <c r="L205" s="287">
        <v>991</v>
      </c>
      <c r="M205" s="352" t="s">
        <v>18</v>
      </c>
      <c r="O205" s="205"/>
      <c r="Q205" s="205"/>
      <c r="R205" s="205"/>
      <c r="S205" s="205"/>
      <c r="T205" s="205"/>
      <c r="U205" s="205"/>
      <c r="V205" s="205"/>
      <c r="X205" s="205"/>
      <c r="Y205" s="205"/>
      <c r="Z205" s="205"/>
      <c r="AA205" s="206"/>
    </row>
    <row r="206" spans="1:27" x14ac:dyDescent="0.35">
      <c r="A206">
        <v>205</v>
      </c>
      <c r="B206" s="239" t="s">
        <v>372</v>
      </c>
      <c r="C206" s="287">
        <v>2322</v>
      </c>
      <c r="D206" s="287">
        <v>830</v>
      </c>
      <c r="E206" s="287">
        <v>856</v>
      </c>
      <c r="F206" s="287">
        <v>10569</v>
      </c>
      <c r="G206" s="287"/>
      <c r="H206" s="287"/>
      <c r="I206" s="287"/>
      <c r="J206" s="287">
        <v>831</v>
      </c>
      <c r="K206" s="320">
        <v>1031</v>
      </c>
      <c r="L206" s="287">
        <v>460</v>
      </c>
      <c r="M206" s="352" t="s">
        <v>18</v>
      </c>
      <c r="O206" s="205"/>
      <c r="Q206" s="213"/>
      <c r="R206" s="213"/>
      <c r="S206" s="213"/>
      <c r="T206" s="213"/>
      <c r="U206" s="213"/>
      <c r="V206" s="213"/>
      <c r="X206" s="205"/>
      <c r="Y206" s="205"/>
      <c r="Z206" s="205"/>
      <c r="AA206" s="206"/>
    </row>
    <row r="207" spans="1:27" x14ac:dyDescent="0.35">
      <c r="A207">
        <v>206</v>
      </c>
      <c r="B207" s="239" t="s">
        <v>368</v>
      </c>
      <c r="C207" s="287">
        <v>5761</v>
      </c>
      <c r="D207" s="287">
        <v>829</v>
      </c>
      <c r="E207" s="287">
        <v>2153</v>
      </c>
      <c r="F207" s="287">
        <v>16325</v>
      </c>
      <c r="G207" s="287"/>
      <c r="H207" s="287"/>
      <c r="I207" s="287"/>
      <c r="J207" s="287">
        <v>1564</v>
      </c>
      <c r="K207" s="320">
        <v>2597</v>
      </c>
      <c r="L207" s="287">
        <v>160</v>
      </c>
      <c r="M207" s="352" t="s">
        <v>18</v>
      </c>
      <c r="O207" s="213"/>
      <c r="Q207" s="213"/>
      <c r="R207" s="213"/>
      <c r="S207" s="213"/>
      <c r="T207" s="213"/>
      <c r="U207" s="213"/>
      <c r="V207" s="213"/>
      <c r="X207" s="213"/>
      <c r="Y207" s="213"/>
      <c r="Z207" s="213"/>
      <c r="AA207" s="214"/>
    </row>
    <row r="208" spans="1:27" x14ac:dyDescent="0.35">
      <c r="A208">
        <v>207</v>
      </c>
      <c r="B208" s="239" t="s">
        <v>378</v>
      </c>
      <c r="C208" s="287">
        <v>3821</v>
      </c>
      <c r="D208" s="287">
        <v>829</v>
      </c>
      <c r="E208" s="287">
        <v>1296</v>
      </c>
      <c r="F208" s="287">
        <v>3587</v>
      </c>
      <c r="G208" s="287"/>
      <c r="H208" s="287"/>
      <c r="I208" s="287"/>
      <c r="J208" s="287">
        <v>1657</v>
      </c>
      <c r="K208" s="320">
        <v>1564</v>
      </c>
      <c r="L208" s="287">
        <v>600</v>
      </c>
      <c r="M208" s="352" t="s">
        <v>18</v>
      </c>
      <c r="O208" s="205"/>
      <c r="Q208" s="205"/>
      <c r="R208" s="205"/>
      <c r="S208" s="205"/>
      <c r="T208" s="205"/>
      <c r="U208" s="205"/>
      <c r="V208" s="205"/>
      <c r="X208" s="213"/>
      <c r="Y208" s="213"/>
      <c r="Z208" s="213"/>
      <c r="AA208" s="214"/>
    </row>
    <row r="209" spans="1:27" x14ac:dyDescent="0.35">
      <c r="A209">
        <v>208</v>
      </c>
      <c r="B209" s="239" t="s">
        <v>377</v>
      </c>
      <c r="C209" s="287">
        <v>4355</v>
      </c>
      <c r="D209" s="287">
        <v>824</v>
      </c>
      <c r="E209" s="287">
        <v>1961</v>
      </c>
      <c r="F209" s="287">
        <v>11695</v>
      </c>
      <c r="G209" s="287"/>
      <c r="H209" s="287"/>
      <c r="I209" s="287"/>
      <c r="J209" s="287">
        <v>534</v>
      </c>
      <c r="K209" s="320">
        <v>2379</v>
      </c>
      <c r="L209" s="287">
        <v>1442</v>
      </c>
      <c r="M209" s="352" t="s">
        <v>18</v>
      </c>
      <c r="O209" s="213"/>
      <c r="Q209" s="213"/>
      <c r="R209" s="213"/>
      <c r="S209" s="213"/>
      <c r="T209" s="213"/>
      <c r="U209" s="213"/>
      <c r="V209" s="213"/>
      <c r="X209" s="205"/>
      <c r="Y209" s="205"/>
      <c r="Z209" s="205"/>
      <c r="AA209" s="206"/>
    </row>
    <row r="210" spans="1:27" x14ac:dyDescent="0.35">
      <c r="A210">
        <v>209</v>
      </c>
      <c r="B210" s="239" t="s">
        <v>370</v>
      </c>
      <c r="C210" s="287">
        <v>2111</v>
      </c>
      <c r="D210" s="287">
        <v>792</v>
      </c>
      <c r="E210" s="287">
        <v>665</v>
      </c>
      <c r="F210" s="287">
        <v>5819</v>
      </c>
      <c r="G210" s="287"/>
      <c r="H210" s="287"/>
      <c r="I210" s="287"/>
      <c r="J210" s="287">
        <v>554</v>
      </c>
      <c r="K210" s="320">
        <v>839</v>
      </c>
      <c r="L210" s="287">
        <v>718</v>
      </c>
      <c r="M210" s="352" t="s">
        <v>18</v>
      </c>
      <c r="O210" s="205"/>
      <c r="Q210" s="213"/>
      <c r="R210" s="213"/>
      <c r="S210" s="213"/>
      <c r="T210" s="213"/>
      <c r="U210" s="213"/>
      <c r="V210" s="213"/>
      <c r="X210" s="205"/>
      <c r="Y210" s="205"/>
      <c r="Z210" s="205"/>
      <c r="AA210" s="206"/>
    </row>
    <row r="211" spans="1:27" x14ac:dyDescent="0.35">
      <c r="A211">
        <v>210</v>
      </c>
      <c r="B211" s="239" t="s">
        <v>386</v>
      </c>
      <c r="C211" s="287">
        <v>52</v>
      </c>
      <c r="D211" s="287">
        <v>784</v>
      </c>
      <c r="E211" s="400">
        <v>21</v>
      </c>
      <c r="F211" s="400">
        <v>69</v>
      </c>
      <c r="G211" s="400"/>
      <c r="H211" s="400"/>
      <c r="I211" s="400"/>
      <c r="J211" s="538">
        <v>1</v>
      </c>
      <c r="K211" s="320">
        <v>27</v>
      </c>
      <c r="L211" s="287">
        <v>24</v>
      </c>
      <c r="M211" s="352" t="s">
        <v>18</v>
      </c>
      <c r="O211" s="205"/>
      <c r="Q211" s="213"/>
      <c r="R211" s="213"/>
      <c r="S211" s="213"/>
      <c r="T211" s="213"/>
      <c r="U211" s="213"/>
      <c r="V211" s="213"/>
      <c r="X211" s="213"/>
      <c r="Y211" s="213"/>
      <c r="Z211" s="213"/>
      <c r="AA211" s="214"/>
    </row>
    <row r="212" spans="1:27" x14ac:dyDescent="0.35">
      <c r="A212">
        <v>211</v>
      </c>
      <c r="B212" s="239" t="s">
        <v>374</v>
      </c>
      <c r="C212" s="287">
        <v>2619</v>
      </c>
      <c r="D212" s="287">
        <v>779</v>
      </c>
      <c r="E212" s="287">
        <v>683</v>
      </c>
      <c r="F212" s="287">
        <v>2671</v>
      </c>
      <c r="G212" s="287"/>
      <c r="H212" s="287"/>
      <c r="I212" s="287"/>
      <c r="J212" s="287">
        <v>393</v>
      </c>
      <c r="K212" s="320">
        <v>876</v>
      </c>
      <c r="L212" s="287">
        <v>1350</v>
      </c>
      <c r="M212" s="352" t="s">
        <v>18</v>
      </c>
      <c r="O212" s="213"/>
      <c r="Q212" s="213"/>
      <c r="R212" s="213"/>
      <c r="S212" s="213"/>
      <c r="T212" s="213"/>
      <c r="U212" s="213"/>
      <c r="V212" s="213"/>
      <c r="X212" s="205"/>
      <c r="Y212" s="205"/>
      <c r="Z212" s="205"/>
      <c r="AA212" s="206"/>
    </row>
    <row r="213" spans="1:27" x14ac:dyDescent="0.35">
      <c r="A213">
        <v>212</v>
      </c>
      <c r="B213" s="239" t="s">
        <v>376</v>
      </c>
      <c r="C213" s="287">
        <v>1829</v>
      </c>
      <c r="D213" s="287">
        <v>775</v>
      </c>
      <c r="E213" s="287">
        <v>808</v>
      </c>
      <c r="F213" s="287">
        <v>2722</v>
      </c>
      <c r="G213" s="287"/>
      <c r="H213" s="287"/>
      <c r="I213" s="287"/>
      <c r="J213" s="287">
        <v>355</v>
      </c>
      <c r="K213" s="320">
        <v>1042</v>
      </c>
      <c r="L213" s="287">
        <v>432</v>
      </c>
      <c r="M213" s="352" t="s">
        <v>18</v>
      </c>
      <c r="O213" s="205"/>
      <c r="Q213" s="205"/>
      <c r="R213" s="205"/>
      <c r="S213" s="205"/>
      <c r="T213" s="205"/>
      <c r="U213" s="205"/>
      <c r="V213" s="205"/>
      <c r="X213" s="205"/>
      <c r="Y213" s="205"/>
      <c r="Z213" s="205"/>
      <c r="AA213" s="206"/>
    </row>
    <row r="214" spans="1:27" x14ac:dyDescent="0.35">
      <c r="A214">
        <v>213</v>
      </c>
      <c r="B214" s="239" t="s">
        <v>373</v>
      </c>
      <c r="C214" s="287">
        <v>6007</v>
      </c>
      <c r="D214" s="287">
        <v>772</v>
      </c>
      <c r="E214" s="287">
        <v>1649</v>
      </c>
      <c r="F214" s="287">
        <v>20270</v>
      </c>
      <c r="G214" s="287"/>
      <c r="H214" s="287"/>
      <c r="I214" s="287"/>
      <c r="J214" s="287">
        <v>2326</v>
      </c>
      <c r="K214" s="320">
        <v>2137</v>
      </c>
      <c r="L214" s="287">
        <v>1544</v>
      </c>
      <c r="M214" s="352" t="s">
        <v>18</v>
      </c>
      <c r="O214" s="205"/>
      <c r="Q214" s="205"/>
      <c r="R214" s="205"/>
      <c r="S214" s="205"/>
      <c r="T214" s="205"/>
      <c r="U214" s="205"/>
      <c r="V214" s="205"/>
      <c r="X214" s="205"/>
      <c r="Y214" s="205"/>
      <c r="Z214" s="205"/>
      <c r="AA214" s="206"/>
    </row>
    <row r="215" spans="1:27" x14ac:dyDescent="0.35">
      <c r="A215">
        <v>214</v>
      </c>
      <c r="B215" s="239" t="s">
        <v>382</v>
      </c>
      <c r="C215" s="287">
        <v>95</v>
      </c>
      <c r="D215" s="287">
        <v>758</v>
      </c>
      <c r="E215" s="287">
        <v>19</v>
      </c>
      <c r="F215" s="287">
        <v>486</v>
      </c>
      <c r="G215" s="287"/>
      <c r="H215" s="287"/>
      <c r="I215" s="287"/>
      <c r="J215" s="287">
        <v>34</v>
      </c>
      <c r="K215" s="320">
        <v>24</v>
      </c>
      <c r="L215" s="287">
        <v>37</v>
      </c>
      <c r="M215" s="352" t="s">
        <v>18</v>
      </c>
      <c r="O215" s="205"/>
      <c r="Q215" s="205"/>
      <c r="R215" s="205"/>
      <c r="S215" s="205"/>
      <c r="T215" s="205"/>
      <c r="U215" s="205"/>
      <c r="V215" s="205"/>
      <c r="X215" s="205"/>
      <c r="Y215" s="205"/>
      <c r="Z215" s="205"/>
      <c r="AA215" s="206"/>
    </row>
    <row r="216" spans="1:27" x14ac:dyDescent="0.35">
      <c r="A216">
        <v>215</v>
      </c>
      <c r="B216" s="239" t="s">
        <v>369</v>
      </c>
      <c r="C216" s="287">
        <v>995</v>
      </c>
      <c r="D216" s="287">
        <v>748</v>
      </c>
      <c r="E216" s="287">
        <v>283</v>
      </c>
      <c r="F216" s="287">
        <v>2994</v>
      </c>
      <c r="G216" s="287"/>
      <c r="H216" s="287"/>
      <c r="I216" s="287"/>
      <c r="J216" s="287">
        <v>310</v>
      </c>
      <c r="K216" s="320">
        <v>379</v>
      </c>
      <c r="L216" s="287">
        <v>306</v>
      </c>
      <c r="M216" s="352" t="s">
        <v>18</v>
      </c>
      <c r="O216" s="205"/>
      <c r="Q216" s="205"/>
      <c r="R216" s="205"/>
      <c r="S216" s="205"/>
      <c r="T216" s="205"/>
      <c r="U216" s="205"/>
      <c r="V216" s="205"/>
      <c r="X216" s="205"/>
      <c r="Y216" s="205"/>
      <c r="Z216" s="205"/>
      <c r="AA216" s="206"/>
    </row>
    <row r="217" spans="1:27" x14ac:dyDescent="0.35">
      <c r="A217">
        <v>216</v>
      </c>
      <c r="B217" s="239" t="s">
        <v>379</v>
      </c>
      <c r="C217" s="287">
        <v>4</v>
      </c>
      <c r="D217" s="287">
        <v>700</v>
      </c>
      <c r="E217" s="287">
        <v>1</v>
      </c>
      <c r="F217" s="287">
        <v>9</v>
      </c>
      <c r="G217" s="287"/>
      <c r="H217" s="287"/>
      <c r="I217" s="287"/>
      <c r="J217" s="287">
        <v>1</v>
      </c>
      <c r="K217" s="320">
        <v>1</v>
      </c>
      <c r="L217" s="287">
        <v>2</v>
      </c>
      <c r="M217" s="352" t="s">
        <v>18</v>
      </c>
      <c r="O217" s="205"/>
      <c r="Q217" s="205"/>
      <c r="R217" s="205"/>
      <c r="S217" s="205"/>
      <c r="T217" s="205"/>
      <c r="U217" s="205"/>
      <c r="V217" s="205"/>
      <c r="X217" s="205"/>
      <c r="Y217" s="205"/>
      <c r="Z217" s="205"/>
      <c r="AA217" s="206"/>
    </row>
    <row r="218" spans="1:27" x14ac:dyDescent="0.35">
      <c r="A218">
        <v>217</v>
      </c>
      <c r="B218" s="239" t="s">
        <v>367</v>
      </c>
      <c r="C218" s="398"/>
      <c r="D218" s="398"/>
      <c r="E218" s="398"/>
      <c r="F218" s="398"/>
      <c r="G218" s="398"/>
      <c r="H218" s="398"/>
      <c r="I218" s="398"/>
      <c r="J218" s="398"/>
      <c r="K218" s="399"/>
      <c r="L218" s="398"/>
      <c r="M218" s="352" t="s">
        <v>18</v>
      </c>
      <c r="O218" s="207"/>
      <c r="Q218" s="207"/>
      <c r="R218" s="207"/>
      <c r="S218" s="207"/>
      <c r="T218" s="207"/>
      <c r="U218" s="207"/>
      <c r="V218" s="207"/>
      <c r="X218" s="207"/>
      <c r="Y218" s="207"/>
      <c r="Z218" s="207"/>
      <c r="AA218" s="208"/>
    </row>
    <row r="219" spans="1:27" x14ac:dyDescent="0.35">
      <c r="A219">
        <v>218</v>
      </c>
      <c r="B219" s="239" t="s">
        <v>384</v>
      </c>
      <c r="C219" s="398"/>
      <c r="D219" s="398"/>
      <c r="E219" s="398"/>
      <c r="F219" s="398"/>
      <c r="G219" s="398"/>
      <c r="H219" s="398"/>
      <c r="I219" s="398"/>
      <c r="J219" s="398"/>
      <c r="K219" s="399"/>
      <c r="L219" s="398"/>
      <c r="M219" s="352" t="s">
        <v>18</v>
      </c>
      <c r="O219" s="207"/>
      <c r="Q219" s="207"/>
      <c r="R219" s="207"/>
      <c r="S219" s="207"/>
      <c r="T219" s="207"/>
      <c r="U219" s="207"/>
      <c r="V219" s="207"/>
      <c r="X219" s="207"/>
      <c r="Y219" s="207"/>
      <c r="Z219" s="207"/>
      <c r="AA219" s="208"/>
    </row>
    <row r="220" spans="1:27" ht="14.5" customHeight="1" x14ac:dyDescent="0.35">
      <c r="A220">
        <v>219</v>
      </c>
      <c r="B220" s="239" t="s">
        <v>385</v>
      </c>
      <c r="C220" s="398"/>
      <c r="D220" s="398"/>
      <c r="E220" s="398"/>
      <c r="F220" s="398"/>
      <c r="G220" s="398"/>
      <c r="H220" s="398"/>
      <c r="I220" s="398"/>
      <c r="J220" s="398"/>
      <c r="K220" s="399"/>
      <c r="L220" s="398"/>
      <c r="M220" s="352" t="s">
        <v>18</v>
      </c>
      <c r="O220" s="344"/>
      <c r="Q220" s="205"/>
      <c r="R220" s="205"/>
      <c r="S220" s="205"/>
      <c r="T220" s="205"/>
      <c r="U220" s="205"/>
      <c r="V220" s="205"/>
      <c r="X220" s="209"/>
      <c r="Y220" s="209"/>
      <c r="Z220" s="209"/>
      <c r="AA220" s="210"/>
    </row>
    <row r="221" spans="1:27" x14ac:dyDescent="0.35">
      <c r="A221">
        <v>220</v>
      </c>
      <c r="B221" s="240" t="s">
        <v>387</v>
      </c>
      <c r="C221" s="283">
        <f>6259+32</f>
        <v>6291</v>
      </c>
      <c r="D221" s="283">
        <f>616+188</f>
        <v>804</v>
      </c>
      <c r="E221" s="283">
        <f>1990+6</f>
        <v>1996</v>
      </c>
      <c r="F221" s="283">
        <f>13040+43</f>
        <v>13083</v>
      </c>
      <c r="G221" s="283"/>
      <c r="H221" s="283"/>
      <c r="I221" s="283"/>
      <c r="J221" s="283">
        <v>548</v>
      </c>
      <c r="K221" s="327">
        <f>3230+32</f>
        <v>3262</v>
      </c>
      <c r="L221" s="283">
        <v>2480</v>
      </c>
      <c r="M221" s="352" t="s">
        <v>19</v>
      </c>
      <c r="O221" s="205"/>
      <c r="Q221" s="213"/>
      <c r="R221" s="213"/>
      <c r="S221" s="213"/>
      <c r="T221" s="213"/>
      <c r="U221" s="213"/>
      <c r="V221" s="213"/>
      <c r="X221" s="213"/>
      <c r="Y221" s="213"/>
      <c r="Z221" s="213"/>
      <c r="AA221" s="214"/>
    </row>
    <row r="222" spans="1:27" x14ac:dyDescent="0.35">
      <c r="A222">
        <v>221</v>
      </c>
      <c r="B222" s="241" t="s">
        <v>388</v>
      </c>
      <c r="C222" s="283">
        <v>4532</v>
      </c>
      <c r="D222" s="283">
        <v>260</v>
      </c>
      <c r="E222" s="283">
        <v>642</v>
      </c>
      <c r="F222" s="283">
        <v>23275</v>
      </c>
      <c r="G222" s="283"/>
      <c r="H222" s="283"/>
      <c r="I222" s="283"/>
      <c r="J222" s="283">
        <v>914</v>
      </c>
      <c r="K222" s="327">
        <v>2472</v>
      </c>
      <c r="L222" s="283">
        <v>1146</v>
      </c>
      <c r="M222" s="352" t="s">
        <v>19</v>
      </c>
      <c r="O222" s="205"/>
      <c r="Q222" s="213"/>
      <c r="R222" s="213"/>
      <c r="S222" s="213"/>
      <c r="T222" s="213"/>
      <c r="U222" s="213"/>
      <c r="V222" s="213"/>
      <c r="X222" s="213"/>
      <c r="Y222" s="213"/>
      <c r="Z222" s="213"/>
      <c r="AA222" s="214"/>
    </row>
    <row r="223" spans="1:27" x14ac:dyDescent="0.35">
      <c r="A223">
        <v>222</v>
      </c>
      <c r="B223" s="241" t="s">
        <v>394</v>
      </c>
      <c r="C223" s="283">
        <v>1267</v>
      </c>
      <c r="D223" s="283">
        <v>677</v>
      </c>
      <c r="E223" s="283">
        <v>553</v>
      </c>
      <c r="F223" s="283">
        <v>6014</v>
      </c>
      <c r="G223" s="283"/>
      <c r="H223" s="283"/>
      <c r="I223" s="283"/>
      <c r="J223" s="283">
        <v>43</v>
      </c>
      <c r="K223" s="327">
        <v>817</v>
      </c>
      <c r="L223" s="283">
        <v>408</v>
      </c>
      <c r="M223" s="352" t="s">
        <v>19</v>
      </c>
      <c r="O223" s="205"/>
      <c r="Q223" s="205"/>
      <c r="R223" s="205"/>
      <c r="S223" s="205"/>
      <c r="T223" s="205"/>
      <c r="U223" s="205"/>
      <c r="V223" s="205"/>
      <c r="X223" s="205"/>
      <c r="Y223" s="205"/>
      <c r="Z223" s="205"/>
      <c r="AA223" s="206"/>
    </row>
    <row r="224" spans="1:27" x14ac:dyDescent="0.35">
      <c r="A224">
        <v>223</v>
      </c>
      <c r="B224" s="241" t="s">
        <v>393</v>
      </c>
      <c r="C224" s="283">
        <v>891</v>
      </c>
      <c r="D224" s="283">
        <v>383</v>
      </c>
      <c r="E224" s="283">
        <v>131</v>
      </c>
      <c r="F224" s="283">
        <v>2486</v>
      </c>
      <c r="G224" s="283"/>
      <c r="H224" s="283"/>
      <c r="I224" s="283"/>
      <c r="J224" s="283">
        <v>395</v>
      </c>
      <c r="K224" s="327">
        <v>341</v>
      </c>
      <c r="L224" s="283">
        <v>154</v>
      </c>
      <c r="M224" s="352" t="s">
        <v>19</v>
      </c>
      <c r="O224" s="205"/>
      <c r="Q224" s="205"/>
      <c r="R224" s="205"/>
      <c r="S224" s="205"/>
      <c r="T224" s="205"/>
      <c r="U224" s="205"/>
      <c r="V224" s="205"/>
      <c r="X224" s="205"/>
      <c r="Y224" s="205"/>
      <c r="Z224" s="205"/>
      <c r="AA224" s="206"/>
    </row>
    <row r="225" spans="1:27" x14ac:dyDescent="0.35">
      <c r="A225">
        <v>224</v>
      </c>
      <c r="B225" s="241" t="s">
        <v>389</v>
      </c>
      <c r="C225" s="283">
        <v>457</v>
      </c>
      <c r="D225" s="283">
        <v>256</v>
      </c>
      <c r="E225" s="283">
        <v>74</v>
      </c>
      <c r="F225" s="283">
        <v>4279</v>
      </c>
      <c r="G225" s="283"/>
      <c r="H225" s="283"/>
      <c r="I225" s="283"/>
      <c r="J225" s="283">
        <v>6</v>
      </c>
      <c r="K225" s="327">
        <v>288</v>
      </c>
      <c r="L225" s="283">
        <v>163</v>
      </c>
      <c r="M225" s="352" t="s">
        <v>19</v>
      </c>
      <c r="O225" s="205"/>
      <c r="Q225" s="205"/>
      <c r="R225" s="205"/>
      <c r="S225" s="205"/>
      <c r="T225" s="205"/>
      <c r="U225" s="205"/>
      <c r="V225" s="205"/>
      <c r="X225" s="205"/>
      <c r="Y225" s="205"/>
      <c r="Z225" s="205"/>
      <c r="AA225" s="206"/>
    </row>
    <row r="226" spans="1:27" x14ac:dyDescent="0.35">
      <c r="A226">
        <v>225</v>
      </c>
      <c r="B226" s="241" t="s">
        <v>390</v>
      </c>
      <c r="C226" s="283">
        <v>292</v>
      </c>
      <c r="D226" s="283">
        <v>694</v>
      </c>
      <c r="E226" s="283">
        <v>108</v>
      </c>
      <c r="F226" s="283">
        <v>1449</v>
      </c>
      <c r="G226" s="283"/>
      <c r="H226" s="283"/>
      <c r="I226" s="283"/>
      <c r="J226" s="283">
        <v>72</v>
      </c>
      <c r="K226" s="327">
        <v>156</v>
      </c>
      <c r="L226" s="283">
        <v>65</v>
      </c>
      <c r="M226" s="352" t="s">
        <v>19</v>
      </c>
      <c r="O226" s="205"/>
      <c r="Q226" s="205"/>
      <c r="R226" s="205"/>
      <c r="S226" s="205"/>
      <c r="T226" s="205"/>
      <c r="U226" s="205"/>
      <c r="V226" s="205"/>
      <c r="X226" s="205"/>
      <c r="Y226" s="205"/>
      <c r="Z226" s="205"/>
      <c r="AA226" s="206"/>
    </row>
    <row r="227" spans="1:27" x14ac:dyDescent="0.35">
      <c r="A227">
        <v>226</v>
      </c>
      <c r="B227" s="241" t="s">
        <v>391</v>
      </c>
      <c r="C227" s="283">
        <v>256</v>
      </c>
      <c r="D227" s="283">
        <v>489</v>
      </c>
      <c r="E227" s="283">
        <v>74</v>
      </c>
      <c r="F227" s="283">
        <v>5069</v>
      </c>
      <c r="G227" s="283"/>
      <c r="H227" s="283"/>
      <c r="I227" s="283"/>
      <c r="J227" s="283">
        <v>51</v>
      </c>
      <c r="K227" s="327">
        <v>152</v>
      </c>
      <c r="L227" s="283">
        <v>53</v>
      </c>
      <c r="M227" s="352" t="s">
        <v>19</v>
      </c>
      <c r="O227" s="205"/>
      <c r="Q227" s="205"/>
      <c r="R227" s="205"/>
      <c r="S227" s="205"/>
      <c r="T227" s="205"/>
      <c r="U227" s="205"/>
      <c r="V227" s="205"/>
      <c r="X227" s="205"/>
      <c r="Y227" s="205"/>
      <c r="Z227" s="205"/>
      <c r="AA227" s="206"/>
    </row>
    <row r="228" spans="1:27" x14ac:dyDescent="0.35">
      <c r="A228">
        <v>227</v>
      </c>
      <c r="B228" s="241" t="s">
        <v>392</v>
      </c>
      <c r="C228" s="283">
        <v>48</v>
      </c>
      <c r="D228" s="283">
        <v>549</v>
      </c>
      <c r="E228" s="283">
        <v>18</v>
      </c>
      <c r="F228" s="283">
        <v>226</v>
      </c>
      <c r="G228" s="283"/>
      <c r="H228" s="283"/>
      <c r="I228" s="283"/>
      <c r="J228" s="283">
        <v>1</v>
      </c>
      <c r="K228" s="327">
        <v>32</v>
      </c>
      <c r="L228" s="283">
        <v>16</v>
      </c>
      <c r="M228" s="352" t="s">
        <v>19</v>
      </c>
      <c r="O228" s="205"/>
      <c r="Q228" s="205"/>
      <c r="R228" s="205"/>
      <c r="S228" s="205"/>
      <c r="T228" s="205"/>
      <c r="U228" s="205"/>
      <c r="V228" s="205"/>
      <c r="X228" s="205"/>
      <c r="Y228" s="205"/>
      <c r="Z228" s="205"/>
      <c r="AA228" s="206"/>
    </row>
    <row r="229" spans="1:27" x14ac:dyDescent="0.35">
      <c r="A229">
        <v>228</v>
      </c>
      <c r="B229" s="241" t="s">
        <v>395</v>
      </c>
      <c r="C229" s="384"/>
      <c r="D229" s="384"/>
      <c r="E229" s="384"/>
      <c r="F229" s="384"/>
      <c r="G229" s="384"/>
      <c r="H229" s="384"/>
      <c r="I229" s="384"/>
      <c r="J229" s="384"/>
      <c r="K229" s="385"/>
      <c r="L229" s="384"/>
      <c r="M229" s="352" t="s">
        <v>19</v>
      </c>
      <c r="O229" s="207"/>
      <c r="Q229" s="207"/>
      <c r="R229" s="207"/>
      <c r="S229" s="207"/>
      <c r="T229" s="207"/>
      <c r="U229" s="207"/>
      <c r="V229" s="207"/>
      <c r="X229" s="211"/>
      <c r="Y229" s="211"/>
      <c r="Z229" s="211"/>
      <c r="AA229" s="212"/>
    </row>
    <row r="230" spans="1:27" x14ac:dyDescent="0.35">
      <c r="A230">
        <v>229</v>
      </c>
      <c r="B230" s="242" t="s">
        <v>396</v>
      </c>
      <c r="C230" s="303">
        <v>538</v>
      </c>
      <c r="D230" s="303">
        <v>442</v>
      </c>
      <c r="E230" s="303">
        <v>126</v>
      </c>
      <c r="F230" s="303">
        <v>1043</v>
      </c>
      <c r="G230" s="303"/>
      <c r="H230" s="303"/>
      <c r="I230" s="303"/>
      <c r="J230" s="303">
        <v>124</v>
      </c>
      <c r="K230" s="335">
        <v>285</v>
      </c>
      <c r="L230" s="303">
        <v>129</v>
      </c>
      <c r="M230" s="352" t="s">
        <v>1343</v>
      </c>
      <c r="O230" s="196"/>
      <c r="Q230" s="196"/>
      <c r="R230" s="196"/>
      <c r="S230" s="196"/>
      <c r="T230" s="196"/>
      <c r="U230" s="196"/>
      <c r="V230" s="196"/>
      <c r="X230" s="196"/>
      <c r="Y230" s="196"/>
      <c r="Z230" s="196"/>
      <c r="AA230" s="197"/>
    </row>
    <row r="231" spans="1:27" x14ac:dyDescent="0.35">
      <c r="A231">
        <v>230</v>
      </c>
      <c r="B231" s="242" t="s">
        <v>399</v>
      </c>
      <c r="C231" s="303">
        <v>3963</v>
      </c>
      <c r="D231" s="303">
        <v>612</v>
      </c>
      <c r="E231" s="303">
        <v>1151</v>
      </c>
      <c r="F231" s="303">
        <v>4309</v>
      </c>
      <c r="G231" s="303"/>
      <c r="H231" s="303"/>
      <c r="I231" s="303"/>
      <c r="J231" s="303">
        <v>961</v>
      </c>
      <c r="K231" s="335">
        <v>1881</v>
      </c>
      <c r="L231" s="303">
        <v>1122</v>
      </c>
      <c r="M231" s="352" t="s">
        <v>1343</v>
      </c>
      <c r="O231" s="196"/>
      <c r="Q231" s="196"/>
      <c r="R231" s="196"/>
      <c r="S231" s="196"/>
      <c r="T231" s="196"/>
      <c r="U231" s="196"/>
      <c r="V231" s="196"/>
      <c r="X231" s="196"/>
      <c r="Y231" s="196"/>
      <c r="Z231" s="196"/>
      <c r="AA231" s="197"/>
    </row>
    <row r="232" spans="1:27" x14ac:dyDescent="0.35">
      <c r="A232">
        <v>231</v>
      </c>
      <c r="B232" s="242" t="s">
        <v>398</v>
      </c>
      <c r="C232" s="303">
        <v>2122</v>
      </c>
      <c r="D232" s="303">
        <v>377</v>
      </c>
      <c r="E232" s="303">
        <v>193</v>
      </c>
      <c r="F232" s="303">
        <v>1602</v>
      </c>
      <c r="G232" s="303"/>
      <c r="H232" s="303"/>
      <c r="I232" s="303"/>
      <c r="J232" s="303">
        <v>1401</v>
      </c>
      <c r="K232" s="335">
        <v>512</v>
      </c>
      <c r="L232" s="303">
        <v>209</v>
      </c>
      <c r="M232" s="352" t="s">
        <v>1343</v>
      </c>
      <c r="O232" s="198"/>
      <c r="Q232" s="196"/>
      <c r="R232" s="196"/>
      <c r="S232" s="196"/>
      <c r="T232" s="196"/>
      <c r="U232" s="196"/>
      <c r="V232" s="196"/>
      <c r="X232" s="196"/>
      <c r="Y232" s="196"/>
      <c r="Z232" s="196"/>
      <c r="AA232" s="197"/>
    </row>
    <row r="233" spans="1:27" x14ac:dyDescent="0.35">
      <c r="A233">
        <v>232</v>
      </c>
      <c r="B233" s="242" t="s">
        <v>397</v>
      </c>
      <c r="C233" s="303">
        <v>296</v>
      </c>
      <c r="D233" s="303">
        <v>350</v>
      </c>
      <c r="E233" s="303">
        <v>45</v>
      </c>
      <c r="F233" s="303">
        <v>247</v>
      </c>
      <c r="G233" s="303"/>
      <c r="H233" s="303"/>
      <c r="I233" s="303"/>
      <c r="J233" s="303">
        <v>108</v>
      </c>
      <c r="K233" s="335">
        <v>130</v>
      </c>
      <c r="L233" s="303">
        <v>59</v>
      </c>
      <c r="M233" s="352" t="s">
        <v>1343</v>
      </c>
      <c r="O233" s="196"/>
      <c r="Q233" s="198"/>
      <c r="R233" s="198"/>
      <c r="S233" s="198"/>
      <c r="T233" s="198"/>
      <c r="U233" s="198"/>
      <c r="V233" s="198"/>
      <c r="X233" s="198"/>
      <c r="Y233" s="198"/>
      <c r="Z233" s="198"/>
      <c r="AA233" s="199"/>
    </row>
    <row r="234" spans="1:27" x14ac:dyDescent="0.35">
      <c r="A234">
        <v>233</v>
      </c>
      <c r="B234" s="242" t="s">
        <v>402</v>
      </c>
      <c r="C234" s="303">
        <v>249</v>
      </c>
      <c r="D234" s="303">
        <v>285</v>
      </c>
      <c r="E234" s="303">
        <v>14</v>
      </c>
      <c r="F234" s="303">
        <v>424</v>
      </c>
      <c r="G234" s="303"/>
      <c r="H234" s="303"/>
      <c r="I234" s="303"/>
      <c r="J234" s="303">
        <v>162</v>
      </c>
      <c r="K234" s="335">
        <v>48</v>
      </c>
      <c r="L234" s="303">
        <v>39</v>
      </c>
      <c r="M234" s="352" t="s">
        <v>1343</v>
      </c>
      <c r="O234" s="196"/>
      <c r="Q234" s="196"/>
      <c r="R234" s="196"/>
      <c r="S234" s="196"/>
      <c r="T234" s="196"/>
      <c r="U234" s="196"/>
      <c r="V234" s="196"/>
      <c r="X234" s="196"/>
      <c r="Y234" s="196"/>
      <c r="Z234" s="196"/>
      <c r="AA234" s="197"/>
    </row>
    <row r="235" spans="1:27" x14ac:dyDescent="0.35">
      <c r="A235">
        <v>234</v>
      </c>
      <c r="B235" s="242" t="s">
        <v>403</v>
      </c>
      <c r="C235" s="303">
        <v>240</v>
      </c>
      <c r="D235" s="303">
        <v>341</v>
      </c>
      <c r="E235" s="303">
        <v>12</v>
      </c>
      <c r="F235" s="303">
        <v>359</v>
      </c>
      <c r="G235" s="303"/>
      <c r="H235" s="303"/>
      <c r="I235" s="303"/>
      <c r="J235" s="401"/>
      <c r="K235" s="335">
        <v>34</v>
      </c>
      <c r="L235" s="303">
        <v>206</v>
      </c>
      <c r="M235" s="352" t="s">
        <v>1343</v>
      </c>
      <c r="O235" s="202"/>
      <c r="Q235" s="196"/>
      <c r="R235" s="196"/>
      <c r="S235" s="196"/>
      <c r="T235" s="196"/>
      <c r="U235" s="196"/>
      <c r="V235" s="196"/>
      <c r="X235" s="196"/>
      <c r="Y235" s="196"/>
      <c r="Z235" s="196"/>
      <c r="AA235" s="197"/>
    </row>
    <row r="236" spans="1:27" x14ac:dyDescent="0.35">
      <c r="A236">
        <v>235</v>
      </c>
      <c r="B236" s="242" t="s">
        <v>400</v>
      </c>
      <c r="C236" s="303">
        <v>145</v>
      </c>
      <c r="D236" s="303">
        <v>200</v>
      </c>
      <c r="E236" s="303">
        <v>0</v>
      </c>
      <c r="F236" s="303">
        <v>126</v>
      </c>
      <c r="G236" s="303"/>
      <c r="H236" s="303"/>
      <c r="I236" s="303"/>
      <c r="J236" s="303">
        <v>73</v>
      </c>
      <c r="K236" s="335">
        <v>1</v>
      </c>
      <c r="L236" s="303">
        <v>71</v>
      </c>
      <c r="M236" s="352" t="s">
        <v>1343</v>
      </c>
      <c r="O236" s="196"/>
      <c r="Q236" s="196"/>
      <c r="R236" s="196"/>
      <c r="S236" s="196"/>
      <c r="T236" s="196"/>
      <c r="U236" s="196"/>
      <c r="V236" s="196"/>
      <c r="X236" s="196"/>
      <c r="Y236" s="196"/>
      <c r="Z236" s="196"/>
      <c r="AA236" s="197"/>
    </row>
    <row r="237" spans="1:27" x14ac:dyDescent="0.35">
      <c r="A237">
        <v>236</v>
      </c>
      <c r="B237" s="242" t="s">
        <v>401</v>
      </c>
      <c r="C237" s="303">
        <v>103</v>
      </c>
      <c r="D237" s="303">
        <v>165</v>
      </c>
      <c r="E237" s="303">
        <v>3</v>
      </c>
      <c r="F237" s="303">
        <v>253</v>
      </c>
      <c r="G237" s="303"/>
      <c r="H237" s="303"/>
      <c r="I237" s="303"/>
      <c r="J237" s="401"/>
      <c r="K237" s="335">
        <v>19</v>
      </c>
      <c r="L237" s="303">
        <v>84</v>
      </c>
      <c r="M237" s="352" t="s">
        <v>1343</v>
      </c>
      <c r="O237" s="202"/>
      <c r="Q237" s="196"/>
      <c r="R237" s="196"/>
      <c r="S237" s="196"/>
      <c r="T237" s="196"/>
      <c r="U237" s="196"/>
      <c r="V237" s="196"/>
      <c r="X237" s="196"/>
      <c r="Y237" s="196"/>
      <c r="Z237" s="196"/>
      <c r="AA237" s="197"/>
    </row>
    <row r="238" spans="1:27" x14ac:dyDescent="0.35">
      <c r="A238">
        <v>237</v>
      </c>
      <c r="B238" s="242" t="s">
        <v>404</v>
      </c>
      <c r="C238" s="401"/>
      <c r="D238" s="401"/>
      <c r="E238" s="401"/>
      <c r="F238" s="401"/>
      <c r="G238" s="401"/>
      <c r="H238" s="401"/>
      <c r="I238" s="401"/>
      <c r="J238" s="401"/>
      <c r="K238" s="402"/>
      <c r="L238" s="401"/>
      <c r="M238" s="352" t="s">
        <v>1343</v>
      </c>
      <c r="O238" s="202"/>
      <c r="Q238" s="202"/>
      <c r="R238" s="202"/>
      <c r="S238" s="202"/>
      <c r="T238" s="202"/>
      <c r="U238" s="202"/>
      <c r="V238" s="202"/>
      <c r="X238" s="202"/>
      <c r="Y238" s="202"/>
      <c r="Z238" s="202"/>
      <c r="AA238" s="203"/>
    </row>
    <row r="239" spans="1:27" x14ac:dyDescent="0.35">
      <c r="A239">
        <v>238</v>
      </c>
      <c r="B239" s="242" t="s">
        <v>405</v>
      </c>
      <c r="C239" s="401"/>
      <c r="D239" s="401"/>
      <c r="E239" s="401"/>
      <c r="F239" s="401"/>
      <c r="G239" s="401"/>
      <c r="H239" s="401"/>
      <c r="I239" s="401"/>
      <c r="J239" s="401"/>
      <c r="K239" s="402"/>
      <c r="L239" s="401"/>
      <c r="M239" s="352" t="s">
        <v>1343</v>
      </c>
      <c r="O239" s="202"/>
      <c r="Q239" s="202"/>
      <c r="R239" s="202"/>
      <c r="S239" s="202"/>
      <c r="T239" s="202"/>
      <c r="U239" s="202"/>
      <c r="V239" s="202"/>
      <c r="X239" s="200"/>
      <c r="Y239" s="200"/>
      <c r="Z239" s="200"/>
      <c r="AA239" s="201"/>
    </row>
    <row r="240" spans="1:27" x14ac:dyDescent="0.35">
      <c r="A240">
        <v>239</v>
      </c>
      <c r="B240" s="243" t="s">
        <v>406</v>
      </c>
      <c r="C240" s="304">
        <v>248</v>
      </c>
      <c r="D240" s="304">
        <v>268</v>
      </c>
      <c r="E240" s="304">
        <v>32</v>
      </c>
      <c r="F240" s="304">
        <v>371</v>
      </c>
      <c r="G240" s="304"/>
      <c r="H240" s="304"/>
      <c r="I240" s="304"/>
      <c r="J240" s="304">
        <v>5</v>
      </c>
      <c r="K240" s="336">
        <v>120</v>
      </c>
      <c r="L240" s="304">
        <v>123</v>
      </c>
      <c r="M240" s="352" t="s">
        <v>21</v>
      </c>
      <c r="O240" s="196"/>
      <c r="Q240" s="196"/>
      <c r="R240" s="196"/>
      <c r="S240" s="196"/>
      <c r="T240" s="196"/>
      <c r="U240" s="196"/>
      <c r="V240" s="196"/>
      <c r="X240" s="196"/>
      <c r="Y240" s="196"/>
      <c r="Z240" s="196"/>
      <c r="AA240" s="197"/>
    </row>
    <row r="241" spans="1:27" x14ac:dyDescent="0.35">
      <c r="A241">
        <v>240</v>
      </c>
      <c r="B241" s="243" t="s">
        <v>413</v>
      </c>
      <c r="C241" s="304">
        <f>22807+200</f>
        <v>23007</v>
      </c>
      <c r="D241" s="304">
        <f>603+521</f>
        <v>1124</v>
      </c>
      <c r="E241" s="304">
        <f>5715+74</f>
        <v>5789</v>
      </c>
      <c r="F241" s="304">
        <v>35085</v>
      </c>
      <c r="G241" s="304"/>
      <c r="H241" s="304"/>
      <c r="I241" s="304"/>
      <c r="J241" s="304">
        <f>7205+46</f>
        <v>7251</v>
      </c>
      <c r="K241" s="336">
        <f>9484+142</f>
        <v>9626</v>
      </c>
      <c r="L241" s="304">
        <f>6118+12</f>
        <v>6130</v>
      </c>
      <c r="M241" s="352" t="s">
        <v>21</v>
      </c>
      <c r="O241" s="196"/>
      <c r="Q241" s="196"/>
      <c r="R241" s="196"/>
      <c r="S241" s="196"/>
      <c r="T241" s="196"/>
      <c r="U241" s="196"/>
      <c r="V241" s="196"/>
      <c r="X241" s="196"/>
      <c r="Y241" s="196"/>
      <c r="Z241" s="196"/>
      <c r="AA241" s="197"/>
    </row>
    <row r="242" spans="1:27" ht="14.5" customHeight="1" x14ac:dyDescent="0.35">
      <c r="A242">
        <v>241</v>
      </c>
      <c r="B242" s="243" t="s">
        <v>414</v>
      </c>
      <c r="C242" s="304">
        <v>8295</v>
      </c>
      <c r="D242" s="304">
        <v>870</v>
      </c>
      <c r="E242" s="304">
        <v>3140</v>
      </c>
      <c r="F242" s="304">
        <v>12170</v>
      </c>
      <c r="G242" s="304"/>
      <c r="H242" s="304"/>
      <c r="I242" s="398"/>
      <c r="J242" s="304">
        <v>3026</v>
      </c>
      <c r="K242" s="336">
        <v>3609</v>
      </c>
      <c r="L242" s="304">
        <v>1660</v>
      </c>
      <c r="M242" s="352" t="s">
        <v>21</v>
      </c>
      <c r="O242" s="196"/>
      <c r="Q242" s="196"/>
      <c r="R242" s="196"/>
      <c r="S242" s="196"/>
      <c r="T242" s="196"/>
      <c r="U242" s="196"/>
      <c r="V242" s="196"/>
      <c r="X242" s="196"/>
      <c r="Y242" s="196"/>
      <c r="Z242" s="196"/>
      <c r="AA242" s="197"/>
    </row>
    <row r="243" spans="1:27" x14ac:dyDescent="0.35">
      <c r="A243">
        <v>242</v>
      </c>
      <c r="B243" s="243" t="s">
        <v>412</v>
      </c>
      <c r="C243" s="304">
        <f>5488+75</f>
        <v>5563</v>
      </c>
      <c r="D243" s="304">
        <f>792+533</f>
        <v>1325</v>
      </c>
      <c r="E243" s="304">
        <f>1609+16</f>
        <v>1625</v>
      </c>
      <c r="F243" s="304">
        <f>8138+48</f>
        <v>8186</v>
      </c>
      <c r="G243" s="304"/>
      <c r="H243" s="304"/>
      <c r="I243" s="304"/>
      <c r="J243" s="304">
        <f>2496+35</f>
        <v>2531</v>
      </c>
      <c r="K243" s="336">
        <f>2033+30</f>
        <v>2063</v>
      </c>
      <c r="L243" s="304">
        <f>959+10</f>
        <v>969</v>
      </c>
      <c r="M243" s="352" t="s">
        <v>21</v>
      </c>
      <c r="O243" s="202"/>
      <c r="Q243" s="202"/>
      <c r="R243" s="202"/>
      <c r="S243" s="202"/>
      <c r="T243" s="202"/>
      <c r="U243" s="202"/>
      <c r="V243" s="202"/>
      <c r="X243" s="202"/>
      <c r="Y243" s="202"/>
      <c r="Z243" s="202"/>
      <c r="AA243" s="203"/>
    </row>
    <row r="244" spans="1:27" x14ac:dyDescent="0.35">
      <c r="A244">
        <v>243</v>
      </c>
      <c r="B244" s="243" t="s">
        <v>422</v>
      </c>
      <c r="C244" s="304">
        <f>3201+815</f>
        <v>4016</v>
      </c>
      <c r="D244" s="304">
        <f>862+520</f>
        <v>1382</v>
      </c>
      <c r="E244" s="304">
        <f>752+343</f>
        <v>1095</v>
      </c>
      <c r="F244" s="304">
        <v>4359</v>
      </c>
      <c r="G244" s="304"/>
      <c r="H244" s="304"/>
      <c r="I244" s="403"/>
      <c r="J244" s="304">
        <f>1669+143</f>
        <v>1812</v>
      </c>
      <c r="K244" s="336">
        <f>872+660</f>
        <v>1532</v>
      </c>
      <c r="L244" s="304">
        <f>660+12</f>
        <v>672</v>
      </c>
      <c r="M244" s="352" t="s">
        <v>21</v>
      </c>
      <c r="O244" s="198"/>
      <c r="Q244" s="196"/>
      <c r="R244" s="196"/>
      <c r="S244" s="196"/>
      <c r="T244" s="196"/>
      <c r="U244" s="196"/>
      <c r="V244" s="196"/>
      <c r="X244" s="196"/>
      <c r="Y244" s="196"/>
      <c r="Z244" s="196"/>
      <c r="AA244" s="197"/>
    </row>
    <row r="245" spans="1:27" x14ac:dyDescent="0.35">
      <c r="A245">
        <v>244</v>
      </c>
      <c r="B245" s="243" t="s">
        <v>417</v>
      </c>
      <c r="C245" s="304">
        <v>2860</v>
      </c>
      <c r="D245" s="304">
        <v>443</v>
      </c>
      <c r="E245" s="304">
        <v>394</v>
      </c>
      <c r="F245" s="304">
        <v>4490</v>
      </c>
      <c r="G245" s="304"/>
      <c r="H245" s="304"/>
      <c r="I245" s="403"/>
      <c r="J245" s="304">
        <v>1247</v>
      </c>
      <c r="K245" s="336">
        <v>889</v>
      </c>
      <c r="L245" s="304">
        <v>724</v>
      </c>
      <c r="M245" s="352" t="s">
        <v>21</v>
      </c>
      <c r="O245" s="196"/>
      <c r="Q245" s="196"/>
      <c r="R245" s="196"/>
      <c r="S245" s="196"/>
      <c r="T245" s="196"/>
      <c r="U245" s="196"/>
      <c r="V245" s="196"/>
      <c r="X245" s="196"/>
      <c r="Y245" s="196"/>
      <c r="Z245" s="196"/>
      <c r="AA245" s="197"/>
    </row>
    <row r="246" spans="1:27" x14ac:dyDescent="0.35">
      <c r="A246">
        <v>245</v>
      </c>
      <c r="B246" s="243" t="s">
        <v>419</v>
      </c>
      <c r="C246" s="304">
        <v>2507</v>
      </c>
      <c r="D246" s="304">
        <v>360</v>
      </c>
      <c r="E246" s="304">
        <v>383</v>
      </c>
      <c r="F246" s="304">
        <v>3880</v>
      </c>
      <c r="G246" s="304"/>
      <c r="H246" s="304"/>
      <c r="I246" s="403"/>
      <c r="J246" s="304">
        <v>421</v>
      </c>
      <c r="K246" s="336">
        <v>1064</v>
      </c>
      <c r="L246" s="304">
        <v>1022</v>
      </c>
      <c r="M246" s="352" t="s">
        <v>21</v>
      </c>
      <c r="O246" s="198"/>
      <c r="Q246" s="198"/>
      <c r="R246" s="198"/>
      <c r="S246" s="198"/>
      <c r="T246" s="198"/>
      <c r="U246" s="198"/>
      <c r="V246" s="198"/>
      <c r="X246" s="196"/>
      <c r="Y246" s="196"/>
      <c r="Z246" s="196"/>
      <c r="AA246" s="197"/>
    </row>
    <row r="247" spans="1:27" x14ac:dyDescent="0.35">
      <c r="A247">
        <v>246</v>
      </c>
      <c r="B247" s="243" t="s">
        <v>418</v>
      </c>
      <c r="C247" s="304">
        <v>2438</v>
      </c>
      <c r="D247" s="304">
        <v>389</v>
      </c>
      <c r="E247" s="304">
        <v>335</v>
      </c>
      <c r="F247" s="304">
        <v>5685</v>
      </c>
      <c r="G247" s="304"/>
      <c r="H247" s="304"/>
      <c r="I247" s="403"/>
      <c r="J247" s="304">
        <v>1136</v>
      </c>
      <c r="K247" s="336">
        <v>861</v>
      </c>
      <c r="L247" s="304">
        <v>441</v>
      </c>
      <c r="M247" s="352" t="s">
        <v>21</v>
      </c>
      <c r="O247" s="198"/>
      <c r="Q247" s="198"/>
      <c r="R247" s="198"/>
      <c r="S247" s="198"/>
      <c r="T247" s="198"/>
      <c r="U247" s="198"/>
      <c r="V247" s="198"/>
      <c r="X247" s="198"/>
      <c r="Y247" s="198"/>
      <c r="Z247" s="198"/>
      <c r="AA247" s="199"/>
    </row>
    <row r="248" spans="1:27" x14ac:dyDescent="0.35">
      <c r="A248">
        <v>247</v>
      </c>
      <c r="B248" s="243" t="s">
        <v>416</v>
      </c>
      <c r="C248" s="304">
        <v>2053</v>
      </c>
      <c r="D248" s="304">
        <v>522</v>
      </c>
      <c r="E248" s="304">
        <v>385</v>
      </c>
      <c r="F248" s="304">
        <v>3152</v>
      </c>
      <c r="G248" s="304"/>
      <c r="H248" s="304"/>
      <c r="I248" s="403"/>
      <c r="J248" s="304">
        <v>856</v>
      </c>
      <c r="K248" s="336">
        <v>738</v>
      </c>
      <c r="L248" s="304">
        <v>459</v>
      </c>
      <c r="M248" s="352" t="s">
        <v>21</v>
      </c>
      <c r="O248" s="198"/>
      <c r="Q248" s="198"/>
      <c r="R248" s="198"/>
      <c r="S248" s="198"/>
      <c r="T248" s="198"/>
      <c r="U248" s="198"/>
      <c r="V248" s="198"/>
      <c r="X248" s="198"/>
      <c r="Y248" s="198"/>
      <c r="Z248" s="198"/>
      <c r="AA248" s="199"/>
    </row>
    <row r="249" spans="1:27" x14ac:dyDescent="0.35">
      <c r="A249">
        <v>248</v>
      </c>
      <c r="B249" s="243" t="s">
        <v>410</v>
      </c>
      <c r="C249" s="304">
        <v>1296</v>
      </c>
      <c r="D249" s="304">
        <v>390</v>
      </c>
      <c r="E249" s="304">
        <v>40</v>
      </c>
      <c r="F249" s="304">
        <v>2653</v>
      </c>
      <c r="G249" s="304"/>
      <c r="H249" s="304"/>
      <c r="I249" s="304"/>
      <c r="J249" s="304">
        <v>1110</v>
      </c>
      <c r="K249" s="336">
        <v>101</v>
      </c>
      <c r="L249" s="304">
        <v>85</v>
      </c>
      <c r="M249" s="352" t="s">
        <v>21</v>
      </c>
      <c r="O249" s="196"/>
      <c r="Q249" s="196"/>
      <c r="R249" s="196"/>
      <c r="S249" s="196"/>
      <c r="T249" s="196"/>
      <c r="U249" s="196"/>
      <c r="V249" s="196"/>
      <c r="X249" s="196"/>
      <c r="Y249" s="196"/>
      <c r="Z249" s="196"/>
      <c r="AA249" s="197"/>
    </row>
    <row r="250" spans="1:27" x14ac:dyDescent="0.35">
      <c r="A250">
        <v>249</v>
      </c>
      <c r="B250" s="243" t="s">
        <v>423</v>
      </c>
      <c r="C250" s="304">
        <v>1051</v>
      </c>
      <c r="D250" s="304">
        <v>594</v>
      </c>
      <c r="E250" s="304">
        <v>63</v>
      </c>
      <c r="F250" s="304">
        <v>1436</v>
      </c>
      <c r="G250" s="304"/>
      <c r="H250" s="304"/>
      <c r="I250" s="403"/>
      <c r="J250" s="304">
        <v>793</v>
      </c>
      <c r="K250" s="336">
        <v>107</v>
      </c>
      <c r="L250" s="304">
        <v>151</v>
      </c>
      <c r="M250" s="352" t="s">
        <v>21</v>
      </c>
      <c r="O250" s="196"/>
      <c r="Q250" s="196"/>
      <c r="R250" s="196"/>
      <c r="S250" s="196"/>
      <c r="T250" s="196"/>
      <c r="U250" s="196"/>
      <c r="V250" s="196"/>
      <c r="X250" s="196"/>
      <c r="Y250" s="196"/>
      <c r="Z250" s="196"/>
      <c r="AA250" s="197"/>
    </row>
    <row r="251" spans="1:27" x14ac:dyDescent="0.35">
      <c r="A251">
        <v>250</v>
      </c>
      <c r="B251" s="243" t="s">
        <v>415</v>
      </c>
      <c r="C251" s="304">
        <v>955</v>
      </c>
      <c r="D251" s="304">
        <v>433</v>
      </c>
      <c r="E251" s="304">
        <v>141</v>
      </c>
      <c r="F251" s="304">
        <v>1469</v>
      </c>
      <c r="G251" s="304"/>
      <c r="H251" s="304"/>
      <c r="I251" s="398"/>
      <c r="J251" s="304">
        <v>442</v>
      </c>
      <c r="K251" s="336">
        <v>326</v>
      </c>
      <c r="L251" s="304">
        <v>187</v>
      </c>
      <c r="M251" s="352" t="s">
        <v>21</v>
      </c>
      <c r="O251" s="198"/>
      <c r="Q251" s="196"/>
      <c r="R251" s="196"/>
      <c r="S251" s="196"/>
      <c r="T251" s="196"/>
      <c r="U251" s="196"/>
      <c r="V251" s="196"/>
      <c r="X251" s="196"/>
      <c r="Y251" s="196"/>
      <c r="Z251" s="196"/>
      <c r="AA251" s="197"/>
    </row>
    <row r="252" spans="1:27" x14ac:dyDescent="0.35">
      <c r="A252">
        <v>251</v>
      </c>
      <c r="B252" s="243" t="s">
        <v>411</v>
      </c>
      <c r="C252" s="304">
        <v>914</v>
      </c>
      <c r="D252" s="304">
        <v>317</v>
      </c>
      <c r="E252" s="304">
        <v>119</v>
      </c>
      <c r="F252" s="304">
        <v>1406</v>
      </c>
      <c r="G252" s="304"/>
      <c r="H252" s="304"/>
      <c r="I252" s="304"/>
      <c r="J252" s="304">
        <v>336</v>
      </c>
      <c r="K252" s="336">
        <v>375</v>
      </c>
      <c r="L252" s="304">
        <v>203</v>
      </c>
      <c r="M252" s="352" t="s">
        <v>21</v>
      </c>
      <c r="O252" s="198"/>
      <c r="Q252" s="196"/>
      <c r="R252" s="196"/>
      <c r="S252" s="196"/>
      <c r="T252" s="196"/>
      <c r="U252" s="196"/>
      <c r="V252" s="196"/>
      <c r="X252" s="196"/>
      <c r="Y252" s="196"/>
      <c r="Z252" s="196"/>
      <c r="AA252" s="197"/>
    </row>
    <row r="253" spans="1:27" x14ac:dyDescent="0.35">
      <c r="A253">
        <v>252</v>
      </c>
      <c r="B253" s="243" t="s">
        <v>420</v>
      </c>
      <c r="C253" s="304">
        <v>657</v>
      </c>
      <c r="D253" s="304">
        <v>428</v>
      </c>
      <c r="E253" s="304">
        <v>32</v>
      </c>
      <c r="F253" s="304">
        <v>1013</v>
      </c>
      <c r="G253" s="304"/>
      <c r="H253" s="304"/>
      <c r="I253" s="403"/>
      <c r="J253" s="304">
        <v>529</v>
      </c>
      <c r="K253" s="336">
        <v>74</v>
      </c>
      <c r="L253" s="304">
        <v>54</v>
      </c>
      <c r="M253" s="352" t="s">
        <v>21</v>
      </c>
      <c r="O253" s="196"/>
      <c r="Q253" s="198"/>
      <c r="R253" s="198"/>
      <c r="S253" s="198"/>
      <c r="T253" s="198"/>
      <c r="U253" s="198"/>
      <c r="V253" s="198"/>
      <c r="X253" s="198"/>
      <c r="Y253" s="198"/>
      <c r="Z253" s="198"/>
      <c r="AA253" s="199"/>
    </row>
    <row r="254" spans="1:27" x14ac:dyDescent="0.35">
      <c r="A254">
        <v>253</v>
      </c>
      <c r="B254" s="243" t="s">
        <v>421</v>
      </c>
      <c r="C254" s="304">
        <v>615</v>
      </c>
      <c r="D254" s="304">
        <v>519</v>
      </c>
      <c r="E254" s="304">
        <v>38</v>
      </c>
      <c r="F254" s="304">
        <v>702</v>
      </c>
      <c r="G254" s="304"/>
      <c r="H254" s="304"/>
      <c r="I254" s="403"/>
      <c r="J254" s="304">
        <v>394</v>
      </c>
      <c r="K254" s="336">
        <v>73</v>
      </c>
      <c r="L254" s="304">
        <f>148+174</f>
        <v>322</v>
      </c>
      <c r="M254" s="352" t="s">
        <v>21</v>
      </c>
      <c r="O254" s="196"/>
      <c r="Q254" s="196"/>
      <c r="R254" s="196"/>
      <c r="S254" s="196"/>
      <c r="T254" s="196"/>
      <c r="U254" s="196"/>
      <c r="V254" s="196"/>
      <c r="X254" s="196"/>
      <c r="Y254" s="196"/>
      <c r="Z254" s="196"/>
      <c r="AA254" s="197"/>
    </row>
    <row r="255" spans="1:27" x14ac:dyDescent="0.35">
      <c r="A255">
        <v>254</v>
      </c>
      <c r="B255" s="243" t="s">
        <v>424</v>
      </c>
      <c r="C255" s="304">
        <v>547</v>
      </c>
      <c r="D255" s="304">
        <v>350</v>
      </c>
      <c r="E255" s="304">
        <v>48</v>
      </c>
      <c r="F255" s="304">
        <v>882</v>
      </c>
      <c r="G255" s="304"/>
      <c r="H255" s="304"/>
      <c r="I255" s="403"/>
      <c r="J255" s="304">
        <v>277</v>
      </c>
      <c r="K255" s="336">
        <v>137</v>
      </c>
      <c r="L255" s="304">
        <f>133+27</f>
        <v>160</v>
      </c>
      <c r="M255" s="352" t="s">
        <v>21</v>
      </c>
      <c r="O255" s="196"/>
      <c r="Q255" s="196"/>
      <c r="R255" s="196"/>
      <c r="S255" s="196"/>
      <c r="T255" s="196"/>
      <c r="U255" s="196"/>
      <c r="V255" s="196"/>
      <c r="X255" s="196"/>
      <c r="Y255" s="196"/>
      <c r="Z255" s="196"/>
      <c r="AA255" s="197"/>
    </row>
    <row r="256" spans="1:27" x14ac:dyDescent="0.35">
      <c r="A256">
        <v>255</v>
      </c>
      <c r="B256" s="243" t="s">
        <v>407</v>
      </c>
      <c r="C256" s="304">
        <v>464</v>
      </c>
      <c r="D256" s="304">
        <v>439</v>
      </c>
      <c r="E256" s="304">
        <v>37</v>
      </c>
      <c r="F256" s="304">
        <v>738</v>
      </c>
      <c r="G256" s="304"/>
      <c r="H256" s="304"/>
      <c r="I256" s="304"/>
      <c r="J256" s="304">
        <v>329</v>
      </c>
      <c r="K256" s="336">
        <v>85</v>
      </c>
      <c r="L256" s="304">
        <v>50</v>
      </c>
      <c r="M256" s="352" t="s">
        <v>21</v>
      </c>
      <c r="O256" s="198"/>
      <c r="Q256" s="196"/>
      <c r="R256" s="196"/>
      <c r="S256" s="196"/>
      <c r="T256" s="196"/>
      <c r="U256" s="196"/>
      <c r="V256" s="196"/>
      <c r="X256" s="196"/>
      <c r="Y256" s="196"/>
      <c r="Z256" s="196"/>
      <c r="AA256" s="197"/>
    </row>
    <row r="257" spans="1:27" x14ac:dyDescent="0.35">
      <c r="A257">
        <v>256</v>
      </c>
      <c r="B257" s="243" t="s">
        <v>408</v>
      </c>
      <c r="C257" s="304">
        <v>267</v>
      </c>
      <c r="D257" s="304">
        <v>379</v>
      </c>
      <c r="E257" s="304">
        <v>41</v>
      </c>
      <c r="F257" s="304">
        <v>247</v>
      </c>
      <c r="G257" s="304"/>
      <c r="H257" s="304"/>
      <c r="I257" s="304"/>
      <c r="J257" s="304">
        <v>69</v>
      </c>
      <c r="K257" s="336">
        <v>109</v>
      </c>
      <c r="L257" s="304">
        <v>89</v>
      </c>
      <c r="M257" s="352" t="s">
        <v>21</v>
      </c>
      <c r="O257" s="196"/>
      <c r="Q257" s="196"/>
      <c r="R257" s="196"/>
      <c r="S257" s="196"/>
      <c r="T257" s="196"/>
      <c r="U257" s="196"/>
      <c r="V257" s="196"/>
      <c r="X257" s="196"/>
      <c r="Y257" s="196"/>
      <c r="Z257" s="196"/>
      <c r="AA257" s="197"/>
    </row>
    <row r="258" spans="1:27" x14ac:dyDescent="0.35">
      <c r="A258">
        <v>257</v>
      </c>
      <c r="B258" s="243" t="s">
        <v>409</v>
      </c>
      <c r="C258" s="398">
        <v>85</v>
      </c>
      <c r="D258" s="398">
        <v>441</v>
      </c>
      <c r="E258" s="398">
        <v>26</v>
      </c>
      <c r="F258" s="398">
        <v>441</v>
      </c>
      <c r="G258" s="398"/>
      <c r="H258" s="398"/>
      <c r="I258" s="304"/>
      <c r="J258" s="398">
        <v>22</v>
      </c>
      <c r="K258" s="399">
        <v>59</v>
      </c>
      <c r="L258" s="398">
        <v>4</v>
      </c>
      <c r="M258" s="352" t="s">
        <v>21</v>
      </c>
      <c r="O258" s="196"/>
      <c r="Q258" s="196"/>
      <c r="R258" s="196"/>
      <c r="S258" s="196"/>
      <c r="T258" s="196"/>
      <c r="U258" s="196"/>
      <c r="V258" s="196"/>
      <c r="X258" s="196"/>
      <c r="Y258" s="196"/>
      <c r="Z258" s="196"/>
      <c r="AA258" s="197"/>
    </row>
    <row r="259" spans="1:27" x14ac:dyDescent="0.35">
      <c r="A259">
        <v>258</v>
      </c>
      <c r="B259" s="243" t="s">
        <v>425</v>
      </c>
      <c r="C259" s="398"/>
      <c r="D259" s="403"/>
      <c r="E259" s="398"/>
      <c r="F259" s="398"/>
      <c r="G259" s="398"/>
      <c r="H259" s="398"/>
      <c r="I259" s="403"/>
      <c r="J259" s="398"/>
      <c r="K259" s="399"/>
      <c r="L259" s="398"/>
      <c r="M259" s="352" t="s">
        <v>21</v>
      </c>
      <c r="O259" s="202"/>
      <c r="Q259" s="202"/>
      <c r="R259" s="202"/>
      <c r="S259" s="202"/>
      <c r="T259" s="202"/>
      <c r="U259" s="202"/>
      <c r="V259" s="202"/>
      <c r="X259" s="200"/>
      <c r="Y259" s="200"/>
      <c r="Z259" s="200"/>
      <c r="AA259" s="201"/>
    </row>
    <row r="260" spans="1:27" x14ac:dyDescent="0.35">
      <c r="A260">
        <v>259</v>
      </c>
      <c r="B260" s="185" t="s">
        <v>426</v>
      </c>
      <c r="C260" s="391"/>
      <c r="D260" s="391"/>
      <c r="E260" s="391"/>
      <c r="F260" s="391"/>
      <c r="G260" s="391"/>
      <c r="H260" s="391"/>
      <c r="I260" s="391"/>
      <c r="J260" s="391"/>
      <c r="K260" s="404"/>
      <c r="L260" s="391"/>
      <c r="M260" s="352" t="s">
        <v>22</v>
      </c>
      <c r="O260" s="248"/>
      <c r="Q260" s="248"/>
      <c r="R260" s="248"/>
      <c r="S260" s="248"/>
      <c r="T260" s="248"/>
      <c r="U260" s="248"/>
      <c r="V260" s="248"/>
      <c r="X260" s="248"/>
      <c r="Y260" s="248"/>
      <c r="Z260" s="248"/>
      <c r="AA260" s="249"/>
    </row>
    <row r="261" spans="1:27" x14ac:dyDescent="0.35">
      <c r="A261">
        <v>260</v>
      </c>
      <c r="B261" s="185" t="s">
        <v>431</v>
      </c>
      <c r="C261" s="306">
        <v>4747</v>
      </c>
      <c r="D261" s="306">
        <v>429</v>
      </c>
      <c r="E261" s="306">
        <v>781</v>
      </c>
      <c r="F261" s="306">
        <v>3617</v>
      </c>
      <c r="G261" s="306"/>
      <c r="H261" s="306"/>
      <c r="I261" s="306"/>
      <c r="J261" s="306">
        <v>1786</v>
      </c>
      <c r="K261" s="337">
        <v>1823</v>
      </c>
      <c r="L261" s="306">
        <v>1138</v>
      </c>
      <c r="M261" s="352" t="s">
        <v>22</v>
      </c>
      <c r="O261" s="244"/>
      <c r="Q261" s="244"/>
      <c r="R261" s="244"/>
      <c r="S261" s="244"/>
      <c r="T261" s="244"/>
      <c r="U261" s="244"/>
      <c r="V261" s="244"/>
      <c r="X261" s="244"/>
      <c r="Y261" s="244"/>
      <c r="Z261" s="244"/>
      <c r="AA261" s="245"/>
    </row>
    <row r="262" spans="1:27" x14ac:dyDescent="0.35">
      <c r="A262">
        <v>261</v>
      </c>
      <c r="B262" s="185" t="s">
        <v>429</v>
      </c>
      <c r="C262" s="306">
        <v>2041</v>
      </c>
      <c r="D262" s="306">
        <v>661</v>
      </c>
      <c r="E262" s="306">
        <v>408</v>
      </c>
      <c r="F262" s="306">
        <v>2836</v>
      </c>
      <c r="G262" s="306"/>
      <c r="H262" s="306"/>
      <c r="I262" s="306"/>
      <c r="J262" s="306">
        <v>768</v>
      </c>
      <c r="K262" s="337">
        <v>618</v>
      </c>
      <c r="L262" s="306">
        <v>655</v>
      </c>
      <c r="M262" s="352" t="s">
        <v>22</v>
      </c>
      <c r="O262" s="244"/>
      <c r="Q262" s="244"/>
      <c r="R262" s="244"/>
      <c r="S262" s="244"/>
      <c r="T262" s="244"/>
      <c r="U262" s="244"/>
      <c r="V262" s="244"/>
      <c r="X262" s="244"/>
      <c r="Y262" s="244"/>
      <c r="Z262" s="244"/>
      <c r="AA262" s="245"/>
    </row>
    <row r="263" spans="1:27" x14ac:dyDescent="0.35">
      <c r="A263">
        <v>262</v>
      </c>
      <c r="B263" s="185" t="s">
        <v>427</v>
      </c>
      <c r="C263" s="306">
        <v>1285</v>
      </c>
      <c r="D263" s="306">
        <v>731</v>
      </c>
      <c r="E263" s="306">
        <v>226</v>
      </c>
      <c r="F263" s="306">
        <v>666</v>
      </c>
      <c r="G263" s="306"/>
      <c r="H263" s="306"/>
      <c r="I263" s="306"/>
      <c r="J263" s="306">
        <v>521</v>
      </c>
      <c r="K263" s="337">
        <v>309</v>
      </c>
      <c r="L263" s="306">
        <v>455</v>
      </c>
      <c r="M263" s="352" t="s">
        <v>22</v>
      </c>
      <c r="O263" s="244"/>
      <c r="Q263" s="244"/>
      <c r="R263" s="244"/>
      <c r="S263" s="244"/>
      <c r="T263" s="244"/>
      <c r="U263" s="244"/>
      <c r="V263" s="244"/>
      <c r="X263" s="244"/>
      <c r="Y263" s="244"/>
      <c r="Z263" s="244"/>
      <c r="AA263" s="245"/>
    </row>
    <row r="264" spans="1:27" x14ac:dyDescent="0.35">
      <c r="A264">
        <v>263</v>
      </c>
      <c r="B264" s="185" t="s">
        <v>430</v>
      </c>
      <c r="C264" s="306">
        <v>802</v>
      </c>
      <c r="D264" s="306">
        <v>523</v>
      </c>
      <c r="E264" s="306">
        <v>103</v>
      </c>
      <c r="F264" s="306">
        <v>944</v>
      </c>
      <c r="G264" s="306"/>
      <c r="H264" s="306"/>
      <c r="I264" s="306"/>
      <c r="J264" s="306">
        <v>512</v>
      </c>
      <c r="K264" s="337">
        <v>197</v>
      </c>
      <c r="L264" s="306">
        <v>93</v>
      </c>
      <c r="M264" s="352" t="s">
        <v>22</v>
      </c>
      <c r="O264" s="244"/>
      <c r="Q264" s="244"/>
      <c r="R264" s="244"/>
      <c r="S264" s="244"/>
      <c r="T264" s="244"/>
      <c r="U264" s="244"/>
      <c r="V264" s="244"/>
      <c r="X264" s="244"/>
      <c r="Y264" s="244"/>
      <c r="Z264" s="244"/>
      <c r="AA264" s="245"/>
    </row>
    <row r="265" spans="1:27" x14ac:dyDescent="0.35">
      <c r="A265">
        <v>264</v>
      </c>
      <c r="B265" s="185" t="s">
        <v>439</v>
      </c>
      <c r="C265" s="306">
        <v>782</v>
      </c>
      <c r="D265" s="306">
        <v>693</v>
      </c>
      <c r="E265" s="306">
        <v>125</v>
      </c>
      <c r="F265" s="306">
        <v>1271</v>
      </c>
      <c r="G265" s="306"/>
      <c r="H265" s="306"/>
      <c r="I265" s="306"/>
      <c r="J265" s="306">
        <v>99</v>
      </c>
      <c r="K265" s="337">
        <v>181</v>
      </c>
      <c r="L265" s="306">
        <v>502</v>
      </c>
      <c r="M265" s="352" t="s">
        <v>22</v>
      </c>
      <c r="O265" s="250"/>
      <c r="Q265" s="250"/>
      <c r="R265" s="250"/>
      <c r="S265" s="250"/>
      <c r="T265" s="250"/>
      <c r="U265" s="250"/>
      <c r="V265" s="250"/>
      <c r="X265" s="250"/>
      <c r="Y265" s="250"/>
      <c r="Z265" s="250"/>
      <c r="AA265" s="251"/>
    </row>
    <row r="266" spans="1:27" x14ac:dyDescent="0.35">
      <c r="A266">
        <v>265</v>
      </c>
      <c r="B266" s="185" t="s">
        <v>438</v>
      </c>
      <c r="C266" s="306">
        <v>453</v>
      </c>
      <c r="D266" s="306">
        <v>411</v>
      </c>
      <c r="E266" s="306">
        <v>29</v>
      </c>
      <c r="F266" s="306">
        <v>277</v>
      </c>
      <c r="G266" s="306"/>
      <c r="H266" s="306"/>
      <c r="I266" s="306"/>
      <c r="J266" s="306">
        <v>276</v>
      </c>
      <c r="K266" s="337">
        <v>70</v>
      </c>
      <c r="L266" s="306">
        <v>107</v>
      </c>
      <c r="M266" s="352" t="s">
        <v>22</v>
      </c>
      <c r="O266" s="244"/>
      <c r="Q266" s="244"/>
      <c r="R266" s="244"/>
      <c r="S266" s="244"/>
      <c r="T266" s="244"/>
      <c r="U266" s="244"/>
      <c r="V266" s="244"/>
      <c r="X266" s="244"/>
      <c r="Y266" s="244"/>
      <c r="Z266" s="244"/>
      <c r="AA266" s="245"/>
    </row>
    <row r="267" spans="1:27" x14ac:dyDescent="0.35">
      <c r="A267">
        <v>266</v>
      </c>
      <c r="B267" s="185" t="s">
        <v>428</v>
      </c>
      <c r="C267" s="306">
        <v>422</v>
      </c>
      <c r="D267" s="306">
        <v>593</v>
      </c>
      <c r="E267" s="306">
        <v>104</v>
      </c>
      <c r="F267" s="306">
        <v>1359</v>
      </c>
      <c r="G267" s="306"/>
      <c r="H267" s="306"/>
      <c r="I267" s="306"/>
      <c r="J267" s="306">
        <v>152</v>
      </c>
      <c r="K267" s="337">
        <v>175</v>
      </c>
      <c r="L267" s="306">
        <v>95</v>
      </c>
      <c r="M267" s="352" t="s">
        <v>22</v>
      </c>
      <c r="O267" s="244"/>
      <c r="Q267" s="244"/>
      <c r="R267" s="244"/>
      <c r="S267" s="244"/>
      <c r="T267" s="244"/>
      <c r="U267" s="244"/>
      <c r="V267" s="244"/>
      <c r="X267" s="244"/>
      <c r="Y267" s="244"/>
      <c r="Z267" s="244"/>
      <c r="AA267" s="245"/>
    </row>
    <row r="268" spans="1:27" x14ac:dyDescent="0.35">
      <c r="A268">
        <v>267</v>
      </c>
      <c r="B268" s="185" t="s">
        <v>432</v>
      </c>
      <c r="C268" s="306">
        <v>348</v>
      </c>
      <c r="D268" s="306">
        <v>330</v>
      </c>
      <c r="E268" s="306">
        <v>47</v>
      </c>
      <c r="F268" s="306">
        <v>461</v>
      </c>
      <c r="G268" s="306"/>
      <c r="H268" s="306"/>
      <c r="I268" s="306"/>
      <c r="J268" s="306">
        <v>116</v>
      </c>
      <c r="K268" s="337">
        <v>144</v>
      </c>
      <c r="L268" s="306">
        <v>88</v>
      </c>
      <c r="M268" s="352" t="s">
        <v>22</v>
      </c>
      <c r="O268" s="248"/>
      <c r="Q268" s="248"/>
      <c r="R268" s="248"/>
      <c r="S268" s="248"/>
      <c r="T268" s="248"/>
      <c r="U268" s="248"/>
      <c r="V268" s="248"/>
      <c r="X268" s="248"/>
      <c r="Y268" s="248"/>
      <c r="Z268" s="248"/>
      <c r="AA268" s="249"/>
    </row>
    <row r="269" spans="1:27" x14ac:dyDescent="0.35">
      <c r="A269">
        <v>268</v>
      </c>
      <c r="B269" s="185" t="s">
        <v>435</v>
      </c>
      <c r="C269" s="306">
        <v>242</v>
      </c>
      <c r="D269" s="306">
        <v>514</v>
      </c>
      <c r="E269" s="306">
        <v>40</v>
      </c>
      <c r="F269" s="306">
        <v>395</v>
      </c>
      <c r="G269" s="306"/>
      <c r="H269" s="306"/>
      <c r="I269" s="306"/>
      <c r="J269" s="306">
        <v>57</v>
      </c>
      <c r="K269" s="337">
        <v>78</v>
      </c>
      <c r="L269" s="306">
        <v>107</v>
      </c>
      <c r="M269" s="352" t="s">
        <v>22</v>
      </c>
      <c r="O269" s="244"/>
      <c r="Q269" s="244"/>
      <c r="R269" s="244"/>
      <c r="S269" s="244"/>
      <c r="T269" s="244"/>
      <c r="U269" s="244"/>
      <c r="V269" s="244"/>
      <c r="X269" s="244"/>
      <c r="Y269" s="244"/>
      <c r="Z269" s="244"/>
      <c r="AA269" s="245"/>
    </row>
    <row r="270" spans="1:27" x14ac:dyDescent="0.35">
      <c r="A270">
        <v>269</v>
      </c>
      <c r="B270" s="185" t="s">
        <v>436</v>
      </c>
      <c r="C270" s="306">
        <v>139</v>
      </c>
      <c r="D270" s="306">
        <v>278</v>
      </c>
      <c r="E270" s="306">
        <v>24</v>
      </c>
      <c r="F270" s="306">
        <v>126</v>
      </c>
      <c r="G270" s="306"/>
      <c r="H270" s="306"/>
      <c r="I270" s="306"/>
      <c r="J270" s="306">
        <v>16</v>
      </c>
      <c r="K270" s="337">
        <v>85</v>
      </c>
      <c r="L270" s="306">
        <v>38</v>
      </c>
      <c r="M270" s="352" t="s">
        <v>22</v>
      </c>
      <c r="O270" s="244"/>
      <c r="Q270" s="244"/>
      <c r="R270" s="244"/>
      <c r="S270" s="244"/>
      <c r="T270" s="244"/>
      <c r="U270" s="244"/>
      <c r="V270" s="244"/>
      <c r="X270" s="244"/>
      <c r="Y270" s="244"/>
      <c r="Z270" s="244"/>
      <c r="AA270" s="245"/>
    </row>
    <row r="271" spans="1:27" x14ac:dyDescent="0.35">
      <c r="A271">
        <v>270</v>
      </c>
      <c r="B271" s="185" t="s">
        <v>433</v>
      </c>
      <c r="C271" s="306">
        <v>125</v>
      </c>
      <c r="D271" s="306">
        <v>278</v>
      </c>
      <c r="E271" s="306">
        <v>7</v>
      </c>
      <c r="F271" s="306">
        <v>299</v>
      </c>
      <c r="G271" s="306"/>
      <c r="H271" s="306"/>
      <c r="I271" s="306"/>
      <c r="J271" s="306">
        <v>35</v>
      </c>
      <c r="K271" s="337">
        <v>27</v>
      </c>
      <c r="L271" s="306">
        <v>63</v>
      </c>
      <c r="M271" s="352" t="s">
        <v>22</v>
      </c>
      <c r="O271" s="248"/>
      <c r="Q271" s="248"/>
      <c r="R271" s="248"/>
      <c r="S271" s="248"/>
      <c r="T271" s="248"/>
      <c r="U271" s="248"/>
      <c r="V271" s="248"/>
      <c r="X271" s="248"/>
      <c r="Y271" s="248"/>
      <c r="Z271" s="248"/>
      <c r="AA271" s="249"/>
    </row>
    <row r="272" spans="1:27" x14ac:dyDescent="0.35">
      <c r="A272">
        <v>271</v>
      </c>
      <c r="B272" s="185" t="s">
        <v>434</v>
      </c>
      <c r="C272" s="391"/>
      <c r="D272" s="391"/>
      <c r="E272" s="391"/>
      <c r="F272" s="391"/>
      <c r="G272" s="391"/>
      <c r="H272" s="391"/>
      <c r="I272" s="391"/>
      <c r="J272" s="391"/>
      <c r="K272" s="404"/>
      <c r="L272" s="391"/>
      <c r="M272" s="352" t="s">
        <v>22</v>
      </c>
      <c r="O272" s="244"/>
      <c r="Q272" s="244"/>
      <c r="R272" s="244"/>
      <c r="S272" s="244"/>
      <c r="T272" s="244"/>
      <c r="U272" s="244"/>
      <c r="V272" s="244"/>
      <c r="X272" s="244"/>
      <c r="Y272" s="244"/>
      <c r="Z272" s="244"/>
      <c r="AA272" s="245"/>
    </row>
    <row r="273" spans="1:27" x14ac:dyDescent="0.35">
      <c r="A273">
        <v>272</v>
      </c>
      <c r="B273" s="185" t="s">
        <v>437</v>
      </c>
      <c r="C273" s="391"/>
      <c r="D273" s="391"/>
      <c r="E273" s="391"/>
      <c r="F273" s="391"/>
      <c r="G273" s="391"/>
      <c r="H273" s="391"/>
      <c r="I273" s="391"/>
      <c r="J273" s="391"/>
      <c r="K273" s="404"/>
      <c r="L273" s="391"/>
      <c r="M273" s="352" t="s">
        <v>22</v>
      </c>
      <c r="O273" s="244"/>
      <c r="Q273" s="244"/>
      <c r="R273" s="244"/>
      <c r="S273" s="244"/>
      <c r="T273" s="244"/>
      <c r="U273" s="244"/>
      <c r="V273" s="244"/>
      <c r="X273" s="246"/>
      <c r="Y273" s="246"/>
      <c r="Z273" s="246"/>
      <c r="AA273" s="247"/>
    </row>
    <row r="274" spans="1:27" x14ac:dyDescent="0.35">
      <c r="A274">
        <v>273</v>
      </c>
      <c r="B274" s="170" t="s">
        <v>440</v>
      </c>
      <c r="C274" s="307">
        <v>46</v>
      </c>
      <c r="D274" s="307">
        <v>68</v>
      </c>
      <c r="E274" s="307">
        <v>3</v>
      </c>
      <c r="F274" s="307">
        <v>6</v>
      </c>
      <c r="G274" s="307"/>
      <c r="H274" s="307"/>
      <c r="I274" s="307"/>
      <c r="J274" s="405"/>
      <c r="K274" s="338">
        <v>44</v>
      </c>
      <c r="L274" s="307">
        <v>2</v>
      </c>
      <c r="M274" s="352" t="s">
        <v>23</v>
      </c>
      <c r="O274" s="248"/>
      <c r="Q274" s="244"/>
      <c r="R274" s="244"/>
      <c r="S274" s="244"/>
      <c r="T274" s="244"/>
      <c r="U274" s="244"/>
      <c r="V274" s="244"/>
      <c r="X274" s="244"/>
      <c r="Y274" s="244"/>
      <c r="Z274" s="244"/>
      <c r="AA274" s="245"/>
    </row>
    <row r="275" spans="1:27" x14ac:dyDescent="0.35">
      <c r="A275">
        <v>274</v>
      </c>
      <c r="B275" s="170" t="s">
        <v>441</v>
      </c>
      <c r="C275" s="307">
        <v>1717</v>
      </c>
      <c r="D275" s="307">
        <v>579</v>
      </c>
      <c r="E275" s="307">
        <v>549</v>
      </c>
      <c r="F275" s="307">
        <v>1247</v>
      </c>
      <c r="G275" s="307"/>
      <c r="H275" s="307"/>
      <c r="I275" s="307"/>
      <c r="J275" s="307">
        <v>415</v>
      </c>
      <c r="K275" s="338">
        <v>947</v>
      </c>
      <c r="L275" s="307">
        <v>355</v>
      </c>
      <c r="M275" s="352" t="s">
        <v>23</v>
      </c>
      <c r="O275" s="244"/>
      <c r="Q275" s="244"/>
      <c r="R275" s="244"/>
      <c r="S275" s="244"/>
      <c r="T275" s="244"/>
      <c r="U275" s="244"/>
      <c r="V275" s="244"/>
      <c r="X275" s="244"/>
      <c r="Y275" s="244"/>
      <c r="Z275" s="244"/>
      <c r="AA275" s="245"/>
    </row>
    <row r="276" spans="1:27" x14ac:dyDescent="0.35">
      <c r="A276">
        <v>275</v>
      </c>
      <c r="B276" s="170" t="s">
        <v>442</v>
      </c>
      <c r="C276" s="307">
        <v>254</v>
      </c>
      <c r="D276" s="307">
        <v>749</v>
      </c>
      <c r="E276" s="307">
        <v>58</v>
      </c>
      <c r="F276" s="307">
        <v>414</v>
      </c>
      <c r="G276" s="307"/>
      <c r="H276" s="307"/>
      <c r="I276" s="307"/>
      <c r="J276" s="307">
        <v>148</v>
      </c>
      <c r="K276" s="338">
        <v>77</v>
      </c>
      <c r="L276" s="307">
        <v>28</v>
      </c>
      <c r="M276" s="352" t="s">
        <v>23</v>
      </c>
      <c r="O276" s="244"/>
      <c r="Q276" s="244"/>
      <c r="R276" s="244"/>
      <c r="S276" s="244"/>
      <c r="T276" s="244"/>
      <c r="U276" s="244"/>
      <c r="V276" s="244"/>
      <c r="X276" s="244"/>
      <c r="Y276" s="244"/>
      <c r="Z276" s="244"/>
      <c r="AA276" s="245"/>
    </row>
    <row r="277" spans="1:27" x14ac:dyDescent="0.35">
      <c r="A277">
        <v>276</v>
      </c>
      <c r="B277" s="170" t="s">
        <v>443</v>
      </c>
      <c r="C277" s="307">
        <v>74</v>
      </c>
      <c r="D277" s="307">
        <v>346</v>
      </c>
      <c r="E277" s="307">
        <v>12</v>
      </c>
      <c r="F277" s="307">
        <v>118</v>
      </c>
      <c r="G277" s="307"/>
      <c r="H277" s="307"/>
      <c r="I277" s="307"/>
      <c r="J277" s="307">
        <v>1</v>
      </c>
      <c r="K277" s="338">
        <v>35</v>
      </c>
      <c r="L277" s="307">
        <v>38</v>
      </c>
      <c r="M277" s="352" t="s">
        <v>23</v>
      </c>
      <c r="O277" s="244"/>
      <c r="Q277" s="244"/>
      <c r="R277" s="244"/>
      <c r="S277" s="244"/>
      <c r="T277" s="244"/>
      <c r="U277" s="244"/>
      <c r="V277" s="244"/>
      <c r="X277" s="244"/>
      <c r="Y277" s="244"/>
      <c r="Z277" s="244"/>
      <c r="AA277" s="245"/>
    </row>
    <row r="278" spans="1:27" x14ac:dyDescent="0.35">
      <c r="A278">
        <v>277</v>
      </c>
      <c r="B278" s="170" t="s">
        <v>449</v>
      </c>
      <c r="C278" s="307">
        <v>42</v>
      </c>
      <c r="D278" s="405"/>
      <c r="E278" s="405"/>
      <c r="F278" s="307">
        <v>80</v>
      </c>
      <c r="G278" s="405"/>
      <c r="H278" s="405"/>
      <c r="I278" s="405"/>
      <c r="J278" s="307">
        <v>42</v>
      </c>
      <c r="K278" s="406"/>
      <c r="L278" s="405"/>
      <c r="M278" s="352" t="s">
        <v>23</v>
      </c>
      <c r="O278" s="248"/>
      <c r="Q278" s="248"/>
      <c r="R278" s="248"/>
      <c r="S278" s="248"/>
      <c r="T278" s="248"/>
      <c r="U278" s="248"/>
      <c r="V278" s="248"/>
      <c r="X278" s="248"/>
      <c r="Y278" s="248"/>
      <c r="Z278" s="248"/>
      <c r="AA278" s="249"/>
    </row>
    <row r="279" spans="1:27" x14ac:dyDescent="0.35">
      <c r="A279">
        <v>278</v>
      </c>
      <c r="B279" s="170" t="s">
        <v>447</v>
      </c>
      <c r="C279" s="307">
        <v>5</v>
      </c>
      <c r="D279" s="405"/>
      <c r="E279" s="405"/>
      <c r="F279" s="307">
        <v>18</v>
      </c>
      <c r="G279" s="405"/>
      <c r="H279" s="405"/>
      <c r="I279" s="405"/>
      <c r="J279" s="307">
        <v>5</v>
      </c>
      <c r="K279" s="406"/>
      <c r="L279" s="405"/>
      <c r="M279" s="352" t="s">
        <v>23</v>
      </c>
      <c r="O279" s="248"/>
      <c r="Q279" s="248"/>
      <c r="R279" s="248"/>
      <c r="S279" s="248"/>
      <c r="T279" s="248"/>
      <c r="U279" s="248"/>
      <c r="V279" s="248"/>
      <c r="X279" s="248"/>
      <c r="Y279" s="248"/>
      <c r="Z279" s="248"/>
      <c r="AA279" s="249"/>
    </row>
    <row r="280" spans="1:27" x14ac:dyDescent="0.35">
      <c r="A280">
        <v>279</v>
      </c>
      <c r="B280" s="170" t="s">
        <v>444</v>
      </c>
      <c r="C280" s="405"/>
      <c r="D280" s="405"/>
      <c r="E280" s="405"/>
      <c r="F280" s="405"/>
      <c r="G280" s="405"/>
      <c r="H280" s="405"/>
      <c r="I280" s="405"/>
      <c r="J280" s="405"/>
      <c r="K280" s="406"/>
      <c r="L280" s="405"/>
      <c r="M280" s="352" t="s">
        <v>23</v>
      </c>
      <c r="O280" s="248"/>
      <c r="Q280" s="248"/>
      <c r="R280" s="248"/>
      <c r="S280" s="248"/>
      <c r="T280" s="248"/>
      <c r="U280" s="248"/>
      <c r="V280" s="248"/>
      <c r="X280" s="248"/>
      <c r="Y280" s="248"/>
      <c r="Z280" s="248"/>
      <c r="AA280" s="249"/>
    </row>
    <row r="281" spans="1:27" x14ac:dyDescent="0.35">
      <c r="A281">
        <v>280</v>
      </c>
      <c r="B281" s="170" t="s">
        <v>445</v>
      </c>
      <c r="C281" s="405"/>
      <c r="D281" s="405"/>
      <c r="E281" s="405"/>
      <c r="F281" s="405"/>
      <c r="G281" s="405"/>
      <c r="H281" s="405"/>
      <c r="I281" s="405"/>
      <c r="J281" s="405"/>
      <c r="K281" s="406"/>
      <c r="L281" s="405"/>
      <c r="M281" s="352" t="s">
        <v>23</v>
      </c>
      <c r="O281" s="244"/>
      <c r="Q281" s="248"/>
      <c r="R281" s="248"/>
      <c r="S281" s="248"/>
      <c r="T281" s="248"/>
      <c r="U281" s="248"/>
      <c r="V281" s="248"/>
      <c r="X281" s="248"/>
      <c r="Y281" s="248"/>
      <c r="Z281" s="248"/>
      <c r="AA281" s="249"/>
    </row>
    <row r="282" spans="1:27" x14ac:dyDescent="0.35">
      <c r="A282">
        <v>281</v>
      </c>
      <c r="B282" s="170" t="s">
        <v>446</v>
      </c>
      <c r="C282" s="405"/>
      <c r="D282" s="405"/>
      <c r="E282" s="405"/>
      <c r="F282" s="405"/>
      <c r="G282" s="405"/>
      <c r="H282" s="405"/>
      <c r="I282" s="405"/>
      <c r="J282" s="405"/>
      <c r="K282" s="406"/>
      <c r="L282" s="405"/>
      <c r="M282" s="352" t="s">
        <v>23</v>
      </c>
      <c r="O282" s="248"/>
      <c r="Q282" s="248"/>
      <c r="R282" s="248"/>
      <c r="S282" s="248"/>
      <c r="T282" s="248"/>
      <c r="U282" s="248"/>
      <c r="V282" s="248"/>
      <c r="X282" s="248"/>
      <c r="Y282" s="248"/>
      <c r="Z282" s="248"/>
      <c r="AA282" s="249"/>
    </row>
    <row r="283" spans="1:27" x14ac:dyDescent="0.35">
      <c r="A283">
        <v>282</v>
      </c>
      <c r="B283" s="170" t="s">
        <v>448</v>
      </c>
      <c r="C283" s="405"/>
      <c r="D283" s="405"/>
      <c r="E283" s="405"/>
      <c r="F283" s="405"/>
      <c r="G283" s="405"/>
      <c r="H283" s="405"/>
      <c r="I283" s="405"/>
      <c r="J283" s="405"/>
      <c r="K283" s="406"/>
      <c r="L283" s="405"/>
      <c r="M283" s="352" t="s">
        <v>23</v>
      </c>
      <c r="O283" s="244"/>
      <c r="Q283" s="248"/>
      <c r="R283" s="248"/>
      <c r="S283" s="248"/>
      <c r="T283" s="248"/>
      <c r="U283" s="248"/>
      <c r="V283" s="248"/>
      <c r="X283" s="248"/>
      <c r="Y283" s="248"/>
      <c r="Z283" s="248"/>
      <c r="AA283" s="249"/>
    </row>
    <row r="284" spans="1:27" x14ac:dyDescent="0.35">
      <c r="A284">
        <v>283</v>
      </c>
      <c r="B284" s="98" t="s">
        <v>450</v>
      </c>
      <c r="C284" s="308">
        <v>129</v>
      </c>
      <c r="D284" s="308">
        <v>128</v>
      </c>
      <c r="E284" s="308">
        <v>4</v>
      </c>
      <c r="F284" s="308">
        <v>246</v>
      </c>
      <c r="G284" s="407"/>
      <c r="H284" s="407"/>
      <c r="I284" s="407"/>
      <c r="J284" s="308">
        <v>72</v>
      </c>
      <c r="K284" s="339">
        <v>35</v>
      </c>
      <c r="L284" s="308">
        <v>22</v>
      </c>
      <c r="M284" s="352" t="s">
        <v>24</v>
      </c>
      <c r="O284" s="244"/>
      <c r="Q284" s="244"/>
      <c r="R284" s="244"/>
      <c r="S284" s="244"/>
      <c r="T284" s="244"/>
      <c r="U284" s="244"/>
      <c r="V284" s="244"/>
      <c r="X284" s="244"/>
      <c r="Y284" s="244"/>
      <c r="Z284" s="244"/>
      <c r="AA284" s="245"/>
    </row>
    <row r="285" spans="1:27" x14ac:dyDescent="0.35">
      <c r="A285">
        <v>284</v>
      </c>
      <c r="B285" s="98" t="s">
        <v>452</v>
      </c>
      <c r="C285" s="308">
        <v>259</v>
      </c>
      <c r="D285" s="308">
        <v>259</v>
      </c>
      <c r="E285" s="308">
        <v>21</v>
      </c>
      <c r="F285" s="308">
        <v>181</v>
      </c>
      <c r="G285" s="308"/>
      <c r="H285" s="308"/>
      <c r="I285" s="308"/>
      <c r="J285" s="308">
        <v>59</v>
      </c>
      <c r="K285" s="339">
        <v>80</v>
      </c>
      <c r="L285" s="308">
        <v>120</v>
      </c>
      <c r="M285" s="352" t="s">
        <v>24</v>
      </c>
      <c r="O285" s="248"/>
      <c r="Q285" s="248"/>
      <c r="R285" s="248"/>
      <c r="S285" s="248"/>
      <c r="T285" s="248"/>
      <c r="U285" s="248"/>
      <c r="V285" s="248"/>
      <c r="X285" s="248"/>
      <c r="Y285" s="248"/>
      <c r="Z285" s="248"/>
      <c r="AA285" s="249"/>
    </row>
    <row r="286" spans="1:27" x14ac:dyDescent="0.35">
      <c r="A286">
        <v>285</v>
      </c>
      <c r="B286" s="98" t="s">
        <v>455</v>
      </c>
      <c r="C286" s="308">
        <v>214</v>
      </c>
      <c r="D286" s="308">
        <v>460</v>
      </c>
      <c r="E286" s="308">
        <v>34</v>
      </c>
      <c r="F286" s="308">
        <v>431</v>
      </c>
      <c r="G286" s="407"/>
      <c r="H286" s="407"/>
      <c r="I286" s="407"/>
      <c r="J286" s="308">
        <v>114</v>
      </c>
      <c r="K286" s="339">
        <v>74</v>
      </c>
      <c r="L286" s="308">
        <v>26</v>
      </c>
      <c r="M286" s="352" t="s">
        <v>24</v>
      </c>
      <c r="O286" s="244"/>
      <c r="Q286" s="244"/>
      <c r="R286" s="244"/>
      <c r="S286" s="244"/>
      <c r="T286" s="244"/>
      <c r="U286" s="244"/>
      <c r="V286" s="244"/>
      <c r="X286" s="244"/>
      <c r="Y286" s="244"/>
      <c r="Z286" s="244"/>
      <c r="AA286" s="245"/>
    </row>
    <row r="287" spans="1:27" x14ac:dyDescent="0.35">
      <c r="A287">
        <v>286</v>
      </c>
      <c r="B287" s="98" t="s">
        <v>456</v>
      </c>
      <c r="C287" s="308">
        <v>35</v>
      </c>
      <c r="D287" s="308">
        <v>455</v>
      </c>
      <c r="E287" s="308">
        <v>4</v>
      </c>
      <c r="F287" s="308">
        <v>56</v>
      </c>
      <c r="G287" s="407"/>
      <c r="H287" s="407"/>
      <c r="I287" s="407"/>
      <c r="J287" s="308">
        <v>18</v>
      </c>
      <c r="K287" s="339">
        <v>8</v>
      </c>
      <c r="L287" s="308">
        <v>9</v>
      </c>
      <c r="M287" s="352" t="s">
        <v>24</v>
      </c>
      <c r="O287" s="248"/>
      <c r="Q287" s="248"/>
      <c r="R287" s="248"/>
      <c r="S287" s="248"/>
      <c r="T287" s="248"/>
      <c r="U287" s="248"/>
      <c r="V287" s="248"/>
      <c r="X287" s="248"/>
      <c r="Y287" s="248"/>
      <c r="Z287" s="248"/>
      <c r="AA287" s="249"/>
    </row>
    <row r="288" spans="1:27" x14ac:dyDescent="0.35">
      <c r="A288">
        <v>287</v>
      </c>
      <c r="B288" s="98" t="s">
        <v>451</v>
      </c>
      <c r="C288" s="407"/>
      <c r="D288" s="407"/>
      <c r="E288" s="407"/>
      <c r="F288" s="407"/>
      <c r="G288" s="407"/>
      <c r="H288" s="407"/>
      <c r="I288" s="407"/>
      <c r="J288" s="407"/>
      <c r="K288" s="408"/>
      <c r="L288" s="407"/>
      <c r="M288" s="352" t="s">
        <v>24</v>
      </c>
      <c r="O288" s="248"/>
      <c r="Q288" s="248"/>
      <c r="R288" s="248"/>
      <c r="S288" s="248"/>
      <c r="T288" s="248"/>
      <c r="U288" s="248"/>
      <c r="V288" s="248"/>
      <c r="X288" s="248"/>
      <c r="Y288" s="248"/>
      <c r="Z288" s="248"/>
      <c r="AA288" s="249"/>
    </row>
    <row r="289" spans="1:27" x14ac:dyDescent="0.35">
      <c r="A289">
        <v>288</v>
      </c>
      <c r="B289" s="98" t="s">
        <v>453</v>
      </c>
      <c r="C289" s="407"/>
      <c r="D289" s="407"/>
      <c r="E289" s="407"/>
      <c r="F289" s="407"/>
      <c r="G289" s="407"/>
      <c r="H289" s="407"/>
      <c r="I289" s="407"/>
      <c r="J289" s="407"/>
      <c r="K289" s="408"/>
      <c r="L289" s="407"/>
      <c r="M289" s="352" t="s">
        <v>24</v>
      </c>
      <c r="O289" s="244"/>
      <c r="Q289" s="244"/>
      <c r="R289" s="244"/>
      <c r="S289" s="244"/>
      <c r="T289" s="244"/>
      <c r="U289" s="244"/>
      <c r="V289" s="244"/>
      <c r="X289" s="244"/>
      <c r="Y289" s="244"/>
      <c r="Z289" s="244"/>
      <c r="AA289" s="245"/>
    </row>
    <row r="290" spans="1:27" x14ac:dyDescent="0.35">
      <c r="A290">
        <v>289</v>
      </c>
      <c r="B290" s="98" t="s">
        <v>454</v>
      </c>
      <c r="C290" s="407"/>
      <c r="D290" s="407"/>
      <c r="E290" s="407"/>
      <c r="F290" s="407"/>
      <c r="G290" s="308"/>
      <c r="H290" s="308"/>
      <c r="I290" s="308"/>
      <c r="J290" s="407"/>
      <c r="K290" s="408"/>
      <c r="L290" s="407"/>
      <c r="M290" s="352" t="s">
        <v>24</v>
      </c>
      <c r="O290" s="248"/>
      <c r="Q290" s="248"/>
      <c r="R290" s="248"/>
      <c r="S290" s="248"/>
      <c r="T290" s="248"/>
      <c r="U290" s="248"/>
      <c r="V290" s="248"/>
      <c r="X290" s="248"/>
      <c r="Y290" s="248"/>
      <c r="Z290" s="248"/>
      <c r="AA290" s="249"/>
    </row>
    <row r="291" spans="1:27" x14ac:dyDescent="0.35">
      <c r="A291">
        <v>290</v>
      </c>
      <c r="B291" s="98" t="s">
        <v>457</v>
      </c>
      <c r="C291" s="407"/>
      <c r="D291" s="407"/>
      <c r="E291" s="407"/>
      <c r="F291" s="407"/>
      <c r="G291" s="308"/>
      <c r="H291" s="308"/>
      <c r="I291" s="308"/>
      <c r="J291" s="407"/>
      <c r="K291" s="408"/>
      <c r="L291" s="407"/>
      <c r="M291" s="352" t="s">
        <v>24</v>
      </c>
      <c r="O291" s="248"/>
      <c r="Q291" s="248"/>
      <c r="R291" s="248"/>
      <c r="S291" s="248"/>
      <c r="T291" s="248"/>
      <c r="U291" s="248"/>
      <c r="V291" s="248"/>
      <c r="X291" s="248"/>
      <c r="Y291" s="248"/>
      <c r="Z291" s="248"/>
      <c r="AA291" s="249"/>
    </row>
    <row r="292" spans="1:27" x14ac:dyDescent="0.35">
      <c r="A292">
        <v>291</v>
      </c>
      <c r="B292" s="98" t="s">
        <v>458</v>
      </c>
      <c r="C292" s="407"/>
      <c r="D292" s="407"/>
      <c r="E292" s="407"/>
      <c r="F292" s="407"/>
      <c r="G292" s="407"/>
      <c r="H292" s="407"/>
      <c r="I292" s="407"/>
      <c r="J292" s="407"/>
      <c r="K292" s="408"/>
      <c r="L292" s="407"/>
      <c r="M292" s="352" t="s">
        <v>24</v>
      </c>
      <c r="O292" s="248"/>
      <c r="Q292" s="248"/>
      <c r="R292" s="248"/>
      <c r="S292" s="248"/>
      <c r="T292" s="248"/>
      <c r="U292" s="248"/>
      <c r="V292" s="248"/>
      <c r="X292" s="248"/>
      <c r="Y292" s="248"/>
      <c r="Z292" s="248"/>
      <c r="AA292" s="249"/>
    </row>
    <row r="293" spans="1:27" x14ac:dyDescent="0.35">
      <c r="A293">
        <v>292</v>
      </c>
      <c r="B293" s="168" t="s">
        <v>459</v>
      </c>
      <c r="C293" s="310">
        <v>6</v>
      </c>
      <c r="D293" s="310">
        <v>298</v>
      </c>
      <c r="E293" s="310">
        <v>1</v>
      </c>
      <c r="F293" s="310">
        <v>6</v>
      </c>
      <c r="G293" s="310"/>
      <c r="H293" s="310"/>
      <c r="I293" s="310"/>
      <c r="J293" s="310">
        <v>1</v>
      </c>
      <c r="K293" s="340">
        <v>3</v>
      </c>
      <c r="L293" s="310">
        <v>2</v>
      </c>
      <c r="M293" s="352" t="s">
        <v>25</v>
      </c>
      <c r="O293" s="244"/>
      <c r="Q293" s="244"/>
      <c r="R293" s="244"/>
      <c r="S293" s="244"/>
      <c r="T293" s="244"/>
      <c r="U293" s="244"/>
      <c r="V293" s="244"/>
      <c r="X293" s="244"/>
      <c r="Y293" s="244"/>
      <c r="Z293" s="244"/>
      <c r="AA293" s="245"/>
    </row>
    <row r="294" spans="1:27" x14ac:dyDescent="0.35">
      <c r="A294">
        <v>293</v>
      </c>
      <c r="B294" s="168" t="s">
        <v>463</v>
      </c>
      <c r="C294" s="310">
        <v>4009</v>
      </c>
      <c r="D294" s="310">
        <v>611</v>
      </c>
      <c r="E294" s="310">
        <v>1088</v>
      </c>
      <c r="F294" s="310">
        <v>2162</v>
      </c>
      <c r="G294" s="310"/>
      <c r="H294" s="310"/>
      <c r="I294" s="310"/>
      <c r="J294" s="310">
        <v>977</v>
      </c>
      <c r="K294" s="340">
        <v>1781</v>
      </c>
      <c r="L294" s="310">
        <v>1251</v>
      </c>
      <c r="M294" s="352" t="s">
        <v>25</v>
      </c>
      <c r="O294" s="248"/>
      <c r="Q294" s="244"/>
      <c r="R294" s="244"/>
      <c r="S294" s="244"/>
      <c r="T294" s="244"/>
      <c r="U294" s="244"/>
      <c r="V294" s="244"/>
      <c r="X294" s="244"/>
      <c r="Y294" s="244"/>
      <c r="Z294" s="244"/>
      <c r="AA294" s="245"/>
    </row>
    <row r="295" spans="1:27" x14ac:dyDescent="0.35">
      <c r="A295">
        <v>294</v>
      </c>
      <c r="B295" s="168" t="s">
        <v>467</v>
      </c>
      <c r="C295" s="310">
        <v>2091</v>
      </c>
      <c r="D295" s="310">
        <v>370</v>
      </c>
      <c r="E295" s="310">
        <v>446</v>
      </c>
      <c r="F295" s="310">
        <v>1682</v>
      </c>
      <c r="G295" s="310"/>
      <c r="H295" s="310"/>
      <c r="I295" s="310"/>
      <c r="J295" s="310">
        <v>240</v>
      </c>
      <c r="K295" s="340">
        <v>1208</v>
      </c>
      <c r="L295" s="310">
        <v>643</v>
      </c>
      <c r="M295" s="352" t="s">
        <v>25</v>
      </c>
      <c r="O295" s="244"/>
      <c r="Q295" s="244"/>
      <c r="R295" s="244"/>
      <c r="S295" s="244"/>
      <c r="T295" s="244"/>
      <c r="U295" s="244"/>
      <c r="V295" s="244"/>
      <c r="X295" s="244"/>
      <c r="Y295" s="244"/>
      <c r="Z295" s="244"/>
      <c r="AA295" s="245"/>
    </row>
    <row r="296" spans="1:27" x14ac:dyDescent="0.35">
      <c r="A296">
        <v>295</v>
      </c>
      <c r="B296" s="168" t="s">
        <v>468</v>
      </c>
      <c r="C296" s="310">
        <v>854</v>
      </c>
      <c r="D296" s="310">
        <v>545</v>
      </c>
      <c r="E296" s="310">
        <v>202</v>
      </c>
      <c r="F296" s="310">
        <v>423</v>
      </c>
      <c r="G296" s="310"/>
      <c r="H296" s="310"/>
      <c r="I296" s="310"/>
      <c r="J296" s="310">
        <v>338</v>
      </c>
      <c r="K296" s="340">
        <v>370</v>
      </c>
      <c r="L296" s="310">
        <v>146</v>
      </c>
      <c r="M296" s="352" t="s">
        <v>25</v>
      </c>
      <c r="O296" s="244"/>
      <c r="Q296" s="244"/>
      <c r="R296" s="244"/>
      <c r="S296" s="244"/>
      <c r="T296" s="244"/>
      <c r="U296" s="244"/>
      <c r="V296" s="244"/>
      <c r="X296" s="244"/>
      <c r="Y296" s="244"/>
      <c r="Z296" s="244"/>
      <c r="AA296" s="245"/>
    </row>
    <row r="297" spans="1:27" x14ac:dyDescent="0.35">
      <c r="A297">
        <v>296</v>
      </c>
      <c r="B297" s="168" t="s">
        <v>462</v>
      </c>
      <c r="C297" s="310">
        <v>521</v>
      </c>
      <c r="D297" s="310">
        <v>109</v>
      </c>
      <c r="E297" s="310">
        <v>11</v>
      </c>
      <c r="F297" s="310">
        <v>364</v>
      </c>
      <c r="G297" s="310"/>
      <c r="H297" s="310"/>
      <c r="I297" s="310"/>
      <c r="J297" s="310">
        <v>283</v>
      </c>
      <c r="K297" s="340">
        <v>101</v>
      </c>
      <c r="L297" s="310">
        <v>137</v>
      </c>
      <c r="M297" s="352" t="s">
        <v>25</v>
      </c>
      <c r="O297" s="244"/>
      <c r="Q297" s="250"/>
      <c r="R297" s="250"/>
      <c r="S297" s="250"/>
      <c r="T297" s="250"/>
      <c r="U297" s="250"/>
      <c r="V297" s="250"/>
      <c r="X297" s="250"/>
      <c r="Y297" s="250"/>
      <c r="Z297" s="250"/>
      <c r="AA297" s="251"/>
    </row>
    <row r="298" spans="1:27" x14ac:dyDescent="0.35">
      <c r="A298">
        <v>297</v>
      </c>
      <c r="B298" s="168" t="s">
        <v>461</v>
      </c>
      <c r="C298" s="310">
        <v>147</v>
      </c>
      <c r="D298" s="310">
        <v>848</v>
      </c>
      <c r="E298" s="310">
        <v>33</v>
      </c>
      <c r="F298" s="310">
        <v>176</v>
      </c>
      <c r="G298" s="310"/>
      <c r="H298" s="310"/>
      <c r="I298" s="310"/>
      <c r="J298" s="310">
        <v>80</v>
      </c>
      <c r="K298" s="340">
        <v>39</v>
      </c>
      <c r="L298" s="310">
        <v>28</v>
      </c>
      <c r="M298" s="352" t="s">
        <v>25</v>
      </c>
      <c r="O298" s="248"/>
      <c r="Q298" s="248"/>
      <c r="R298" s="248"/>
      <c r="S298" s="248"/>
      <c r="T298" s="248"/>
      <c r="U298" s="248"/>
      <c r="V298" s="248"/>
      <c r="X298" s="248"/>
      <c r="Y298" s="248"/>
      <c r="Z298" s="248"/>
      <c r="AA298" s="249"/>
    </row>
    <row r="299" spans="1:27" x14ac:dyDescent="0.35">
      <c r="A299">
        <v>298</v>
      </c>
      <c r="B299" s="168" t="s">
        <v>465</v>
      </c>
      <c r="C299" s="310">
        <v>125</v>
      </c>
      <c r="D299" s="310">
        <v>247</v>
      </c>
      <c r="E299" s="310">
        <v>21</v>
      </c>
      <c r="F299" s="310">
        <v>241</v>
      </c>
      <c r="G299" s="310"/>
      <c r="H299" s="310"/>
      <c r="I299" s="310"/>
      <c r="J299" s="310">
        <v>6</v>
      </c>
      <c r="K299" s="340">
        <v>85</v>
      </c>
      <c r="L299" s="310">
        <v>34</v>
      </c>
      <c r="M299" s="352" t="s">
        <v>25</v>
      </c>
      <c r="O299" s="244"/>
      <c r="Q299" s="244"/>
      <c r="R299" s="244"/>
      <c r="S299" s="244"/>
      <c r="T299" s="244"/>
      <c r="U299" s="244"/>
      <c r="V299" s="244"/>
      <c r="X299" s="244"/>
      <c r="Y299" s="244"/>
      <c r="Z299" s="244"/>
      <c r="AA299" s="245"/>
    </row>
    <row r="300" spans="1:27" x14ac:dyDescent="0.35">
      <c r="A300">
        <v>299</v>
      </c>
      <c r="B300" s="168" t="s">
        <v>466</v>
      </c>
      <c r="C300" s="310">
        <v>16</v>
      </c>
      <c r="D300" s="310">
        <v>223</v>
      </c>
      <c r="E300" s="310">
        <v>2</v>
      </c>
      <c r="F300" s="310">
        <v>15</v>
      </c>
      <c r="G300" s="310"/>
      <c r="H300" s="310"/>
      <c r="I300" s="310"/>
      <c r="J300" s="310">
        <v>1</v>
      </c>
      <c r="K300" s="340">
        <v>10</v>
      </c>
      <c r="L300" s="310">
        <v>5</v>
      </c>
      <c r="M300" s="352" t="s">
        <v>25</v>
      </c>
      <c r="O300" s="244"/>
      <c r="Q300" s="244"/>
      <c r="R300" s="244"/>
      <c r="S300" s="244"/>
      <c r="T300" s="244"/>
      <c r="U300" s="244"/>
      <c r="V300" s="244"/>
      <c r="X300" s="244"/>
      <c r="Y300" s="244"/>
      <c r="Z300" s="244"/>
      <c r="AA300" s="245"/>
    </row>
    <row r="301" spans="1:27" x14ac:dyDescent="0.35">
      <c r="A301">
        <v>300</v>
      </c>
      <c r="B301" s="168" t="s">
        <v>460</v>
      </c>
      <c r="C301" s="310">
        <v>9</v>
      </c>
      <c r="D301" s="310">
        <v>200</v>
      </c>
      <c r="E301" s="310">
        <v>1</v>
      </c>
      <c r="F301" s="310">
        <v>16</v>
      </c>
      <c r="G301" s="310"/>
      <c r="H301" s="310"/>
      <c r="I301" s="310"/>
      <c r="J301" s="409"/>
      <c r="K301" s="340">
        <v>3</v>
      </c>
      <c r="L301" s="310">
        <v>6</v>
      </c>
      <c r="M301" s="352" t="s">
        <v>25</v>
      </c>
      <c r="O301" s="244"/>
      <c r="Q301" s="250"/>
      <c r="R301" s="250"/>
      <c r="S301" s="250"/>
      <c r="T301" s="250"/>
      <c r="U301" s="250"/>
      <c r="V301" s="250"/>
      <c r="X301" s="244"/>
      <c r="Y301" s="244"/>
      <c r="Z301" s="244"/>
      <c r="AA301" s="245"/>
    </row>
    <row r="302" spans="1:27" x14ac:dyDescent="0.35">
      <c r="A302">
        <v>301</v>
      </c>
      <c r="B302" s="168" t="s">
        <v>464</v>
      </c>
      <c r="C302" s="409"/>
      <c r="D302" s="409"/>
      <c r="E302" s="409"/>
      <c r="F302" s="310">
        <v>2</v>
      </c>
      <c r="G302" s="409"/>
      <c r="H302" s="409"/>
      <c r="I302" s="409"/>
      <c r="J302" s="409"/>
      <c r="K302" s="410"/>
      <c r="L302" s="409"/>
      <c r="M302" s="352" t="s">
        <v>25</v>
      </c>
      <c r="O302" s="244"/>
      <c r="Q302" s="244"/>
      <c r="R302" s="244"/>
      <c r="S302" s="244"/>
      <c r="T302" s="244"/>
      <c r="U302" s="244"/>
      <c r="V302" s="244"/>
      <c r="X302" s="246"/>
      <c r="Y302" s="246"/>
      <c r="Z302" s="246"/>
      <c r="AA302" s="247"/>
    </row>
    <row r="303" spans="1:27" x14ac:dyDescent="0.35">
      <c r="A303">
        <v>302</v>
      </c>
      <c r="B303" s="257" t="s">
        <v>469</v>
      </c>
      <c r="C303" s="311">
        <v>290</v>
      </c>
      <c r="D303" s="311">
        <v>301</v>
      </c>
      <c r="E303" s="311">
        <v>32</v>
      </c>
      <c r="F303" s="311">
        <v>357</v>
      </c>
      <c r="G303" s="311"/>
      <c r="H303" s="311"/>
      <c r="I303" s="311"/>
      <c r="J303" s="311">
        <v>22</v>
      </c>
      <c r="K303" s="341">
        <v>106</v>
      </c>
      <c r="L303" s="311">
        <v>162</v>
      </c>
      <c r="M303" s="352" t="s">
        <v>26</v>
      </c>
      <c r="O303" s="244"/>
      <c r="Q303" s="244"/>
      <c r="R303" s="244"/>
      <c r="S303" s="244"/>
      <c r="T303" s="244"/>
      <c r="U303" s="244"/>
      <c r="V303" s="244"/>
      <c r="X303" s="255"/>
      <c r="Y303" s="255"/>
      <c r="Z303" s="255"/>
      <c r="AA303" s="256"/>
    </row>
    <row r="304" spans="1:27" x14ac:dyDescent="0.35">
      <c r="A304">
        <v>303</v>
      </c>
      <c r="B304" s="257" t="s">
        <v>470</v>
      </c>
      <c r="C304" s="311">
        <v>1586</v>
      </c>
      <c r="D304" s="311">
        <v>364</v>
      </c>
      <c r="E304" s="311">
        <v>211</v>
      </c>
      <c r="F304" s="311">
        <v>1810</v>
      </c>
      <c r="G304" s="311"/>
      <c r="H304" s="311"/>
      <c r="I304" s="311"/>
      <c r="J304" s="311">
        <v>662</v>
      </c>
      <c r="K304" s="341">
        <v>581</v>
      </c>
      <c r="L304" s="311">
        <v>343</v>
      </c>
      <c r="M304" s="352" t="s">
        <v>26</v>
      </c>
      <c r="O304" s="244"/>
      <c r="Q304" s="244"/>
      <c r="R304" s="244"/>
      <c r="S304" s="244"/>
      <c r="T304" s="244"/>
      <c r="U304" s="244"/>
      <c r="V304" s="244"/>
      <c r="X304" s="244"/>
      <c r="Y304" s="244"/>
      <c r="Z304" s="244"/>
      <c r="AA304" s="245"/>
    </row>
    <row r="305" spans="1:27" x14ac:dyDescent="0.35">
      <c r="A305">
        <v>304</v>
      </c>
      <c r="B305" s="257" t="s">
        <v>471</v>
      </c>
      <c r="C305" s="311">
        <v>1428</v>
      </c>
      <c r="D305" s="311">
        <v>624</v>
      </c>
      <c r="E305" s="311">
        <v>643</v>
      </c>
      <c r="F305" s="311">
        <v>595</v>
      </c>
      <c r="G305" s="311"/>
      <c r="H305" s="311"/>
      <c r="I305" s="311"/>
      <c r="J305" s="311">
        <v>8</v>
      </c>
      <c r="K305" s="341">
        <v>1031</v>
      </c>
      <c r="L305" s="311">
        <v>389</v>
      </c>
      <c r="M305" s="352" t="s">
        <v>26</v>
      </c>
      <c r="O305" s="244"/>
      <c r="Q305" s="250"/>
      <c r="R305" s="250"/>
      <c r="S305" s="250"/>
      <c r="T305" s="250"/>
      <c r="U305" s="250"/>
      <c r="V305" s="250"/>
      <c r="X305" s="244"/>
      <c r="Y305" s="244"/>
      <c r="Z305" s="244"/>
      <c r="AA305" s="245"/>
    </row>
    <row r="306" spans="1:27" x14ac:dyDescent="0.35">
      <c r="A306">
        <v>305</v>
      </c>
      <c r="B306" s="257" t="s">
        <v>473</v>
      </c>
      <c r="C306" s="311">
        <v>0</v>
      </c>
      <c r="D306" s="411"/>
      <c r="E306" s="411"/>
      <c r="F306" s="311">
        <v>1</v>
      </c>
      <c r="G306" s="411"/>
      <c r="H306" s="411"/>
      <c r="I306" s="411"/>
      <c r="J306" s="311">
        <v>0</v>
      </c>
      <c r="K306" s="412"/>
      <c r="L306" s="411"/>
      <c r="M306" s="352" t="s">
        <v>26</v>
      </c>
      <c r="O306" s="248"/>
      <c r="Q306" s="248"/>
      <c r="R306" s="248"/>
      <c r="S306" s="248"/>
      <c r="T306" s="248"/>
      <c r="U306" s="248"/>
      <c r="V306" s="248"/>
      <c r="X306" s="248"/>
      <c r="Y306" s="248"/>
      <c r="Z306" s="248"/>
      <c r="AA306" s="249"/>
    </row>
    <row r="307" spans="1:27" x14ac:dyDescent="0.35">
      <c r="A307">
        <v>306</v>
      </c>
      <c r="B307" s="257" t="s">
        <v>472</v>
      </c>
      <c r="C307" s="411"/>
      <c r="D307" s="411"/>
      <c r="E307" s="411"/>
      <c r="F307" s="411"/>
      <c r="G307" s="411"/>
      <c r="H307" s="411"/>
      <c r="I307" s="411"/>
      <c r="J307" s="411"/>
      <c r="K307" s="412"/>
      <c r="L307" s="411"/>
      <c r="M307" s="352" t="s">
        <v>26</v>
      </c>
      <c r="O307" s="244"/>
      <c r="Q307" s="248"/>
      <c r="R307" s="248"/>
      <c r="S307" s="248"/>
      <c r="T307" s="248"/>
      <c r="U307" s="248"/>
      <c r="V307" s="248"/>
      <c r="X307" s="252"/>
      <c r="Y307" s="252"/>
      <c r="Z307" s="252"/>
      <c r="AA307" s="253"/>
    </row>
    <row r="308" spans="1:27" x14ac:dyDescent="0.35">
      <c r="A308">
        <v>307</v>
      </c>
      <c r="B308" s="266" t="s">
        <v>474</v>
      </c>
      <c r="C308" s="313">
        <v>47</v>
      </c>
      <c r="D308" s="313">
        <v>978</v>
      </c>
      <c r="E308" s="313">
        <v>22</v>
      </c>
      <c r="F308" s="313">
        <v>103</v>
      </c>
      <c r="G308" s="313"/>
      <c r="H308" s="313"/>
      <c r="I308" s="313"/>
      <c r="J308" s="313">
        <v>1</v>
      </c>
      <c r="K308" s="342">
        <v>23</v>
      </c>
      <c r="L308" s="313">
        <v>23</v>
      </c>
      <c r="M308" s="352" t="s">
        <v>27</v>
      </c>
      <c r="O308" s="260"/>
      <c r="Q308" s="260"/>
      <c r="R308" s="260"/>
      <c r="S308" s="260"/>
      <c r="T308" s="260"/>
      <c r="U308" s="260"/>
      <c r="V308" s="260"/>
      <c r="X308" s="260"/>
      <c r="Y308" s="260"/>
      <c r="Z308" s="260"/>
      <c r="AA308" s="261"/>
    </row>
    <row r="309" spans="1:27" x14ac:dyDescent="0.35">
      <c r="A309">
        <v>308</v>
      </c>
      <c r="B309" s="266" t="s">
        <v>480</v>
      </c>
      <c r="C309" s="313">
        <v>5260</v>
      </c>
      <c r="D309" s="313">
        <v>713</v>
      </c>
      <c r="E309" s="313">
        <v>1865</v>
      </c>
      <c r="F309" s="313">
        <v>6012</v>
      </c>
      <c r="G309" s="313"/>
      <c r="H309" s="313"/>
      <c r="I309" s="313"/>
      <c r="J309" s="313">
        <v>1709</v>
      </c>
      <c r="K309" s="342">
        <v>2617</v>
      </c>
      <c r="L309" s="313">
        <v>934</v>
      </c>
      <c r="M309" s="352" t="s">
        <v>27</v>
      </c>
      <c r="O309" s="260"/>
      <c r="Q309" s="260"/>
      <c r="R309" s="260"/>
      <c r="S309" s="260"/>
      <c r="T309" s="260"/>
      <c r="U309" s="260"/>
      <c r="V309" s="260"/>
      <c r="X309" s="260"/>
      <c r="Y309" s="260"/>
      <c r="Z309" s="260"/>
      <c r="AA309" s="261"/>
    </row>
    <row r="310" spans="1:27" x14ac:dyDescent="0.35">
      <c r="A310">
        <v>309</v>
      </c>
      <c r="B310" s="266" t="s">
        <v>481</v>
      </c>
      <c r="C310" s="313">
        <v>5241</v>
      </c>
      <c r="D310" s="313">
        <v>510</v>
      </c>
      <c r="E310" s="313">
        <v>612</v>
      </c>
      <c r="F310" s="313">
        <v>7588</v>
      </c>
      <c r="G310" s="313"/>
      <c r="H310" s="313"/>
      <c r="I310" s="313"/>
      <c r="J310" s="313">
        <v>2398</v>
      </c>
      <c r="K310" s="342">
        <v>1199</v>
      </c>
      <c r="L310" s="313">
        <v>1644</v>
      </c>
      <c r="M310" s="352" t="s">
        <v>27</v>
      </c>
      <c r="O310" s="262"/>
      <c r="Q310" s="262"/>
      <c r="R310" s="262"/>
      <c r="S310" s="262"/>
      <c r="T310" s="262"/>
      <c r="U310" s="262"/>
      <c r="V310" s="262"/>
      <c r="X310" s="260"/>
      <c r="Y310" s="260"/>
      <c r="Z310" s="260"/>
      <c r="AA310" s="261"/>
    </row>
    <row r="311" spans="1:27" x14ac:dyDescent="0.35">
      <c r="A311">
        <v>310</v>
      </c>
      <c r="B311" s="266" t="s">
        <v>479</v>
      </c>
      <c r="C311" s="313">
        <v>2075</v>
      </c>
      <c r="D311" s="313">
        <v>774</v>
      </c>
      <c r="E311" s="313">
        <v>350</v>
      </c>
      <c r="F311" s="313">
        <v>1998</v>
      </c>
      <c r="G311" s="313"/>
      <c r="H311" s="313"/>
      <c r="I311" s="313"/>
      <c r="J311" s="313">
        <v>778</v>
      </c>
      <c r="K311" s="342">
        <v>453</v>
      </c>
      <c r="L311" s="313">
        <v>844</v>
      </c>
      <c r="M311" s="352" t="s">
        <v>27</v>
      </c>
      <c r="O311" s="260"/>
      <c r="Q311" s="260"/>
      <c r="R311" s="260"/>
      <c r="S311" s="260"/>
      <c r="T311" s="260"/>
      <c r="U311" s="260"/>
      <c r="V311" s="260"/>
      <c r="X311" s="260"/>
      <c r="Y311" s="260"/>
      <c r="Z311" s="260"/>
      <c r="AA311" s="261"/>
    </row>
    <row r="312" spans="1:27" x14ac:dyDescent="0.35">
      <c r="A312">
        <v>311</v>
      </c>
      <c r="B312" s="266" t="s">
        <v>478</v>
      </c>
      <c r="C312" s="313">
        <v>1648</v>
      </c>
      <c r="D312" s="313">
        <v>526</v>
      </c>
      <c r="E312" s="313">
        <v>298</v>
      </c>
      <c r="F312" s="313">
        <v>1981</v>
      </c>
      <c r="G312" s="313"/>
      <c r="H312" s="313"/>
      <c r="I312" s="313"/>
      <c r="J312" s="313">
        <v>696</v>
      </c>
      <c r="K312" s="342">
        <v>567</v>
      </c>
      <c r="L312" s="313">
        <v>385</v>
      </c>
      <c r="M312" s="352" t="s">
        <v>27</v>
      </c>
      <c r="O312" s="260"/>
      <c r="Q312" s="260"/>
      <c r="R312" s="260"/>
      <c r="S312" s="260"/>
      <c r="T312" s="260"/>
      <c r="U312" s="260"/>
      <c r="V312" s="260"/>
      <c r="X312" s="260"/>
      <c r="Y312" s="260"/>
      <c r="Z312" s="260"/>
      <c r="AA312" s="261"/>
    </row>
    <row r="313" spans="1:27" x14ac:dyDescent="0.35">
      <c r="A313">
        <v>312</v>
      </c>
      <c r="B313" s="266" t="s">
        <v>475</v>
      </c>
      <c r="C313" s="313">
        <f>776+344</f>
        <v>1120</v>
      </c>
      <c r="D313" s="313">
        <v>1126</v>
      </c>
      <c r="E313" s="313">
        <f>248+1153</f>
        <v>1401</v>
      </c>
      <c r="F313" s="313">
        <f>694+664</f>
        <v>1358</v>
      </c>
      <c r="G313" s="313"/>
      <c r="H313" s="313"/>
      <c r="I313" s="313"/>
      <c r="J313" s="313">
        <f>290+220</f>
        <v>510</v>
      </c>
      <c r="K313" s="342">
        <v>220</v>
      </c>
      <c r="L313" s="313">
        <f>267+124</f>
        <v>391</v>
      </c>
      <c r="M313" s="352" t="s">
        <v>27</v>
      </c>
      <c r="O313" s="260"/>
      <c r="Q313" s="260"/>
      <c r="R313" s="260"/>
      <c r="S313" s="260"/>
      <c r="T313" s="260"/>
      <c r="U313" s="260"/>
      <c r="V313" s="260"/>
      <c r="X313" s="260"/>
      <c r="Y313" s="260"/>
      <c r="Z313" s="260"/>
      <c r="AA313" s="261"/>
    </row>
    <row r="314" spans="1:27" x14ac:dyDescent="0.35">
      <c r="A314">
        <v>313</v>
      </c>
      <c r="B314" s="266" t="s">
        <v>488</v>
      </c>
      <c r="C314" s="313">
        <v>775</v>
      </c>
      <c r="D314" s="313">
        <v>389</v>
      </c>
      <c r="E314" s="415">
        <v>108</v>
      </c>
      <c r="F314" s="313">
        <v>941</v>
      </c>
      <c r="G314" s="415"/>
      <c r="H314" s="415"/>
      <c r="I314" s="415"/>
      <c r="J314" s="313">
        <v>360</v>
      </c>
      <c r="K314" s="342">
        <v>277</v>
      </c>
      <c r="L314" s="313">
        <v>138</v>
      </c>
      <c r="M314" s="352" t="s">
        <v>27</v>
      </c>
      <c r="O314" s="264"/>
      <c r="Q314" s="264"/>
      <c r="R314" s="264"/>
      <c r="S314" s="264"/>
      <c r="T314" s="264"/>
      <c r="U314" s="264"/>
      <c r="V314" s="264"/>
      <c r="X314" s="260"/>
      <c r="Y314" s="260"/>
      <c r="Z314" s="260"/>
      <c r="AA314" s="261"/>
    </row>
    <row r="315" spans="1:27" x14ac:dyDescent="0.35">
      <c r="A315">
        <v>314</v>
      </c>
      <c r="B315" s="266" t="s">
        <v>477</v>
      </c>
      <c r="C315" s="313">
        <v>420</v>
      </c>
      <c r="D315" s="313">
        <v>210</v>
      </c>
      <c r="E315" s="313">
        <v>16</v>
      </c>
      <c r="F315" s="313">
        <v>453</v>
      </c>
      <c r="G315" s="313"/>
      <c r="H315" s="313"/>
      <c r="I315" s="313"/>
      <c r="J315" s="313">
        <v>82</v>
      </c>
      <c r="K315" s="342">
        <v>77</v>
      </c>
      <c r="L315" s="313">
        <v>261</v>
      </c>
      <c r="M315" s="352" t="s">
        <v>27</v>
      </c>
      <c r="O315" s="264"/>
      <c r="Q315" s="264"/>
      <c r="R315" s="264"/>
      <c r="S315" s="264"/>
      <c r="T315" s="264"/>
      <c r="U315" s="264"/>
      <c r="V315" s="264"/>
      <c r="X315" s="264"/>
      <c r="Y315" s="264"/>
      <c r="Z315" s="264"/>
      <c r="AA315" s="265"/>
    </row>
    <row r="316" spans="1:27" x14ac:dyDescent="0.35">
      <c r="A316">
        <v>315</v>
      </c>
      <c r="B316" s="266" t="s">
        <v>476</v>
      </c>
      <c r="C316" s="313">
        <f>48+50</f>
        <v>98</v>
      </c>
      <c r="D316" s="413"/>
      <c r="E316" s="413">
        <v>149</v>
      </c>
      <c r="F316" s="313">
        <f>24+43</f>
        <v>67</v>
      </c>
      <c r="G316" s="413"/>
      <c r="H316" s="413"/>
      <c r="I316" s="413"/>
      <c r="J316" s="413"/>
      <c r="K316" s="414"/>
      <c r="L316" s="313">
        <f>48+50</f>
        <v>98</v>
      </c>
      <c r="M316" s="352" t="s">
        <v>27</v>
      </c>
      <c r="O316" s="262"/>
      <c r="Q316" s="262"/>
      <c r="R316" s="262"/>
      <c r="S316" s="262"/>
      <c r="T316" s="262"/>
      <c r="U316" s="262"/>
      <c r="V316" s="262"/>
      <c r="X316" s="262"/>
      <c r="Y316" s="262"/>
      <c r="Z316" s="262"/>
      <c r="AA316" s="263"/>
    </row>
    <row r="317" spans="1:27" x14ac:dyDescent="0.35">
      <c r="A317">
        <v>316</v>
      </c>
      <c r="B317" s="266" t="s">
        <v>486</v>
      </c>
      <c r="C317" s="313">
        <v>33</v>
      </c>
      <c r="D317" s="413"/>
      <c r="E317" s="413"/>
      <c r="F317" s="313">
        <v>12</v>
      </c>
      <c r="G317" s="413"/>
      <c r="H317" s="413"/>
      <c r="I317" s="413"/>
      <c r="J317" s="313">
        <v>12</v>
      </c>
      <c r="K317" s="414"/>
      <c r="L317" s="313">
        <v>21</v>
      </c>
      <c r="M317" s="352" t="s">
        <v>27</v>
      </c>
      <c r="O317" s="262"/>
      <c r="Q317" s="262"/>
      <c r="R317" s="262"/>
      <c r="S317" s="262"/>
      <c r="T317" s="262"/>
      <c r="U317" s="262"/>
      <c r="V317" s="262"/>
      <c r="X317" s="262"/>
      <c r="Y317" s="262"/>
      <c r="Z317" s="262"/>
      <c r="AA317" s="263"/>
    </row>
    <row r="318" spans="1:27" x14ac:dyDescent="0.35">
      <c r="A318">
        <v>317</v>
      </c>
      <c r="B318" s="266" t="s">
        <v>482</v>
      </c>
      <c r="C318" s="413"/>
      <c r="D318" s="413"/>
      <c r="E318" s="413"/>
      <c r="F318" s="413"/>
      <c r="G318" s="413"/>
      <c r="H318" s="413"/>
      <c r="I318" s="413"/>
      <c r="J318" s="413"/>
      <c r="K318" s="414"/>
      <c r="L318" s="413"/>
      <c r="M318" s="352" t="s">
        <v>27</v>
      </c>
      <c r="O318" s="262"/>
      <c r="Q318" s="262"/>
      <c r="R318" s="262"/>
      <c r="S318" s="262"/>
      <c r="T318" s="262"/>
      <c r="U318" s="262"/>
      <c r="V318" s="262"/>
      <c r="X318" s="262"/>
      <c r="Y318" s="262"/>
      <c r="Z318" s="262"/>
      <c r="AA318" s="263"/>
    </row>
    <row r="319" spans="1:27" x14ac:dyDescent="0.35">
      <c r="A319">
        <v>318</v>
      </c>
      <c r="B319" s="266" t="s">
        <v>483</v>
      </c>
      <c r="C319" s="413"/>
      <c r="D319" s="413"/>
      <c r="E319" s="413"/>
      <c r="F319" s="413"/>
      <c r="G319" s="413"/>
      <c r="H319" s="413"/>
      <c r="I319" s="413"/>
      <c r="J319" s="413"/>
      <c r="K319" s="414"/>
      <c r="L319" s="413"/>
      <c r="M319" s="352" t="s">
        <v>27</v>
      </c>
      <c r="O319" s="262"/>
      <c r="Q319" s="262"/>
      <c r="R319" s="262"/>
      <c r="S319" s="262"/>
      <c r="T319" s="262"/>
      <c r="U319" s="262"/>
      <c r="V319" s="262"/>
      <c r="X319" s="262"/>
      <c r="Y319" s="262"/>
      <c r="Z319" s="262"/>
      <c r="AA319" s="263"/>
    </row>
    <row r="320" spans="1:27" x14ac:dyDescent="0.35">
      <c r="A320">
        <v>319</v>
      </c>
      <c r="B320" s="266" t="s">
        <v>484</v>
      </c>
      <c r="C320" s="413"/>
      <c r="D320" s="413"/>
      <c r="E320" s="413"/>
      <c r="F320" s="413"/>
      <c r="G320" s="413"/>
      <c r="H320" s="413"/>
      <c r="I320" s="413"/>
      <c r="J320" s="413"/>
      <c r="K320" s="414"/>
      <c r="L320" s="413"/>
      <c r="M320" s="352" t="s">
        <v>27</v>
      </c>
      <c r="O320" s="260"/>
      <c r="Q320" s="262"/>
      <c r="R320" s="262"/>
      <c r="S320" s="262"/>
      <c r="T320" s="262"/>
      <c r="U320" s="262"/>
      <c r="V320" s="262"/>
      <c r="X320" s="260"/>
      <c r="Y320" s="260"/>
      <c r="Z320" s="260"/>
      <c r="AA320" s="261"/>
    </row>
    <row r="321" spans="1:27" x14ac:dyDescent="0.35">
      <c r="A321">
        <v>320</v>
      </c>
      <c r="B321" s="266" t="s">
        <v>485</v>
      </c>
      <c r="C321" s="413"/>
      <c r="D321" s="413"/>
      <c r="E321" s="413"/>
      <c r="F321" s="413"/>
      <c r="G321" s="413"/>
      <c r="H321" s="413"/>
      <c r="I321" s="413"/>
      <c r="J321" s="413"/>
      <c r="K321" s="414"/>
      <c r="L321" s="413"/>
      <c r="M321" s="352" t="s">
        <v>27</v>
      </c>
      <c r="O321" s="262"/>
      <c r="Q321" s="262"/>
      <c r="R321" s="262"/>
      <c r="S321" s="262"/>
      <c r="T321" s="262"/>
      <c r="U321" s="262"/>
      <c r="V321" s="262"/>
      <c r="X321" s="262"/>
      <c r="Y321" s="262"/>
      <c r="Z321" s="262"/>
      <c r="AA321" s="263"/>
    </row>
    <row r="322" spans="1:27" ht="14.5" customHeight="1" x14ac:dyDescent="0.35">
      <c r="A322">
        <v>321</v>
      </c>
      <c r="B322" s="266" t="s">
        <v>487</v>
      </c>
      <c r="C322" s="413"/>
      <c r="D322" s="413"/>
      <c r="E322" s="413"/>
      <c r="F322" s="413"/>
      <c r="G322" s="413"/>
      <c r="H322" s="413"/>
      <c r="I322" s="413"/>
      <c r="J322" s="413"/>
      <c r="K322" s="414"/>
      <c r="L322" s="413"/>
      <c r="M322" s="352" t="s">
        <v>27</v>
      </c>
      <c r="O322" s="260"/>
      <c r="Q322" s="260"/>
      <c r="R322" s="260"/>
      <c r="S322" s="260"/>
      <c r="T322" s="260"/>
      <c r="U322" s="260"/>
      <c r="V322" s="260"/>
      <c r="X322" s="258"/>
      <c r="Y322" s="258"/>
      <c r="Z322" s="258"/>
      <c r="AA322" s="259"/>
    </row>
    <row r="323" spans="1:27" x14ac:dyDescent="0.35">
      <c r="A323">
        <v>322</v>
      </c>
      <c r="B323" s="148" t="s">
        <v>489</v>
      </c>
      <c r="C323" s="300">
        <v>2587</v>
      </c>
      <c r="D323" s="300">
        <v>349</v>
      </c>
      <c r="E323" s="300">
        <v>142</v>
      </c>
      <c r="F323" s="300">
        <v>3695</v>
      </c>
      <c r="G323" s="300"/>
      <c r="H323" s="300"/>
      <c r="I323" s="300"/>
      <c r="J323" s="300">
        <v>1833</v>
      </c>
      <c r="K323" s="332">
        <v>406</v>
      </c>
      <c r="L323" s="300">
        <v>348</v>
      </c>
      <c r="M323" s="352" t="s">
        <v>28</v>
      </c>
      <c r="O323" s="264"/>
      <c r="Q323" s="260"/>
      <c r="R323" s="260"/>
      <c r="S323" s="260"/>
      <c r="T323" s="260"/>
      <c r="U323" s="260"/>
      <c r="V323" s="260"/>
      <c r="X323" s="260"/>
      <c r="Y323" s="260"/>
      <c r="Z323" s="260"/>
      <c r="AA323" s="261"/>
    </row>
    <row r="324" spans="1:27" x14ac:dyDescent="0.35">
      <c r="A324">
        <v>323</v>
      </c>
      <c r="B324" s="148" t="s">
        <v>493</v>
      </c>
      <c r="C324" s="300">
        <v>5025</v>
      </c>
      <c r="D324" s="300">
        <v>1174</v>
      </c>
      <c r="E324" s="300">
        <v>2753</v>
      </c>
      <c r="F324" s="300">
        <v>5122</v>
      </c>
      <c r="G324" s="300"/>
      <c r="H324" s="300"/>
      <c r="I324" s="300"/>
      <c r="J324" s="300">
        <v>1708</v>
      </c>
      <c r="K324" s="332">
        <v>2345</v>
      </c>
      <c r="L324" s="300">
        <v>972</v>
      </c>
      <c r="M324" s="352" t="s">
        <v>28</v>
      </c>
      <c r="O324" s="260"/>
      <c r="Q324" s="260"/>
      <c r="R324" s="260"/>
      <c r="S324" s="260"/>
      <c r="T324" s="260"/>
      <c r="U324" s="260"/>
      <c r="V324" s="260"/>
      <c r="X324" s="260"/>
      <c r="Y324" s="260"/>
      <c r="Z324" s="260"/>
      <c r="AA324" s="261"/>
    </row>
    <row r="325" spans="1:27" x14ac:dyDescent="0.35">
      <c r="A325">
        <v>324</v>
      </c>
      <c r="B325" s="148" t="s">
        <v>492</v>
      </c>
      <c r="C325" s="300">
        <v>4047</v>
      </c>
      <c r="D325" s="300">
        <v>810</v>
      </c>
      <c r="E325" s="300">
        <v>454</v>
      </c>
      <c r="F325" s="300">
        <v>3343</v>
      </c>
      <c r="G325" s="300"/>
      <c r="H325" s="300"/>
      <c r="I325" s="300"/>
      <c r="J325" s="300">
        <v>3207</v>
      </c>
      <c r="K325" s="332">
        <v>561</v>
      </c>
      <c r="L325" s="300">
        <v>279</v>
      </c>
      <c r="M325" s="352" t="s">
        <v>28</v>
      </c>
      <c r="O325" s="264"/>
      <c r="Q325" s="260"/>
      <c r="R325" s="260"/>
      <c r="S325" s="260"/>
      <c r="T325" s="260"/>
      <c r="U325" s="260"/>
      <c r="V325" s="260"/>
      <c r="X325" s="260"/>
      <c r="Y325" s="260"/>
      <c r="Z325" s="260"/>
      <c r="AA325" s="261"/>
    </row>
    <row r="326" spans="1:27" x14ac:dyDescent="0.35">
      <c r="A326">
        <v>325</v>
      </c>
      <c r="B326" s="148" t="s">
        <v>490</v>
      </c>
      <c r="C326" s="300">
        <v>1766</v>
      </c>
      <c r="D326" s="300">
        <v>802</v>
      </c>
      <c r="E326" s="300">
        <v>361</v>
      </c>
      <c r="F326" s="300">
        <v>1926</v>
      </c>
      <c r="G326" s="300"/>
      <c r="H326" s="300"/>
      <c r="I326" s="300"/>
      <c r="J326" s="300">
        <v>732</v>
      </c>
      <c r="K326" s="332">
        <v>450</v>
      </c>
      <c r="L326" s="300">
        <v>584</v>
      </c>
      <c r="M326" s="352" t="s">
        <v>28</v>
      </c>
      <c r="O326" s="264"/>
      <c r="Q326" s="260"/>
      <c r="R326" s="260"/>
      <c r="S326" s="260"/>
      <c r="T326" s="260"/>
      <c r="U326" s="260"/>
      <c r="V326" s="260"/>
      <c r="X326" s="260"/>
      <c r="Y326" s="260"/>
      <c r="Z326" s="260"/>
      <c r="AA326" s="261"/>
    </row>
    <row r="327" spans="1:27" x14ac:dyDescent="0.35">
      <c r="A327">
        <v>326</v>
      </c>
      <c r="B327" s="148" t="s">
        <v>491</v>
      </c>
      <c r="C327" s="300">
        <v>1737</v>
      </c>
      <c r="D327" s="300">
        <v>448</v>
      </c>
      <c r="E327" s="300">
        <v>127</v>
      </c>
      <c r="F327" s="300">
        <v>1436</v>
      </c>
      <c r="G327" s="300"/>
      <c r="H327" s="300"/>
      <c r="I327" s="300"/>
      <c r="J327" s="300">
        <v>1036</v>
      </c>
      <c r="K327" s="332">
        <v>285</v>
      </c>
      <c r="L327" s="300">
        <v>416</v>
      </c>
      <c r="M327" s="352" t="s">
        <v>28</v>
      </c>
      <c r="O327" s="264"/>
      <c r="Q327" s="264"/>
      <c r="R327" s="264"/>
      <c r="S327" s="264"/>
      <c r="T327" s="264"/>
      <c r="U327" s="264"/>
      <c r="V327" s="264"/>
      <c r="X327" s="258"/>
      <c r="Y327" s="258"/>
      <c r="Z327" s="258"/>
      <c r="AA327" s="259"/>
    </row>
    <row r="328" spans="1:27" x14ac:dyDescent="0.35">
      <c r="A328">
        <v>327</v>
      </c>
      <c r="B328" s="145" t="s">
        <v>494</v>
      </c>
      <c r="C328" s="283">
        <v>268</v>
      </c>
      <c r="D328" s="283">
        <v>564</v>
      </c>
      <c r="E328" s="283">
        <v>38</v>
      </c>
      <c r="F328" s="283">
        <v>198</v>
      </c>
      <c r="G328" s="283"/>
      <c r="H328" s="283"/>
      <c r="I328" s="283"/>
      <c r="J328" s="283">
        <v>52</v>
      </c>
      <c r="K328" s="327">
        <v>67</v>
      </c>
      <c r="L328" s="283">
        <v>149</v>
      </c>
      <c r="M328" s="352" t="s">
        <v>29</v>
      </c>
      <c r="O328" s="260"/>
      <c r="Q328" s="260"/>
      <c r="R328" s="260"/>
      <c r="S328" s="260"/>
      <c r="T328" s="260"/>
      <c r="U328" s="260"/>
      <c r="V328" s="260"/>
      <c r="X328" s="260"/>
      <c r="Y328" s="260"/>
      <c r="Z328" s="260"/>
      <c r="AA328" s="261"/>
    </row>
    <row r="329" spans="1:27" x14ac:dyDescent="0.35">
      <c r="A329">
        <v>328</v>
      </c>
      <c r="B329" s="145" t="s">
        <v>497</v>
      </c>
      <c r="C329" s="283">
        <f>69057+2</f>
        <v>69059</v>
      </c>
      <c r="D329" s="283">
        <f>758+500</f>
        <v>1258</v>
      </c>
      <c r="E329" s="283">
        <f>29846+1</f>
        <v>29847</v>
      </c>
      <c r="F329" s="283">
        <f>38312+2</f>
        <v>38314</v>
      </c>
      <c r="G329" s="283"/>
      <c r="H329" s="283"/>
      <c r="I329" s="283"/>
      <c r="J329" s="283">
        <v>10622</v>
      </c>
      <c r="K329" s="327">
        <f>39377+2</f>
        <v>39379</v>
      </c>
      <c r="L329" s="283">
        <v>19058</v>
      </c>
      <c r="M329" s="352" t="s">
        <v>29</v>
      </c>
      <c r="O329" s="264"/>
      <c r="Q329" s="264"/>
      <c r="R329" s="264"/>
      <c r="S329" s="264"/>
      <c r="T329" s="264"/>
      <c r="U329" s="264"/>
      <c r="V329" s="264"/>
      <c r="X329" s="264"/>
      <c r="Y329" s="264"/>
      <c r="Z329" s="264"/>
      <c r="AA329" s="265"/>
    </row>
    <row r="330" spans="1:27" x14ac:dyDescent="0.35">
      <c r="A330">
        <v>329</v>
      </c>
      <c r="B330" s="145" t="s">
        <v>500</v>
      </c>
      <c r="C330" s="283">
        <v>45517</v>
      </c>
      <c r="D330" s="283">
        <v>510</v>
      </c>
      <c r="E330" s="283">
        <v>8628</v>
      </c>
      <c r="F330" s="283">
        <v>18926</v>
      </c>
      <c r="G330" s="283"/>
      <c r="H330" s="283"/>
      <c r="I330" s="283"/>
      <c r="J330" s="283">
        <v>9431</v>
      </c>
      <c r="K330" s="327">
        <v>16921</v>
      </c>
      <c r="L330" s="283">
        <v>19165</v>
      </c>
      <c r="M330" s="352" t="s">
        <v>29</v>
      </c>
      <c r="O330" s="264"/>
      <c r="Q330" s="264"/>
      <c r="R330" s="264"/>
      <c r="S330" s="264"/>
      <c r="T330" s="264"/>
      <c r="U330" s="264"/>
      <c r="V330" s="264"/>
      <c r="X330" s="264"/>
      <c r="Y330" s="264"/>
      <c r="Z330" s="264"/>
      <c r="AA330" s="265"/>
    </row>
    <row r="331" spans="1:27" x14ac:dyDescent="0.35">
      <c r="A331">
        <v>330</v>
      </c>
      <c r="B331" s="145" t="s">
        <v>498</v>
      </c>
      <c r="C331" s="283">
        <v>39250</v>
      </c>
      <c r="D331" s="283">
        <v>890</v>
      </c>
      <c r="E331" s="283">
        <v>19665</v>
      </c>
      <c r="F331" s="283">
        <v>37684</v>
      </c>
      <c r="G331" s="283"/>
      <c r="H331" s="283"/>
      <c r="I331" s="283"/>
      <c r="J331" s="283">
        <v>6412</v>
      </c>
      <c r="K331" s="327">
        <v>22106</v>
      </c>
      <c r="L331" s="283">
        <v>10732</v>
      </c>
      <c r="M331" s="352" t="s">
        <v>29</v>
      </c>
      <c r="O331" s="264"/>
      <c r="Q331" s="264"/>
      <c r="R331" s="264"/>
      <c r="S331" s="264"/>
      <c r="T331" s="264"/>
      <c r="U331" s="264"/>
      <c r="V331" s="264"/>
      <c r="X331" s="264"/>
      <c r="Y331" s="264"/>
      <c r="Z331" s="264"/>
      <c r="AA331" s="265"/>
    </row>
    <row r="332" spans="1:27" x14ac:dyDescent="0.35">
      <c r="A332">
        <v>331</v>
      </c>
      <c r="B332" s="145" t="s">
        <v>495</v>
      </c>
      <c r="C332" s="283">
        <v>30614</v>
      </c>
      <c r="D332" s="283">
        <v>765</v>
      </c>
      <c r="E332" s="283">
        <v>12979</v>
      </c>
      <c r="F332" s="283">
        <v>23929</v>
      </c>
      <c r="G332" s="283"/>
      <c r="H332" s="283"/>
      <c r="I332" s="283"/>
      <c r="J332" s="283">
        <v>4855</v>
      </c>
      <c r="K332" s="327">
        <v>16961</v>
      </c>
      <c r="L332" s="283">
        <v>8798</v>
      </c>
      <c r="M332" s="352" t="s">
        <v>29</v>
      </c>
      <c r="O332" s="264"/>
      <c r="Q332" s="264"/>
      <c r="R332" s="264"/>
      <c r="S332" s="264"/>
      <c r="T332" s="264"/>
      <c r="U332" s="264"/>
      <c r="V332" s="264"/>
      <c r="X332" s="264"/>
      <c r="Y332" s="264"/>
      <c r="Z332" s="264"/>
      <c r="AA332" s="265"/>
    </row>
    <row r="333" spans="1:27" x14ac:dyDescent="0.35">
      <c r="A333">
        <v>332</v>
      </c>
      <c r="B333" s="145" t="s">
        <v>496</v>
      </c>
      <c r="C333" s="283">
        <f>27680+2</f>
        <v>27682</v>
      </c>
      <c r="D333" s="283">
        <f>637+500</f>
        <v>1137</v>
      </c>
      <c r="E333" s="283">
        <f>9256+1</f>
        <v>9257</v>
      </c>
      <c r="F333" s="283">
        <f>11429+2</f>
        <v>11431</v>
      </c>
      <c r="G333" s="283"/>
      <c r="H333" s="283"/>
      <c r="I333" s="283"/>
      <c r="J333" s="283">
        <v>6036</v>
      </c>
      <c r="K333" s="327">
        <f>14525+2</f>
        <v>14527</v>
      </c>
      <c r="L333" s="283">
        <v>7119</v>
      </c>
      <c r="M333" s="352" t="s">
        <v>29</v>
      </c>
      <c r="O333" s="260"/>
      <c r="Q333" s="264"/>
      <c r="R333" s="264"/>
      <c r="S333" s="264"/>
      <c r="T333" s="264"/>
      <c r="U333" s="264"/>
      <c r="V333" s="264"/>
      <c r="X333" s="264"/>
      <c r="Y333" s="264"/>
      <c r="Z333" s="264"/>
      <c r="AA333" s="265"/>
    </row>
    <row r="334" spans="1:27" x14ac:dyDescent="0.35">
      <c r="A334">
        <v>333</v>
      </c>
      <c r="B334" s="145" t="s">
        <v>1321</v>
      </c>
      <c r="C334" s="283">
        <v>21154</v>
      </c>
      <c r="D334" s="283">
        <v>362</v>
      </c>
      <c r="E334" s="283">
        <v>4079</v>
      </c>
      <c r="F334" s="283">
        <v>15021</v>
      </c>
      <c r="G334" s="283"/>
      <c r="H334" s="283"/>
      <c r="I334" s="283"/>
      <c r="J334" s="283">
        <v>144</v>
      </c>
      <c r="K334" s="327">
        <v>11258</v>
      </c>
      <c r="L334" s="283">
        <v>9752</v>
      </c>
      <c r="M334" s="352" t="s">
        <v>29</v>
      </c>
      <c r="O334" s="264"/>
      <c r="Q334" s="264"/>
      <c r="R334" s="264"/>
      <c r="S334" s="264"/>
      <c r="T334" s="264"/>
      <c r="U334" s="264"/>
      <c r="V334" s="264"/>
      <c r="X334" s="264"/>
      <c r="Y334" s="264"/>
      <c r="Z334" s="264"/>
      <c r="AA334" s="265"/>
    </row>
    <row r="335" spans="1:27" x14ac:dyDescent="0.35">
      <c r="A335">
        <v>334</v>
      </c>
      <c r="B335" s="145" t="s">
        <v>505</v>
      </c>
      <c r="C335" s="283">
        <v>14584</v>
      </c>
      <c r="D335" s="283">
        <v>582</v>
      </c>
      <c r="E335" s="283">
        <v>4674</v>
      </c>
      <c r="F335" s="283">
        <v>7230</v>
      </c>
      <c r="G335" s="283"/>
      <c r="H335" s="283"/>
      <c r="I335" s="283"/>
      <c r="J335" s="283">
        <v>1246</v>
      </c>
      <c r="K335" s="327">
        <v>8028</v>
      </c>
      <c r="L335" s="283">
        <v>5310</v>
      </c>
      <c r="M335" s="352" t="s">
        <v>29</v>
      </c>
      <c r="O335" s="264"/>
      <c r="Q335" s="264"/>
      <c r="R335" s="264"/>
      <c r="S335" s="264"/>
      <c r="T335" s="264"/>
      <c r="U335" s="264"/>
      <c r="V335" s="264"/>
      <c r="X335" s="264"/>
      <c r="Y335" s="264"/>
      <c r="Z335" s="264"/>
      <c r="AA335" s="265"/>
    </row>
    <row r="336" spans="1:27" x14ac:dyDescent="0.35">
      <c r="A336">
        <v>335</v>
      </c>
      <c r="B336" s="145" t="s">
        <v>1322</v>
      </c>
      <c r="C336" s="283">
        <v>12904</v>
      </c>
      <c r="D336" s="283">
        <v>650</v>
      </c>
      <c r="E336" s="283">
        <v>3820</v>
      </c>
      <c r="F336" s="283">
        <v>4566</v>
      </c>
      <c r="G336" s="283"/>
      <c r="H336" s="283"/>
      <c r="I336" s="283"/>
      <c r="J336" s="283">
        <v>2889</v>
      </c>
      <c r="K336" s="327">
        <v>5877</v>
      </c>
      <c r="L336" s="283">
        <v>4138</v>
      </c>
      <c r="M336" s="352" t="s">
        <v>29</v>
      </c>
      <c r="O336" s="260"/>
      <c r="Q336" s="264"/>
      <c r="R336" s="264"/>
      <c r="S336" s="264"/>
      <c r="T336" s="264"/>
      <c r="U336" s="264"/>
      <c r="V336" s="264"/>
      <c r="X336" s="264"/>
      <c r="Y336" s="264"/>
      <c r="Z336" s="264"/>
      <c r="AA336" s="265"/>
    </row>
    <row r="337" spans="1:27" x14ac:dyDescent="0.35">
      <c r="A337">
        <v>336</v>
      </c>
      <c r="B337" s="145" t="s">
        <v>503</v>
      </c>
      <c r="C337" s="283">
        <v>11502</v>
      </c>
      <c r="D337" s="283">
        <v>958</v>
      </c>
      <c r="E337" s="283">
        <v>4426</v>
      </c>
      <c r="F337" s="283">
        <v>8751</v>
      </c>
      <c r="G337" s="283"/>
      <c r="H337" s="283"/>
      <c r="I337" s="283"/>
      <c r="J337" s="283">
        <v>4632</v>
      </c>
      <c r="K337" s="327">
        <v>4620</v>
      </c>
      <c r="L337" s="283">
        <v>2250</v>
      </c>
      <c r="M337" s="352" t="s">
        <v>29</v>
      </c>
      <c r="O337" s="264"/>
      <c r="Q337" s="264"/>
      <c r="R337" s="264"/>
      <c r="S337" s="264"/>
      <c r="T337" s="264"/>
      <c r="U337" s="264"/>
      <c r="V337" s="264"/>
      <c r="X337" s="264"/>
      <c r="Y337" s="264"/>
      <c r="Z337" s="264"/>
      <c r="AA337" s="265"/>
    </row>
    <row r="338" spans="1:27" x14ac:dyDescent="0.35">
      <c r="A338">
        <v>337</v>
      </c>
      <c r="B338" s="145" t="s">
        <v>501</v>
      </c>
      <c r="C338" s="283">
        <v>6716</v>
      </c>
      <c r="D338" s="283">
        <v>295</v>
      </c>
      <c r="E338" s="283">
        <v>785</v>
      </c>
      <c r="F338" s="283">
        <v>4524</v>
      </c>
      <c r="G338" s="283"/>
      <c r="H338" s="283"/>
      <c r="I338" s="283"/>
      <c r="J338" s="283">
        <v>1308</v>
      </c>
      <c r="K338" s="327">
        <v>2656</v>
      </c>
      <c r="L338" s="283">
        <v>2752</v>
      </c>
      <c r="M338" s="352" t="s">
        <v>29</v>
      </c>
      <c r="O338" s="264"/>
      <c r="Q338" s="264"/>
      <c r="R338" s="264"/>
      <c r="S338" s="264"/>
      <c r="T338" s="264"/>
      <c r="U338" s="264"/>
      <c r="V338" s="264"/>
      <c r="X338" s="264"/>
      <c r="Y338" s="264"/>
      <c r="Z338" s="264"/>
      <c r="AA338" s="265"/>
    </row>
    <row r="339" spans="1:27" x14ac:dyDescent="0.35">
      <c r="A339">
        <v>338</v>
      </c>
      <c r="B339" s="145" t="s">
        <v>499</v>
      </c>
      <c r="C339" s="283">
        <v>5781</v>
      </c>
      <c r="D339" s="283">
        <v>664</v>
      </c>
      <c r="E339" s="283">
        <v>2305</v>
      </c>
      <c r="F339" s="283">
        <v>5004</v>
      </c>
      <c r="G339" s="283"/>
      <c r="H339" s="283"/>
      <c r="I339" s="283"/>
      <c r="J339" s="283">
        <v>867</v>
      </c>
      <c r="K339" s="327">
        <v>3470</v>
      </c>
      <c r="L339" s="283">
        <v>1444</v>
      </c>
      <c r="M339" s="352" t="s">
        <v>29</v>
      </c>
      <c r="O339" s="264"/>
      <c r="Q339" s="264"/>
      <c r="R339" s="264"/>
      <c r="S339" s="264"/>
      <c r="T339" s="264"/>
      <c r="U339" s="264"/>
      <c r="V339" s="264"/>
      <c r="X339" s="264"/>
      <c r="Y339" s="264"/>
      <c r="Z339" s="264"/>
      <c r="AA339" s="265"/>
    </row>
    <row r="340" spans="1:27" x14ac:dyDescent="0.35">
      <c r="A340">
        <v>339</v>
      </c>
      <c r="B340" s="145" t="s">
        <v>506</v>
      </c>
      <c r="C340" s="283">
        <v>757</v>
      </c>
      <c r="D340" s="283">
        <v>215</v>
      </c>
      <c r="E340" s="283">
        <v>86</v>
      </c>
      <c r="F340" s="283">
        <v>688</v>
      </c>
      <c r="G340" s="283"/>
      <c r="H340" s="283"/>
      <c r="I340" s="283"/>
      <c r="J340" s="283">
        <v>140</v>
      </c>
      <c r="K340" s="327">
        <v>401</v>
      </c>
      <c r="L340" s="283">
        <v>216</v>
      </c>
      <c r="M340" s="352" t="s">
        <v>29</v>
      </c>
      <c r="O340" s="260"/>
      <c r="Q340" s="260"/>
      <c r="R340" s="260"/>
      <c r="S340" s="260"/>
      <c r="T340" s="260"/>
      <c r="U340" s="260"/>
      <c r="V340" s="260"/>
      <c r="X340" s="258"/>
      <c r="Y340" s="258"/>
      <c r="Z340" s="258"/>
      <c r="AA340" s="259"/>
    </row>
    <row r="341" spans="1:27" x14ac:dyDescent="0.35">
      <c r="A341">
        <v>340</v>
      </c>
      <c r="B341" s="269" t="s">
        <v>507</v>
      </c>
      <c r="C341" s="315">
        <f>33909+550</f>
        <v>34459</v>
      </c>
      <c r="D341" s="315">
        <f>937+2333</f>
        <v>3270</v>
      </c>
      <c r="E341" s="315">
        <f>17985+350</f>
        <v>18335</v>
      </c>
      <c r="F341" s="315">
        <f>27799+440</f>
        <v>28239</v>
      </c>
      <c r="G341" s="315"/>
      <c r="H341" s="315"/>
      <c r="I341" s="315"/>
      <c r="J341" s="315">
        <f>2352+100</f>
        <v>2452</v>
      </c>
      <c r="K341" s="343">
        <f>19199+150</f>
        <v>19349</v>
      </c>
      <c r="L341" s="315">
        <f>12358+300</f>
        <v>12658</v>
      </c>
      <c r="M341" s="352" t="s">
        <v>30</v>
      </c>
      <c r="O341" s="234"/>
      <c r="Q341" s="234"/>
      <c r="R341" s="234"/>
      <c r="S341" s="234"/>
      <c r="T341" s="234"/>
      <c r="U341" s="234"/>
      <c r="V341" s="234"/>
      <c r="X341" s="234"/>
      <c r="Y341" s="234"/>
      <c r="Z341" s="234"/>
      <c r="AA341" s="235"/>
    </row>
    <row r="342" spans="1:27" x14ac:dyDescent="0.35">
      <c r="A342">
        <v>341</v>
      </c>
      <c r="B342" s="269" t="s">
        <v>508</v>
      </c>
      <c r="C342" s="315">
        <v>39410</v>
      </c>
      <c r="D342" s="315">
        <v>990</v>
      </c>
      <c r="E342" s="315">
        <v>19477</v>
      </c>
      <c r="F342" s="315">
        <v>28020</v>
      </c>
      <c r="G342" s="315"/>
      <c r="H342" s="315"/>
      <c r="I342" s="315"/>
      <c r="J342" s="315">
        <v>7511</v>
      </c>
      <c r="K342" s="343">
        <v>19673</v>
      </c>
      <c r="L342" s="315">
        <v>12226</v>
      </c>
      <c r="M342" s="352" t="s">
        <v>30</v>
      </c>
      <c r="O342" s="234"/>
      <c r="Q342" s="234"/>
      <c r="R342" s="234"/>
      <c r="S342" s="234"/>
      <c r="T342" s="234"/>
      <c r="U342" s="234"/>
      <c r="V342" s="234"/>
      <c r="X342" s="234"/>
      <c r="Y342" s="234"/>
      <c r="Z342" s="234"/>
      <c r="AA342" s="235"/>
    </row>
    <row r="343" spans="1:27" x14ac:dyDescent="0.35">
      <c r="A343">
        <v>342</v>
      </c>
      <c r="B343" s="269" t="s">
        <v>513</v>
      </c>
      <c r="C343" s="315">
        <v>28355</v>
      </c>
      <c r="D343" s="315">
        <v>502</v>
      </c>
      <c r="E343" s="315">
        <v>9069</v>
      </c>
      <c r="F343" s="315">
        <v>38975</v>
      </c>
      <c r="G343" s="315"/>
      <c r="H343" s="315"/>
      <c r="I343" s="315"/>
      <c r="J343" s="315">
        <v>990</v>
      </c>
      <c r="K343" s="343">
        <v>18065</v>
      </c>
      <c r="L343" s="315">
        <v>930</v>
      </c>
      <c r="M343" s="352" t="s">
        <v>30</v>
      </c>
      <c r="O343" s="234"/>
      <c r="Q343" s="234"/>
      <c r="R343" s="234"/>
      <c r="S343" s="234"/>
      <c r="T343" s="234"/>
      <c r="U343" s="234"/>
      <c r="V343" s="234"/>
      <c r="X343" s="234"/>
      <c r="Y343" s="234"/>
      <c r="Z343" s="234"/>
      <c r="AA343" s="235"/>
    </row>
    <row r="344" spans="1:27" x14ac:dyDescent="0.35">
      <c r="A344">
        <v>343</v>
      </c>
      <c r="B344" s="269" t="s">
        <v>509</v>
      </c>
      <c r="C344" s="315">
        <f>22790+2954</f>
        <v>25744</v>
      </c>
      <c r="D344" s="315">
        <f>874+300</f>
        <v>1174</v>
      </c>
      <c r="E344" s="315">
        <f>9534+480</f>
        <v>10014</v>
      </c>
      <c r="F344" s="315">
        <f>16522+2363</f>
        <v>18885</v>
      </c>
      <c r="G344" s="315"/>
      <c r="H344" s="315"/>
      <c r="I344" s="315"/>
      <c r="J344" s="315">
        <f>2041+1354</f>
        <v>3395</v>
      </c>
      <c r="K344" s="343">
        <f>10903+1600</f>
        <v>12503</v>
      </c>
      <c r="L344" s="315">
        <v>9846</v>
      </c>
      <c r="M344" s="352" t="s">
        <v>30</v>
      </c>
      <c r="O344" s="228"/>
      <c r="Q344" s="234"/>
      <c r="R344" s="234"/>
      <c r="S344" s="234"/>
      <c r="T344" s="234"/>
      <c r="U344" s="234"/>
      <c r="V344" s="234"/>
      <c r="X344" s="228"/>
      <c r="Y344" s="228"/>
      <c r="Z344" s="228"/>
      <c r="AA344" s="229"/>
    </row>
    <row r="345" spans="1:27" x14ac:dyDescent="0.35">
      <c r="A345">
        <v>344</v>
      </c>
      <c r="B345" s="269" t="s">
        <v>526</v>
      </c>
      <c r="C345" s="315">
        <f>19585+248</f>
        <v>19833</v>
      </c>
      <c r="D345" s="315">
        <f>871+533</f>
        <v>1404</v>
      </c>
      <c r="E345" s="315">
        <f>8204+114</f>
        <v>8318</v>
      </c>
      <c r="F345" s="315">
        <f>2120+198</f>
        <v>2318</v>
      </c>
      <c r="G345" s="315"/>
      <c r="H345" s="315"/>
      <c r="I345" s="315"/>
      <c r="J345" s="315">
        <v>1267</v>
      </c>
      <c r="K345" s="343">
        <f>9417+214</f>
        <v>9631</v>
      </c>
      <c r="L345" s="315">
        <f>8901+34</f>
        <v>8935</v>
      </c>
      <c r="M345" s="352" t="s">
        <v>30</v>
      </c>
      <c r="O345" s="228"/>
      <c r="Q345" s="234"/>
      <c r="R345" s="234"/>
      <c r="S345" s="234"/>
      <c r="T345" s="234"/>
      <c r="U345" s="234"/>
      <c r="V345" s="234"/>
      <c r="X345" s="234"/>
      <c r="Y345" s="234"/>
      <c r="Z345" s="234"/>
      <c r="AA345" s="235"/>
    </row>
    <row r="346" spans="1:27" x14ac:dyDescent="0.35">
      <c r="A346">
        <v>345</v>
      </c>
      <c r="B346" s="269" t="s">
        <v>514</v>
      </c>
      <c r="C346" s="315">
        <v>17709</v>
      </c>
      <c r="D346" s="315">
        <v>732</v>
      </c>
      <c r="E346" s="315">
        <v>7270</v>
      </c>
      <c r="F346" s="315">
        <v>23671</v>
      </c>
      <c r="G346" s="315"/>
      <c r="H346" s="315"/>
      <c r="I346" s="315"/>
      <c r="J346" s="315">
        <v>2220</v>
      </c>
      <c r="K346" s="343">
        <v>9926</v>
      </c>
      <c r="L346" s="315">
        <v>5563</v>
      </c>
      <c r="M346" s="352" t="s">
        <v>30</v>
      </c>
      <c r="O346" s="228"/>
      <c r="Q346" s="228"/>
      <c r="R346" s="228"/>
      <c r="S346" s="228"/>
      <c r="T346" s="228"/>
      <c r="U346" s="228"/>
      <c r="V346" s="228"/>
      <c r="X346" s="228"/>
      <c r="Y346" s="228"/>
      <c r="Z346" s="228"/>
      <c r="AA346" s="229"/>
    </row>
    <row r="347" spans="1:27" x14ac:dyDescent="0.35">
      <c r="A347">
        <v>346</v>
      </c>
      <c r="B347" s="269" t="s">
        <v>515</v>
      </c>
      <c r="C347" s="315">
        <f>15729+200</f>
        <v>15929</v>
      </c>
      <c r="D347" s="315">
        <f>772+256</f>
        <v>1028</v>
      </c>
      <c r="E347" s="315">
        <f>8083+50</f>
        <v>8133</v>
      </c>
      <c r="F347" s="315">
        <f>24423+160</f>
        <v>24583</v>
      </c>
      <c r="G347" s="315"/>
      <c r="H347" s="315"/>
      <c r="I347" s="315"/>
      <c r="J347" s="315">
        <v>324</v>
      </c>
      <c r="K347" s="343">
        <f>10473+195</f>
        <v>10668</v>
      </c>
      <c r="L347" s="315">
        <f>4932+5</f>
        <v>4937</v>
      </c>
      <c r="M347" s="352" t="s">
        <v>30</v>
      </c>
      <c r="O347" s="228"/>
      <c r="Q347" s="234"/>
      <c r="R347" s="234"/>
      <c r="S347" s="234"/>
      <c r="T347" s="234"/>
      <c r="U347" s="234"/>
      <c r="V347" s="234"/>
      <c r="X347" s="234"/>
      <c r="Y347" s="234"/>
      <c r="Z347" s="234"/>
      <c r="AA347" s="235"/>
    </row>
    <row r="348" spans="1:27" x14ac:dyDescent="0.35">
      <c r="A348">
        <v>347</v>
      </c>
      <c r="B348" s="269" t="s">
        <v>516</v>
      </c>
      <c r="C348" s="315">
        <v>9610</v>
      </c>
      <c r="D348" s="315">
        <v>476</v>
      </c>
      <c r="E348" s="315">
        <v>2241</v>
      </c>
      <c r="F348" s="315">
        <v>11656</v>
      </c>
      <c r="G348" s="315"/>
      <c r="H348" s="315"/>
      <c r="I348" s="315"/>
      <c r="J348" s="315">
        <v>253</v>
      </c>
      <c r="K348" s="343">
        <v>4705</v>
      </c>
      <c r="L348" s="315">
        <v>4652</v>
      </c>
      <c r="M348" s="352" t="s">
        <v>30</v>
      </c>
      <c r="O348" s="234"/>
      <c r="Q348" s="234"/>
      <c r="R348" s="234"/>
      <c r="S348" s="234"/>
      <c r="T348" s="234"/>
      <c r="U348" s="234"/>
      <c r="V348" s="234"/>
      <c r="X348" s="234"/>
      <c r="Y348" s="234"/>
      <c r="Z348" s="234"/>
      <c r="AA348" s="235"/>
    </row>
    <row r="349" spans="1:27" x14ac:dyDescent="0.35">
      <c r="A349">
        <v>348</v>
      </c>
      <c r="B349" s="269" t="s">
        <v>528</v>
      </c>
      <c r="C349" s="315">
        <v>8710</v>
      </c>
      <c r="D349" s="315">
        <v>800</v>
      </c>
      <c r="E349" s="315">
        <v>2438</v>
      </c>
      <c r="F349" s="315">
        <v>10278</v>
      </c>
      <c r="G349" s="315"/>
      <c r="H349" s="315"/>
      <c r="I349" s="315"/>
      <c r="J349" s="315">
        <v>222</v>
      </c>
      <c r="K349" s="343">
        <v>3047</v>
      </c>
      <c r="L349" s="315">
        <v>5441</v>
      </c>
      <c r="M349" s="352" t="s">
        <v>30</v>
      </c>
      <c r="O349" s="228"/>
      <c r="Q349" s="234"/>
      <c r="R349" s="234"/>
      <c r="S349" s="234"/>
      <c r="T349" s="234"/>
      <c r="U349" s="234"/>
      <c r="V349" s="234"/>
      <c r="X349" s="234"/>
      <c r="Y349" s="234"/>
      <c r="Z349" s="234"/>
      <c r="AA349" s="235"/>
    </row>
    <row r="350" spans="1:27" x14ac:dyDescent="0.35">
      <c r="A350">
        <v>349</v>
      </c>
      <c r="B350" s="269" t="s">
        <v>517</v>
      </c>
      <c r="C350" s="315">
        <v>8120</v>
      </c>
      <c r="D350" s="315">
        <v>794</v>
      </c>
      <c r="E350" s="315">
        <v>3407</v>
      </c>
      <c r="F350" s="315">
        <v>11404</v>
      </c>
      <c r="G350" s="315"/>
      <c r="H350" s="315"/>
      <c r="I350" s="315"/>
      <c r="J350" s="315">
        <v>2247</v>
      </c>
      <c r="K350" s="343">
        <v>4292</v>
      </c>
      <c r="L350" s="315">
        <v>1581</v>
      </c>
      <c r="M350" s="352" t="s">
        <v>30</v>
      </c>
      <c r="O350" s="228"/>
      <c r="Q350" s="234"/>
      <c r="R350" s="234"/>
      <c r="S350" s="234"/>
      <c r="T350" s="234"/>
      <c r="U350" s="234"/>
      <c r="V350" s="234"/>
      <c r="X350" s="234"/>
      <c r="Y350" s="234"/>
      <c r="Z350" s="234"/>
      <c r="AA350" s="235"/>
    </row>
    <row r="351" spans="1:27" x14ac:dyDescent="0.35">
      <c r="A351">
        <v>350</v>
      </c>
      <c r="B351" s="269" t="s">
        <v>511</v>
      </c>
      <c r="C351" s="315">
        <v>4199</v>
      </c>
      <c r="D351" s="315">
        <v>368</v>
      </c>
      <c r="E351" s="315">
        <v>716</v>
      </c>
      <c r="F351" s="315">
        <v>14451</v>
      </c>
      <c r="G351" s="315"/>
      <c r="H351" s="315"/>
      <c r="I351" s="315"/>
      <c r="J351" s="315">
        <v>839</v>
      </c>
      <c r="K351" s="343">
        <v>1944</v>
      </c>
      <c r="L351" s="315">
        <v>1416</v>
      </c>
      <c r="M351" s="352" t="s">
        <v>30</v>
      </c>
      <c r="O351" s="234"/>
      <c r="Q351" s="234"/>
      <c r="R351" s="234"/>
      <c r="S351" s="234"/>
      <c r="T351" s="234"/>
      <c r="U351" s="234"/>
      <c r="V351" s="234"/>
      <c r="X351" s="234"/>
      <c r="Y351" s="234"/>
      <c r="Z351" s="234"/>
      <c r="AA351" s="235"/>
    </row>
    <row r="352" spans="1:27" x14ac:dyDescent="0.35">
      <c r="A352">
        <v>351</v>
      </c>
      <c r="B352" s="269" t="s">
        <v>522</v>
      </c>
      <c r="C352" s="315">
        <v>3668</v>
      </c>
      <c r="D352" s="315">
        <v>562</v>
      </c>
      <c r="E352" s="315">
        <v>1001</v>
      </c>
      <c r="F352" s="315">
        <v>7157</v>
      </c>
      <c r="G352" s="315"/>
      <c r="H352" s="315"/>
      <c r="I352" s="315"/>
      <c r="J352" s="315">
        <v>200</v>
      </c>
      <c r="K352" s="343">
        <v>1781</v>
      </c>
      <c r="L352" s="315">
        <v>1687</v>
      </c>
      <c r="M352" s="352" t="s">
        <v>30</v>
      </c>
      <c r="O352" s="228"/>
      <c r="Q352" s="228"/>
      <c r="R352" s="228"/>
      <c r="S352" s="228"/>
      <c r="T352" s="228"/>
      <c r="U352" s="228"/>
      <c r="V352" s="228"/>
      <c r="X352" s="228"/>
      <c r="Y352" s="228"/>
      <c r="Z352" s="228"/>
      <c r="AA352" s="229"/>
    </row>
    <row r="353" spans="1:27" x14ac:dyDescent="0.35">
      <c r="A353">
        <v>352</v>
      </c>
      <c r="B353" s="269" t="s">
        <v>510</v>
      </c>
      <c r="C353" s="315">
        <v>3182</v>
      </c>
      <c r="D353" s="315">
        <v>322</v>
      </c>
      <c r="E353" s="315">
        <v>614</v>
      </c>
      <c r="F353" s="315">
        <v>2906</v>
      </c>
      <c r="G353" s="315"/>
      <c r="H353" s="315"/>
      <c r="I353" s="315"/>
      <c r="J353" s="315">
        <v>319</v>
      </c>
      <c r="K353" s="343">
        <v>1907</v>
      </c>
      <c r="L353" s="315">
        <v>956</v>
      </c>
      <c r="M353" s="352" t="s">
        <v>30</v>
      </c>
      <c r="O353" s="228"/>
      <c r="Q353" s="234"/>
      <c r="R353" s="234"/>
      <c r="S353" s="234"/>
      <c r="T353" s="234"/>
      <c r="U353" s="234"/>
      <c r="V353" s="234"/>
      <c r="X353" s="234"/>
      <c r="Y353" s="234"/>
      <c r="Z353" s="234"/>
      <c r="AA353" s="235"/>
    </row>
    <row r="354" spans="1:27" x14ac:dyDescent="0.35">
      <c r="A354">
        <v>353</v>
      </c>
      <c r="B354" s="269" t="s">
        <v>523</v>
      </c>
      <c r="C354" s="315">
        <v>1741</v>
      </c>
      <c r="D354" s="315">
        <v>467</v>
      </c>
      <c r="E354" s="315">
        <v>434</v>
      </c>
      <c r="F354" s="315">
        <v>2324</v>
      </c>
      <c r="G354" s="315"/>
      <c r="H354" s="315"/>
      <c r="I354" s="315"/>
      <c r="J354" s="315">
        <v>121</v>
      </c>
      <c r="K354" s="343">
        <v>931</v>
      </c>
      <c r="L354" s="315">
        <v>689</v>
      </c>
      <c r="M354" s="352" t="s">
        <v>30</v>
      </c>
      <c r="O354" s="232"/>
      <c r="Q354" s="228"/>
      <c r="R354" s="228"/>
      <c r="S354" s="228"/>
      <c r="T354" s="228"/>
      <c r="U354" s="228"/>
      <c r="V354" s="228"/>
      <c r="X354" s="228"/>
      <c r="Y354" s="228"/>
      <c r="Z354" s="228"/>
      <c r="AA354" s="229"/>
    </row>
    <row r="355" spans="1:27" x14ac:dyDescent="0.35">
      <c r="A355">
        <v>354</v>
      </c>
      <c r="B355" s="269" t="s">
        <v>512</v>
      </c>
      <c r="C355" s="315">
        <v>1542</v>
      </c>
      <c r="D355" s="315">
        <v>668</v>
      </c>
      <c r="E355" s="315">
        <v>602</v>
      </c>
      <c r="F355" s="315">
        <v>4550</v>
      </c>
      <c r="G355" s="315"/>
      <c r="H355" s="315"/>
      <c r="I355" s="315"/>
      <c r="J355" s="315">
        <v>187</v>
      </c>
      <c r="K355" s="343">
        <v>901</v>
      </c>
      <c r="L355" s="315">
        <v>454</v>
      </c>
      <c r="M355" s="352" t="s">
        <v>30</v>
      </c>
      <c r="O355" s="228"/>
      <c r="Q355" s="228"/>
      <c r="R355" s="228"/>
      <c r="S355" s="228"/>
      <c r="T355" s="228"/>
      <c r="U355" s="228"/>
      <c r="V355" s="228"/>
      <c r="X355" s="228"/>
      <c r="Y355" s="228"/>
      <c r="Z355" s="228"/>
      <c r="AA355" s="229"/>
    </row>
    <row r="356" spans="1:27" x14ac:dyDescent="0.35">
      <c r="A356">
        <v>355</v>
      </c>
      <c r="B356" s="269" t="s">
        <v>525</v>
      </c>
      <c r="C356" s="315">
        <v>822</v>
      </c>
      <c r="D356" s="315">
        <v>501</v>
      </c>
      <c r="E356" s="315">
        <v>196</v>
      </c>
      <c r="F356" s="315">
        <v>1644</v>
      </c>
      <c r="G356" s="315"/>
      <c r="H356" s="315"/>
      <c r="I356" s="315"/>
      <c r="J356" s="315">
        <v>91</v>
      </c>
      <c r="K356" s="343">
        <v>392</v>
      </c>
      <c r="L356" s="315">
        <v>339</v>
      </c>
      <c r="M356" s="352" t="s">
        <v>30</v>
      </c>
      <c r="O356" s="228"/>
      <c r="Q356" s="234"/>
      <c r="R356" s="234"/>
      <c r="S356" s="234"/>
      <c r="T356" s="234"/>
      <c r="U356" s="234"/>
      <c r="V356" s="234"/>
      <c r="X356" s="234"/>
      <c r="Y356" s="234"/>
      <c r="Z356" s="234"/>
      <c r="AA356" s="235"/>
    </row>
    <row r="357" spans="1:27" x14ac:dyDescent="0.35">
      <c r="A357">
        <v>356</v>
      </c>
      <c r="B357" s="269" t="s">
        <v>527</v>
      </c>
      <c r="C357" s="315">
        <v>820</v>
      </c>
      <c r="D357" s="315">
        <v>939</v>
      </c>
      <c r="E357" s="315">
        <v>5639</v>
      </c>
      <c r="F357" s="315">
        <v>6308</v>
      </c>
      <c r="G357" s="315"/>
      <c r="H357" s="315"/>
      <c r="I357" s="315"/>
      <c r="J357" s="315">
        <v>93</v>
      </c>
      <c r="K357" s="343">
        <v>6005</v>
      </c>
      <c r="L357" s="315">
        <v>2102</v>
      </c>
      <c r="M357" s="352" t="s">
        <v>30</v>
      </c>
      <c r="O357" s="228"/>
      <c r="Q357" s="228"/>
      <c r="R357" s="228"/>
      <c r="S357" s="228"/>
      <c r="T357" s="228"/>
      <c r="U357" s="228"/>
      <c r="V357" s="228"/>
      <c r="X357" s="228"/>
      <c r="Y357" s="228"/>
      <c r="Z357" s="228"/>
      <c r="AA357" s="229"/>
    </row>
    <row r="358" spans="1:27" x14ac:dyDescent="0.35">
      <c r="A358">
        <v>357</v>
      </c>
      <c r="B358" s="269" t="s">
        <v>518</v>
      </c>
      <c r="C358" s="315">
        <v>623</v>
      </c>
      <c r="D358" s="315">
        <v>293</v>
      </c>
      <c r="E358" s="315">
        <v>118</v>
      </c>
      <c r="F358" s="315">
        <v>1342</v>
      </c>
      <c r="G358" s="315"/>
      <c r="H358" s="315"/>
      <c r="I358" s="315"/>
      <c r="J358" s="315">
        <v>12</v>
      </c>
      <c r="K358" s="343">
        <v>403</v>
      </c>
      <c r="L358" s="315">
        <v>208</v>
      </c>
      <c r="M358" s="352" t="s">
        <v>30</v>
      </c>
      <c r="O358" s="228"/>
      <c r="Q358" s="228"/>
      <c r="R358" s="228"/>
      <c r="S358" s="228"/>
      <c r="T358" s="228"/>
      <c r="U358" s="228"/>
      <c r="V358" s="228"/>
      <c r="X358" s="228"/>
      <c r="Y358" s="228"/>
      <c r="Z358" s="228"/>
      <c r="AA358" s="229"/>
    </row>
    <row r="359" spans="1:27" x14ac:dyDescent="0.35">
      <c r="A359">
        <v>358</v>
      </c>
      <c r="B359" s="269" t="s">
        <v>519</v>
      </c>
      <c r="C359" s="315">
        <v>540</v>
      </c>
      <c r="D359" s="315">
        <v>660</v>
      </c>
      <c r="E359" s="315">
        <v>2289</v>
      </c>
      <c r="F359" s="315">
        <v>6437</v>
      </c>
      <c r="G359" s="315"/>
      <c r="H359" s="315"/>
      <c r="I359" s="315"/>
      <c r="J359" s="315">
        <v>658</v>
      </c>
      <c r="K359" s="343">
        <v>3466</v>
      </c>
      <c r="L359" s="315">
        <v>1276</v>
      </c>
      <c r="M359" s="352" t="s">
        <v>30</v>
      </c>
      <c r="O359" s="228"/>
      <c r="Q359" s="228"/>
      <c r="R359" s="228"/>
      <c r="S359" s="228"/>
      <c r="T359" s="228"/>
      <c r="U359" s="228"/>
      <c r="V359" s="228"/>
      <c r="X359" s="228"/>
      <c r="Y359" s="228"/>
      <c r="Z359" s="228"/>
      <c r="AA359" s="229"/>
    </row>
    <row r="360" spans="1:27" x14ac:dyDescent="0.35">
      <c r="A360">
        <v>359</v>
      </c>
      <c r="B360" s="269" t="s">
        <v>524</v>
      </c>
      <c r="C360" s="315">
        <v>308</v>
      </c>
      <c r="D360" s="315">
        <v>372</v>
      </c>
      <c r="E360" s="315">
        <v>43</v>
      </c>
      <c r="F360" s="315">
        <v>711</v>
      </c>
      <c r="G360" s="315"/>
      <c r="H360" s="315"/>
      <c r="I360" s="315"/>
      <c r="J360" s="315">
        <v>119</v>
      </c>
      <c r="K360" s="343">
        <v>116</v>
      </c>
      <c r="L360" s="315">
        <v>73</v>
      </c>
      <c r="M360" s="352" t="s">
        <v>30</v>
      </c>
      <c r="O360" s="234"/>
      <c r="Q360" s="234"/>
      <c r="R360" s="234"/>
      <c r="S360" s="234"/>
      <c r="T360" s="234"/>
      <c r="U360" s="234"/>
      <c r="V360" s="234"/>
      <c r="X360" s="234"/>
      <c r="Y360" s="234"/>
      <c r="Z360" s="234"/>
      <c r="AA360" s="235"/>
    </row>
    <row r="361" spans="1:27" x14ac:dyDescent="0.35">
      <c r="A361">
        <v>360</v>
      </c>
      <c r="B361" s="269" t="s">
        <v>520</v>
      </c>
      <c r="C361" s="315">
        <v>103</v>
      </c>
      <c r="D361" s="315">
        <v>398</v>
      </c>
      <c r="E361" s="315">
        <v>24</v>
      </c>
      <c r="F361" s="315">
        <v>281</v>
      </c>
      <c r="G361" s="315"/>
      <c r="H361" s="315"/>
      <c r="I361" s="315"/>
      <c r="J361" s="416"/>
      <c r="K361" s="343">
        <v>62</v>
      </c>
      <c r="L361" s="315">
        <v>41</v>
      </c>
      <c r="M361" s="352" t="s">
        <v>30</v>
      </c>
      <c r="O361" s="228"/>
      <c r="Q361" s="234"/>
      <c r="R361" s="234"/>
      <c r="S361" s="234"/>
      <c r="T361" s="234"/>
      <c r="U361" s="234"/>
      <c r="V361" s="234"/>
      <c r="X361" s="234"/>
      <c r="Y361" s="234"/>
      <c r="Z361" s="234"/>
      <c r="AA361" s="235"/>
    </row>
    <row r="362" spans="1:27" x14ac:dyDescent="0.35">
      <c r="A362">
        <v>361</v>
      </c>
      <c r="B362" s="269" t="s">
        <v>521</v>
      </c>
      <c r="C362" s="315">
        <v>45</v>
      </c>
      <c r="D362" s="315">
        <v>475</v>
      </c>
      <c r="E362" s="315">
        <v>14</v>
      </c>
      <c r="F362" s="315">
        <v>181</v>
      </c>
      <c r="G362" s="315"/>
      <c r="H362" s="315"/>
      <c r="I362" s="315"/>
      <c r="J362" s="315">
        <v>4</v>
      </c>
      <c r="K362" s="343">
        <v>30</v>
      </c>
      <c r="L362" s="315">
        <v>11</v>
      </c>
      <c r="M362" s="352" t="s">
        <v>30</v>
      </c>
      <c r="O362" s="228"/>
      <c r="Q362" s="234"/>
      <c r="R362" s="234"/>
      <c r="S362" s="234"/>
      <c r="T362" s="234"/>
      <c r="U362" s="234"/>
      <c r="V362" s="234"/>
      <c r="X362" s="267"/>
      <c r="Y362" s="267"/>
      <c r="Z362" s="267"/>
      <c r="AA362" s="268"/>
    </row>
    <row r="363" spans="1:27" x14ac:dyDescent="0.35">
      <c r="A363">
        <v>362</v>
      </c>
      <c r="B363" s="159" t="s">
        <v>529</v>
      </c>
      <c r="C363" s="316">
        <v>48930</v>
      </c>
      <c r="D363" s="316">
        <v>899</v>
      </c>
      <c r="E363" s="316">
        <v>24625</v>
      </c>
      <c r="F363" s="316">
        <v>46554</v>
      </c>
      <c r="G363" s="316"/>
      <c r="H363" s="316"/>
      <c r="I363" s="316"/>
      <c r="J363" s="316">
        <v>6674</v>
      </c>
      <c r="K363" s="417">
        <v>27378</v>
      </c>
      <c r="L363" s="316">
        <v>14877</v>
      </c>
      <c r="M363" s="352" t="s">
        <v>31</v>
      </c>
      <c r="O363" s="234"/>
      <c r="Q363" s="234"/>
      <c r="R363" s="234"/>
      <c r="S363" s="234"/>
      <c r="T363" s="234"/>
      <c r="U363" s="234"/>
      <c r="V363" s="234"/>
      <c r="X363" s="234"/>
      <c r="Y363" s="234"/>
      <c r="Z363" s="234"/>
      <c r="AA363" s="235"/>
    </row>
    <row r="364" spans="1:27" x14ac:dyDescent="0.35">
      <c r="A364">
        <v>363</v>
      </c>
      <c r="B364" s="159" t="s">
        <v>532</v>
      </c>
      <c r="C364" s="316">
        <v>40325</v>
      </c>
      <c r="D364" s="316">
        <v>650</v>
      </c>
      <c r="E364" s="316">
        <v>9039</v>
      </c>
      <c r="F364" s="316">
        <v>33050</v>
      </c>
      <c r="G364" s="316"/>
      <c r="H364" s="316"/>
      <c r="I364" s="316"/>
      <c r="J364" s="316">
        <v>2974</v>
      </c>
      <c r="K364" s="417">
        <v>13905</v>
      </c>
      <c r="L364" s="316">
        <v>23445</v>
      </c>
      <c r="M364" s="352" t="s">
        <v>31</v>
      </c>
      <c r="O364" s="234"/>
      <c r="Q364" s="234"/>
      <c r="R364" s="234"/>
      <c r="S364" s="234"/>
      <c r="T364" s="234"/>
      <c r="U364" s="234"/>
      <c r="V364" s="234"/>
      <c r="X364" s="234"/>
      <c r="Y364" s="234"/>
      <c r="Z364" s="234"/>
      <c r="AA364" s="235"/>
    </row>
    <row r="365" spans="1:27" x14ac:dyDescent="0.35">
      <c r="A365">
        <v>364</v>
      </c>
      <c r="B365" s="159" t="s">
        <v>530</v>
      </c>
      <c r="C365" s="316">
        <v>15499</v>
      </c>
      <c r="D365" s="316">
        <v>704</v>
      </c>
      <c r="E365" s="316">
        <v>5782</v>
      </c>
      <c r="F365" s="316">
        <v>15450</v>
      </c>
      <c r="G365" s="316"/>
      <c r="H365" s="316"/>
      <c r="I365" s="316"/>
      <c r="J365" s="316">
        <v>1922</v>
      </c>
      <c r="K365" s="417">
        <v>8211</v>
      </c>
      <c r="L365" s="316">
        <v>5366</v>
      </c>
      <c r="M365" s="352" t="s">
        <v>31</v>
      </c>
      <c r="O365" s="234"/>
      <c r="Q365" s="234"/>
      <c r="R365" s="234"/>
      <c r="S365" s="234"/>
      <c r="T365" s="234"/>
      <c r="U365" s="234"/>
      <c r="V365" s="234"/>
      <c r="X365" s="234"/>
      <c r="Y365" s="234"/>
      <c r="Z365" s="234"/>
      <c r="AA365" s="235"/>
    </row>
    <row r="366" spans="1:27" x14ac:dyDescent="0.35">
      <c r="A366">
        <v>365</v>
      </c>
      <c r="B366" s="159" t="s">
        <v>533</v>
      </c>
      <c r="C366" s="316">
        <v>15064</v>
      </c>
      <c r="D366" s="316">
        <v>701</v>
      </c>
      <c r="E366" s="316">
        <v>5033</v>
      </c>
      <c r="F366" s="316">
        <v>17414</v>
      </c>
      <c r="G366" s="316"/>
      <c r="H366" s="316"/>
      <c r="I366" s="316"/>
      <c r="J366" s="316">
        <v>2543</v>
      </c>
      <c r="K366" s="417">
        <v>7179</v>
      </c>
      <c r="L366" s="316">
        <v>5342</v>
      </c>
      <c r="M366" s="352" t="s">
        <v>31</v>
      </c>
      <c r="O366" s="234"/>
      <c r="Q366" s="234"/>
      <c r="R366" s="234"/>
      <c r="S366" s="234"/>
      <c r="T366" s="234"/>
      <c r="U366" s="234"/>
      <c r="V366" s="234"/>
      <c r="X366" s="234"/>
      <c r="Y366" s="234"/>
      <c r="Z366" s="234"/>
      <c r="AA366" s="235"/>
    </row>
    <row r="367" spans="1:27" x14ac:dyDescent="0.35">
      <c r="A367">
        <v>366</v>
      </c>
      <c r="B367" s="159" t="s">
        <v>531</v>
      </c>
      <c r="C367" s="316">
        <v>13168</v>
      </c>
      <c r="D367" s="316">
        <v>906</v>
      </c>
      <c r="E367" s="316">
        <v>5506</v>
      </c>
      <c r="F367" s="316">
        <v>11634</v>
      </c>
      <c r="G367" s="316"/>
      <c r="H367" s="316"/>
      <c r="I367" s="316"/>
      <c r="J367" s="316">
        <v>2439</v>
      </c>
      <c r="K367" s="417">
        <v>6077</v>
      </c>
      <c r="L367" s="316">
        <v>4651</v>
      </c>
      <c r="M367" s="352" t="s">
        <v>31</v>
      </c>
      <c r="O367" s="234"/>
      <c r="Q367" s="234"/>
      <c r="R367" s="234"/>
      <c r="S367" s="234"/>
      <c r="T367" s="234"/>
      <c r="U367" s="234"/>
      <c r="V367" s="234"/>
      <c r="X367" s="234"/>
      <c r="Y367" s="234"/>
      <c r="Z367" s="234"/>
      <c r="AA367" s="235"/>
    </row>
    <row r="368" spans="1:27" x14ac:dyDescent="0.35">
      <c r="A368">
        <v>367</v>
      </c>
      <c r="B368" s="159" t="s">
        <v>625</v>
      </c>
      <c r="C368" s="316">
        <v>12802</v>
      </c>
      <c r="D368" s="316">
        <v>756</v>
      </c>
      <c r="E368" s="316">
        <v>4349</v>
      </c>
      <c r="F368" s="316">
        <v>12151</v>
      </c>
      <c r="G368" s="316"/>
      <c r="H368" s="316"/>
      <c r="I368" s="316"/>
      <c r="J368" s="316">
        <v>1426</v>
      </c>
      <c r="K368" s="417">
        <v>5752</v>
      </c>
      <c r="L368" s="316">
        <v>5623</v>
      </c>
      <c r="M368" s="352" t="s">
        <v>31</v>
      </c>
      <c r="O368" s="234"/>
      <c r="Q368" s="234"/>
      <c r="R368" s="234"/>
      <c r="S368" s="234"/>
      <c r="T368" s="234"/>
      <c r="U368" s="234"/>
      <c r="V368" s="234"/>
      <c r="X368" s="234"/>
      <c r="Y368" s="234"/>
      <c r="Z368" s="234"/>
      <c r="AA368" s="235"/>
    </row>
    <row r="369" spans="1:27" x14ac:dyDescent="0.35">
      <c r="A369">
        <v>368</v>
      </c>
      <c r="B369" s="159" t="s">
        <v>534</v>
      </c>
      <c r="C369" s="418"/>
      <c r="D369" s="418"/>
      <c r="E369" s="418"/>
      <c r="F369" s="418"/>
      <c r="G369" s="418"/>
      <c r="H369" s="418"/>
      <c r="I369" s="418"/>
      <c r="J369" s="418"/>
      <c r="K369" s="419"/>
      <c r="L369" s="418"/>
      <c r="M369" s="352" t="s">
        <v>31</v>
      </c>
      <c r="O369" s="234"/>
      <c r="Q369" s="234"/>
      <c r="R369" s="234"/>
      <c r="S369" s="234"/>
      <c r="T369" s="234"/>
      <c r="U369" s="234"/>
      <c r="V369" s="234"/>
      <c r="X369" s="234"/>
      <c r="Y369" s="234"/>
      <c r="Z369" s="234"/>
      <c r="AA369" s="235"/>
    </row>
    <row r="370" spans="1:27" x14ac:dyDescent="0.35">
      <c r="A370">
        <v>369</v>
      </c>
      <c r="B370" s="184" t="s">
        <v>535</v>
      </c>
      <c r="C370" s="285">
        <v>15853</v>
      </c>
      <c r="D370" s="285">
        <v>855</v>
      </c>
      <c r="E370" s="285">
        <v>7216</v>
      </c>
      <c r="F370" s="285">
        <v>17874</v>
      </c>
      <c r="G370" s="285"/>
      <c r="H370" s="285"/>
      <c r="I370" s="285"/>
      <c r="J370" s="285">
        <v>3137</v>
      </c>
      <c r="K370" s="321">
        <v>8440</v>
      </c>
      <c r="L370" s="285">
        <v>4276</v>
      </c>
      <c r="M370" s="352" t="s">
        <v>32</v>
      </c>
      <c r="O370" s="234"/>
      <c r="Q370" s="234"/>
      <c r="R370" s="234"/>
      <c r="S370" s="234"/>
      <c r="T370" s="234"/>
      <c r="U370" s="234"/>
      <c r="V370" s="234"/>
      <c r="X370" s="234"/>
      <c r="Y370" s="234"/>
      <c r="Z370" s="234"/>
      <c r="AA370" s="235"/>
    </row>
    <row r="371" spans="1:27" x14ac:dyDescent="0.35">
      <c r="A371">
        <v>370</v>
      </c>
      <c r="B371" s="184" t="s">
        <v>544</v>
      </c>
      <c r="C371" s="285">
        <v>79296</v>
      </c>
      <c r="D371" s="285">
        <v>694</v>
      </c>
      <c r="E371" s="285">
        <v>36814</v>
      </c>
      <c r="F371" s="285">
        <v>29072</v>
      </c>
      <c r="G371" s="285"/>
      <c r="H371" s="285"/>
      <c r="I371" s="285"/>
      <c r="J371" s="285">
        <v>1351</v>
      </c>
      <c r="K371" s="321">
        <v>53082</v>
      </c>
      <c r="L371" s="285">
        <v>24863</v>
      </c>
      <c r="M371" s="352" t="s">
        <v>32</v>
      </c>
      <c r="O371" s="234"/>
      <c r="Q371" s="234"/>
      <c r="R371" s="234"/>
      <c r="S371" s="234"/>
      <c r="T371" s="234"/>
      <c r="U371" s="234"/>
      <c r="V371" s="234"/>
      <c r="X371" s="234"/>
      <c r="Y371" s="234"/>
      <c r="Z371" s="234"/>
      <c r="AA371" s="235"/>
    </row>
    <row r="372" spans="1:27" x14ac:dyDescent="0.35">
      <c r="A372">
        <v>371</v>
      </c>
      <c r="B372" s="184" t="s">
        <v>547</v>
      </c>
      <c r="C372" s="285">
        <v>69112</v>
      </c>
      <c r="D372" s="285">
        <v>643</v>
      </c>
      <c r="E372" s="285">
        <v>22726</v>
      </c>
      <c r="F372" s="285">
        <v>28431</v>
      </c>
      <c r="G372" s="285"/>
      <c r="H372" s="285"/>
      <c r="I372" s="285"/>
      <c r="J372" s="285">
        <v>12244</v>
      </c>
      <c r="K372" s="321">
        <v>35319</v>
      </c>
      <c r="L372" s="285">
        <v>21549</v>
      </c>
      <c r="M372" s="352" t="s">
        <v>32</v>
      </c>
      <c r="O372" s="234"/>
      <c r="Q372" s="234"/>
      <c r="R372" s="234"/>
      <c r="S372" s="234"/>
      <c r="T372" s="234"/>
      <c r="U372" s="234"/>
      <c r="V372" s="234"/>
      <c r="X372" s="234"/>
      <c r="Y372" s="234"/>
      <c r="Z372" s="234"/>
      <c r="AA372" s="235"/>
    </row>
    <row r="373" spans="1:27" x14ac:dyDescent="0.35">
      <c r="A373">
        <v>372</v>
      </c>
      <c r="B373" s="184" t="s">
        <v>536</v>
      </c>
      <c r="C373" s="285">
        <v>29392</v>
      </c>
      <c r="D373" s="285">
        <v>568</v>
      </c>
      <c r="E373" s="285">
        <v>6964</v>
      </c>
      <c r="F373" s="285">
        <v>20931</v>
      </c>
      <c r="G373" s="285"/>
      <c r="H373" s="285"/>
      <c r="I373" s="285"/>
      <c r="J373" s="285">
        <v>5477</v>
      </c>
      <c r="K373" s="321">
        <v>12266</v>
      </c>
      <c r="L373" s="285">
        <v>11649</v>
      </c>
      <c r="M373" s="352" t="s">
        <v>32</v>
      </c>
      <c r="O373" s="228"/>
      <c r="Q373" s="234"/>
      <c r="R373" s="234"/>
      <c r="S373" s="234"/>
      <c r="T373" s="234"/>
      <c r="U373" s="234"/>
      <c r="V373" s="234"/>
      <c r="X373" s="234"/>
      <c r="Y373" s="234"/>
      <c r="Z373" s="234"/>
      <c r="AA373" s="235"/>
    </row>
    <row r="374" spans="1:27" x14ac:dyDescent="0.35">
      <c r="A374">
        <v>373</v>
      </c>
      <c r="B374" s="184" t="s">
        <v>541</v>
      </c>
      <c r="C374" s="285">
        <v>20316</v>
      </c>
      <c r="D374" s="285">
        <v>590</v>
      </c>
      <c r="E374" s="285">
        <v>6626</v>
      </c>
      <c r="F374" s="285">
        <v>24098</v>
      </c>
      <c r="G374" s="285"/>
      <c r="H374" s="285"/>
      <c r="I374" s="285"/>
      <c r="J374" s="285">
        <v>4827</v>
      </c>
      <c r="K374" s="321">
        <v>11222</v>
      </c>
      <c r="L374" s="285">
        <v>4267</v>
      </c>
      <c r="M374" s="352" t="s">
        <v>32</v>
      </c>
      <c r="O374" s="228"/>
      <c r="Q374" s="228"/>
      <c r="R374" s="228"/>
      <c r="S374" s="228"/>
      <c r="T374" s="228"/>
      <c r="U374" s="228"/>
      <c r="V374" s="228"/>
      <c r="X374" s="228"/>
      <c r="Y374" s="228"/>
      <c r="Z374" s="228"/>
      <c r="AA374" s="229"/>
    </row>
    <row r="375" spans="1:27" x14ac:dyDescent="0.35">
      <c r="A375">
        <v>374</v>
      </c>
      <c r="B375" s="184" t="s">
        <v>537</v>
      </c>
      <c r="C375" s="285">
        <v>10587</v>
      </c>
      <c r="D375" s="285">
        <v>847</v>
      </c>
      <c r="E375" s="285">
        <v>3647</v>
      </c>
      <c r="F375" s="285">
        <v>14096</v>
      </c>
      <c r="G375" s="285"/>
      <c r="H375" s="285"/>
      <c r="I375" s="285"/>
      <c r="J375" s="285">
        <v>4024</v>
      </c>
      <c r="K375" s="321">
        <v>4303</v>
      </c>
      <c r="L375" s="285">
        <v>2260</v>
      </c>
      <c r="M375" s="352" t="s">
        <v>32</v>
      </c>
      <c r="O375" s="228"/>
      <c r="Q375" s="228"/>
      <c r="R375" s="228"/>
      <c r="S375" s="228"/>
      <c r="T375" s="228"/>
      <c r="U375" s="228"/>
      <c r="V375" s="228"/>
      <c r="X375" s="228"/>
      <c r="Y375" s="228"/>
      <c r="Z375" s="228"/>
      <c r="AA375" s="229"/>
    </row>
    <row r="376" spans="1:27" x14ac:dyDescent="0.35">
      <c r="A376">
        <v>375</v>
      </c>
      <c r="B376" s="184" t="s">
        <v>542</v>
      </c>
      <c r="C376" s="285">
        <v>10278</v>
      </c>
      <c r="D376" s="285">
        <v>793</v>
      </c>
      <c r="E376" s="285">
        <v>3811</v>
      </c>
      <c r="F376" s="285">
        <v>5541</v>
      </c>
      <c r="G376" s="285"/>
      <c r="H376" s="285"/>
      <c r="I376" s="285"/>
      <c r="J376" s="285">
        <v>3411</v>
      </c>
      <c r="K376" s="321">
        <v>4808</v>
      </c>
      <c r="L376" s="285">
        <v>2059</v>
      </c>
      <c r="M376" s="352" t="s">
        <v>32</v>
      </c>
      <c r="O376" s="234"/>
      <c r="Q376" s="234"/>
      <c r="R376" s="234"/>
      <c r="S376" s="234"/>
      <c r="T376" s="234"/>
      <c r="U376" s="234"/>
      <c r="V376" s="234"/>
      <c r="X376" s="234"/>
      <c r="Y376" s="234"/>
      <c r="Z376" s="234"/>
      <c r="AA376" s="235"/>
    </row>
    <row r="377" spans="1:27" x14ac:dyDescent="0.35">
      <c r="A377">
        <v>376</v>
      </c>
      <c r="B377" s="184" t="s">
        <v>626</v>
      </c>
      <c r="C377" s="285">
        <v>6023</v>
      </c>
      <c r="D377" s="285">
        <v>1051</v>
      </c>
      <c r="E377" s="285">
        <v>3730</v>
      </c>
      <c r="F377" s="285">
        <v>8399</v>
      </c>
      <c r="G377" s="285"/>
      <c r="H377" s="285"/>
      <c r="I377" s="285"/>
      <c r="J377" s="285">
        <v>715</v>
      </c>
      <c r="K377" s="321">
        <v>3548</v>
      </c>
      <c r="L377" s="285">
        <v>1760</v>
      </c>
      <c r="M377" s="352" t="s">
        <v>32</v>
      </c>
      <c r="O377" s="234"/>
      <c r="Q377" s="234"/>
      <c r="R377" s="234"/>
      <c r="S377" s="234"/>
      <c r="T377" s="234"/>
      <c r="U377" s="234"/>
      <c r="V377" s="234"/>
      <c r="X377" s="234"/>
      <c r="Y377" s="234"/>
      <c r="Z377" s="234"/>
      <c r="AA377" s="235"/>
    </row>
    <row r="378" spans="1:27" x14ac:dyDescent="0.35">
      <c r="A378">
        <v>377</v>
      </c>
      <c r="B378" s="184" t="s">
        <v>545</v>
      </c>
      <c r="C378" s="285">
        <v>3992</v>
      </c>
      <c r="D378" s="285">
        <v>229</v>
      </c>
      <c r="E378" s="285">
        <v>437</v>
      </c>
      <c r="F378" s="285">
        <v>4518</v>
      </c>
      <c r="G378" s="285"/>
      <c r="H378" s="285"/>
      <c r="I378" s="285"/>
      <c r="J378" s="285">
        <v>1094</v>
      </c>
      <c r="K378" s="321">
        <v>1911</v>
      </c>
      <c r="L378" s="285">
        <v>987</v>
      </c>
      <c r="M378" s="352" t="s">
        <v>32</v>
      </c>
      <c r="O378" s="228"/>
      <c r="Q378" s="228"/>
      <c r="R378" s="228"/>
      <c r="S378" s="228"/>
      <c r="T378" s="228"/>
      <c r="U378" s="228"/>
      <c r="V378" s="228"/>
      <c r="X378" s="228"/>
      <c r="Y378" s="228"/>
      <c r="Z378" s="228"/>
      <c r="AA378" s="229"/>
    </row>
    <row r="379" spans="1:27" x14ac:dyDescent="0.35">
      <c r="A379">
        <v>378</v>
      </c>
      <c r="B379" s="184" t="s">
        <v>548</v>
      </c>
      <c r="C379" s="285">
        <v>3461</v>
      </c>
      <c r="D379" s="285">
        <v>117</v>
      </c>
      <c r="E379" s="285">
        <v>264</v>
      </c>
      <c r="F379" s="285">
        <v>2585</v>
      </c>
      <c r="G379" s="285"/>
      <c r="H379" s="285"/>
      <c r="I379" s="285"/>
      <c r="J379" s="285">
        <v>196</v>
      </c>
      <c r="K379" s="321">
        <v>2261</v>
      </c>
      <c r="L379" s="285">
        <v>1004</v>
      </c>
      <c r="M379" s="352" t="s">
        <v>32</v>
      </c>
      <c r="O379" s="234"/>
      <c r="Q379" s="234"/>
      <c r="R379" s="234"/>
      <c r="S379" s="234"/>
      <c r="T379" s="234"/>
      <c r="U379" s="234"/>
      <c r="V379" s="234"/>
      <c r="X379" s="234"/>
      <c r="Y379" s="234"/>
      <c r="Z379" s="234"/>
      <c r="AA379" s="235"/>
    </row>
    <row r="380" spans="1:27" x14ac:dyDescent="0.35">
      <c r="A380">
        <v>379</v>
      </c>
      <c r="B380" s="184" t="s">
        <v>546</v>
      </c>
      <c r="C380" s="285">
        <v>3112</v>
      </c>
      <c r="D380" s="285">
        <v>125</v>
      </c>
      <c r="E380" s="285">
        <v>110</v>
      </c>
      <c r="F380" s="285">
        <v>3963</v>
      </c>
      <c r="G380" s="285"/>
      <c r="H380" s="285"/>
      <c r="I380" s="285"/>
      <c r="J380" s="285">
        <v>118</v>
      </c>
      <c r="K380" s="321">
        <v>878</v>
      </c>
      <c r="L380" s="285">
        <v>2116</v>
      </c>
      <c r="M380" s="352" t="s">
        <v>32</v>
      </c>
      <c r="O380" s="234"/>
      <c r="Q380" s="234"/>
      <c r="R380" s="234"/>
      <c r="S380" s="234"/>
      <c r="T380" s="234"/>
      <c r="U380" s="234"/>
      <c r="V380" s="234"/>
      <c r="X380" s="228"/>
      <c r="Y380" s="228"/>
      <c r="Z380" s="228"/>
      <c r="AA380" s="229"/>
    </row>
    <row r="381" spans="1:27" x14ac:dyDescent="0.35">
      <c r="A381">
        <v>380</v>
      </c>
      <c r="B381" s="184" t="s">
        <v>538</v>
      </c>
      <c r="C381" s="285">
        <v>3055</v>
      </c>
      <c r="D381" s="285">
        <v>274</v>
      </c>
      <c r="E381" s="285">
        <v>386</v>
      </c>
      <c r="F381" s="285">
        <v>4589</v>
      </c>
      <c r="G381" s="285"/>
      <c r="H381" s="285"/>
      <c r="I381" s="285"/>
      <c r="J381" s="285">
        <v>258</v>
      </c>
      <c r="K381" s="321">
        <v>1406</v>
      </c>
      <c r="L381" s="285">
        <v>1391</v>
      </c>
      <c r="M381" s="352" t="s">
        <v>32</v>
      </c>
      <c r="O381" s="228"/>
      <c r="Q381" s="228"/>
      <c r="R381" s="228"/>
      <c r="S381" s="228"/>
      <c r="T381" s="228"/>
      <c r="U381" s="228"/>
      <c r="V381" s="228"/>
      <c r="X381" s="234"/>
      <c r="Y381" s="234"/>
      <c r="Z381" s="234"/>
      <c r="AA381" s="235"/>
    </row>
    <row r="382" spans="1:27" x14ac:dyDescent="0.35">
      <c r="A382">
        <v>381</v>
      </c>
      <c r="B382" s="184" t="s">
        <v>539</v>
      </c>
      <c r="C382" s="285">
        <v>173</v>
      </c>
      <c r="D382" s="285">
        <v>531</v>
      </c>
      <c r="E382" s="285">
        <v>44</v>
      </c>
      <c r="F382" s="285">
        <v>521</v>
      </c>
      <c r="G382" s="285"/>
      <c r="H382" s="285"/>
      <c r="I382" s="285"/>
      <c r="J382" s="285">
        <v>40</v>
      </c>
      <c r="K382" s="321">
        <v>83</v>
      </c>
      <c r="L382" s="285">
        <v>50</v>
      </c>
      <c r="M382" s="352" t="s">
        <v>32</v>
      </c>
      <c r="O382" s="234"/>
      <c r="Q382" s="234"/>
      <c r="R382" s="234"/>
      <c r="S382" s="234"/>
      <c r="T382" s="234"/>
      <c r="U382" s="234"/>
      <c r="V382" s="234"/>
      <c r="X382" s="234"/>
      <c r="Y382" s="234"/>
      <c r="Z382" s="234"/>
      <c r="AA382" s="235"/>
    </row>
    <row r="383" spans="1:27" x14ac:dyDescent="0.35">
      <c r="A383">
        <v>382</v>
      </c>
      <c r="B383" s="184" t="s">
        <v>1323</v>
      </c>
      <c r="C383" s="285">
        <v>158</v>
      </c>
      <c r="D383" s="285">
        <v>259</v>
      </c>
      <c r="E383" s="285">
        <v>26</v>
      </c>
      <c r="F383" s="285">
        <v>277</v>
      </c>
      <c r="G383" s="285"/>
      <c r="H383" s="285"/>
      <c r="I383" s="285"/>
      <c r="J383" s="285">
        <v>16</v>
      </c>
      <c r="K383" s="321">
        <v>102</v>
      </c>
      <c r="L383" s="285">
        <v>40</v>
      </c>
      <c r="M383" s="352" t="s">
        <v>32</v>
      </c>
      <c r="O383" s="234"/>
      <c r="Q383" s="234"/>
      <c r="R383" s="234"/>
      <c r="S383" s="234"/>
      <c r="T383" s="234"/>
      <c r="U383" s="234"/>
      <c r="V383" s="234"/>
      <c r="X383" s="234"/>
      <c r="Y383" s="234"/>
      <c r="Z383" s="234"/>
      <c r="AA383" s="235"/>
    </row>
    <row r="384" spans="1:27" x14ac:dyDescent="0.35">
      <c r="A384">
        <v>383</v>
      </c>
      <c r="B384" s="184" t="s">
        <v>628</v>
      </c>
      <c r="C384" s="285">
        <v>69</v>
      </c>
      <c r="D384" s="285">
        <v>175</v>
      </c>
      <c r="E384" s="285">
        <v>3</v>
      </c>
      <c r="F384" s="285">
        <v>99</v>
      </c>
      <c r="G384" s="285"/>
      <c r="H384" s="285"/>
      <c r="I384" s="285"/>
      <c r="J384" s="285">
        <v>28</v>
      </c>
      <c r="K384" s="321">
        <v>17</v>
      </c>
      <c r="L384" s="285">
        <v>24</v>
      </c>
      <c r="M384" s="352" t="s">
        <v>32</v>
      </c>
      <c r="O384" s="234"/>
      <c r="Q384" s="234"/>
      <c r="R384" s="234"/>
      <c r="S384" s="234"/>
      <c r="T384" s="234"/>
      <c r="U384" s="234"/>
      <c r="V384" s="234"/>
      <c r="X384" s="234"/>
      <c r="Y384" s="234"/>
      <c r="Z384" s="234"/>
      <c r="AA384" s="235"/>
    </row>
    <row r="385" spans="1:27" x14ac:dyDescent="0.35">
      <c r="A385">
        <v>384</v>
      </c>
      <c r="B385" s="184" t="s">
        <v>627</v>
      </c>
      <c r="C385" s="285">
        <v>51</v>
      </c>
      <c r="D385" s="285">
        <v>879</v>
      </c>
      <c r="E385" s="285">
        <v>16</v>
      </c>
      <c r="F385" s="285">
        <v>46</v>
      </c>
      <c r="G385" s="285"/>
      <c r="H385" s="285"/>
      <c r="I385" s="285"/>
      <c r="J385" s="285">
        <v>3</v>
      </c>
      <c r="K385" s="321">
        <v>18</v>
      </c>
      <c r="L385" s="285">
        <v>30</v>
      </c>
      <c r="M385" s="352" t="s">
        <v>32</v>
      </c>
      <c r="O385" s="234"/>
      <c r="Q385" s="234"/>
      <c r="R385" s="234"/>
      <c r="S385" s="234"/>
      <c r="T385" s="234"/>
      <c r="U385" s="234"/>
      <c r="V385" s="234"/>
      <c r="X385" s="234"/>
      <c r="Y385" s="234"/>
      <c r="Z385" s="234"/>
      <c r="AA385" s="235"/>
    </row>
    <row r="386" spans="1:27" x14ac:dyDescent="0.35">
      <c r="A386">
        <v>385</v>
      </c>
      <c r="B386" s="184" t="s">
        <v>543</v>
      </c>
      <c r="C386" s="285">
        <v>30</v>
      </c>
      <c r="D386" s="285">
        <v>584</v>
      </c>
      <c r="E386" s="285">
        <v>11</v>
      </c>
      <c r="F386" s="285">
        <v>174</v>
      </c>
      <c r="G386" s="285"/>
      <c r="H386" s="285"/>
      <c r="I386" s="285"/>
      <c r="J386" s="285">
        <v>1</v>
      </c>
      <c r="K386" s="321">
        <v>19</v>
      </c>
      <c r="L386" s="285">
        <v>10</v>
      </c>
      <c r="M386" s="352" t="s">
        <v>32</v>
      </c>
      <c r="O386" s="228"/>
      <c r="Q386" s="234"/>
      <c r="R386" s="234"/>
      <c r="S386" s="234"/>
      <c r="T386" s="234"/>
      <c r="U386" s="234"/>
      <c r="V386" s="234"/>
      <c r="X386" s="234"/>
      <c r="Y386" s="234"/>
      <c r="Z386" s="234"/>
      <c r="AA386" s="235"/>
    </row>
    <row r="387" spans="1:27" x14ac:dyDescent="0.35">
      <c r="A387">
        <v>386</v>
      </c>
      <c r="B387" s="168" t="s">
        <v>549</v>
      </c>
      <c r="C387" s="310">
        <v>38</v>
      </c>
      <c r="D387" s="310">
        <v>364</v>
      </c>
      <c r="E387" s="310">
        <v>5</v>
      </c>
      <c r="F387" s="310">
        <v>115</v>
      </c>
      <c r="G387" s="310"/>
      <c r="H387" s="310"/>
      <c r="I387" s="310"/>
      <c r="J387" s="310">
        <v>13</v>
      </c>
      <c r="K387" s="340">
        <v>14</v>
      </c>
      <c r="L387" s="310">
        <v>10</v>
      </c>
      <c r="M387" s="352" t="s">
        <v>33</v>
      </c>
      <c r="O387" s="228"/>
      <c r="Q387" s="228"/>
      <c r="R387" s="228"/>
      <c r="S387" s="228"/>
      <c r="T387" s="228"/>
      <c r="U387" s="228"/>
      <c r="V387" s="228"/>
      <c r="X387" s="228"/>
      <c r="Y387" s="228"/>
      <c r="Z387" s="228"/>
      <c r="AA387" s="229"/>
    </row>
    <row r="388" spans="1:27" x14ac:dyDescent="0.35">
      <c r="A388">
        <v>387</v>
      </c>
      <c r="B388" s="168" t="s">
        <v>554</v>
      </c>
      <c r="C388" s="310">
        <f>9608+2053+1190</f>
        <v>12851</v>
      </c>
      <c r="D388" s="310">
        <f>531+516+246</f>
        <v>1293</v>
      </c>
      <c r="E388" s="310">
        <f>2365+1060+150</f>
        <v>3575</v>
      </c>
      <c r="F388" s="310">
        <f>12741+2400+952</f>
        <v>16093</v>
      </c>
      <c r="G388" s="310"/>
      <c r="H388" s="310"/>
      <c r="I388" s="310"/>
      <c r="J388" s="310">
        <v>1340</v>
      </c>
      <c r="K388" s="340">
        <f>4456+2053+610</f>
        <v>7119</v>
      </c>
      <c r="L388" s="310">
        <f>3812+580</f>
        <v>4392</v>
      </c>
      <c r="M388" s="352" t="s">
        <v>33</v>
      </c>
      <c r="O388" s="228"/>
      <c r="Q388" s="228"/>
      <c r="R388" s="228"/>
      <c r="S388" s="228"/>
      <c r="T388" s="228"/>
      <c r="U388" s="228"/>
      <c r="V388" s="228"/>
      <c r="X388" s="228"/>
      <c r="Y388" s="228"/>
      <c r="Z388" s="228"/>
      <c r="AA388" s="229"/>
    </row>
    <row r="389" spans="1:27" x14ac:dyDescent="0.35">
      <c r="A389">
        <v>388</v>
      </c>
      <c r="B389" s="168" t="s">
        <v>557</v>
      </c>
      <c r="C389" s="310">
        <v>5234</v>
      </c>
      <c r="D389" s="310">
        <v>219</v>
      </c>
      <c r="E389" s="310">
        <v>379</v>
      </c>
      <c r="F389" s="310">
        <v>3915</v>
      </c>
      <c r="G389" s="310"/>
      <c r="H389" s="310"/>
      <c r="I389" s="310"/>
      <c r="J389" s="310">
        <v>2807</v>
      </c>
      <c r="K389" s="340">
        <v>1729</v>
      </c>
      <c r="L389" s="310">
        <v>699</v>
      </c>
      <c r="M389" s="352" t="s">
        <v>33</v>
      </c>
      <c r="O389" s="228"/>
      <c r="Q389" s="228"/>
      <c r="R389" s="228"/>
      <c r="S389" s="228"/>
      <c r="T389" s="228"/>
      <c r="U389" s="228"/>
      <c r="V389" s="228"/>
      <c r="X389" s="228"/>
      <c r="Y389" s="228"/>
      <c r="Z389" s="228"/>
      <c r="AA389" s="229"/>
    </row>
    <row r="390" spans="1:27" x14ac:dyDescent="0.35">
      <c r="A390">
        <v>389</v>
      </c>
      <c r="B390" s="168" t="s">
        <v>556</v>
      </c>
      <c r="C390" s="310">
        <v>4687</v>
      </c>
      <c r="D390" s="310">
        <v>877</v>
      </c>
      <c r="E390" s="310">
        <v>2282</v>
      </c>
      <c r="F390" s="310">
        <v>8367</v>
      </c>
      <c r="G390" s="310"/>
      <c r="H390" s="310"/>
      <c r="I390" s="310"/>
      <c r="J390" s="310">
        <v>953</v>
      </c>
      <c r="K390" s="340">
        <v>2602</v>
      </c>
      <c r="L390" s="310">
        <v>1132</v>
      </c>
      <c r="M390" s="352" t="s">
        <v>33</v>
      </c>
      <c r="O390" s="232"/>
      <c r="Q390" s="232"/>
      <c r="R390" s="232"/>
      <c r="S390" s="232"/>
      <c r="T390" s="232"/>
      <c r="U390" s="232"/>
      <c r="V390" s="232"/>
      <c r="X390" s="232"/>
      <c r="Y390" s="232"/>
      <c r="Z390" s="232"/>
      <c r="AA390" s="233"/>
    </row>
    <row r="391" spans="1:27" x14ac:dyDescent="0.35">
      <c r="A391">
        <v>390</v>
      </c>
      <c r="B391" s="168" t="s">
        <v>558</v>
      </c>
      <c r="C391" s="310">
        <f>4066+13</f>
        <v>4079</v>
      </c>
      <c r="D391" s="310">
        <f>913+308</f>
        <v>1221</v>
      </c>
      <c r="E391" s="310">
        <f>1829+4</f>
        <v>1833</v>
      </c>
      <c r="F391" s="310">
        <f>2771+10</f>
        <v>2781</v>
      </c>
      <c r="G391" s="310"/>
      <c r="H391" s="310"/>
      <c r="I391" s="310"/>
      <c r="J391" s="310">
        <v>795</v>
      </c>
      <c r="K391" s="340">
        <f>2002+13</f>
        <v>2015</v>
      </c>
      <c r="L391" s="310">
        <v>1269</v>
      </c>
      <c r="M391" s="352" t="s">
        <v>33</v>
      </c>
      <c r="O391" s="228"/>
      <c r="Q391" s="232"/>
      <c r="R391" s="232"/>
      <c r="S391" s="232"/>
      <c r="T391" s="232"/>
      <c r="U391" s="232"/>
      <c r="V391" s="232"/>
      <c r="X391" s="232"/>
      <c r="Y391" s="232"/>
      <c r="Z391" s="232"/>
      <c r="AA391" s="233"/>
    </row>
    <row r="392" spans="1:27" x14ac:dyDescent="0.35">
      <c r="A392">
        <v>391</v>
      </c>
      <c r="B392" s="168" t="s">
        <v>555</v>
      </c>
      <c r="C392" s="310">
        <v>1008</v>
      </c>
      <c r="D392" s="310">
        <v>505</v>
      </c>
      <c r="E392" s="310">
        <v>275</v>
      </c>
      <c r="F392" s="310">
        <v>4583</v>
      </c>
      <c r="G392" s="310"/>
      <c r="H392" s="310"/>
      <c r="I392" s="310"/>
      <c r="J392" s="310">
        <v>143</v>
      </c>
      <c r="K392" s="340">
        <v>545</v>
      </c>
      <c r="L392" s="310">
        <v>319</v>
      </c>
      <c r="M392" s="352" t="s">
        <v>33</v>
      </c>
      <c r="O392" s="234"/>
      <c r="Q392" s="234"/>
      <c r="R392" s="234"/>
      <c r="S392" s="234"/>
      <c r="T392" s="234"/>
      <c r="U392" s="234"/>
      <c r="V392" s="234"/>
      <c r="X392" s="234"/>
      <c r="Y392" s="234"/>
      <c r="Z392" s="234"/>
      <c r="AA392" s="235"/>
    </row>
    <row r="393" spans="1:27" x14ac:dyDescent="0.35">
      <c r="A393">
        <v>392</v>
      </c>
      <c r="B393" s="168" t="s">
        <v>559</v>
      </c>
      <c r="C393" s="310">
        <v>188</v>
      </c>
      <c r="D393" s="310">
        <v>789</v>
      </c>
      <c r="E393" s="310">
        <v>47</v>
      </c>
      <c r="F393" s="310">
        <v>258</v>
      </c>
      <c r="G393" s="310"/>
      <c r="H393" s="310"/>
      <c r="I393" s="310"/>
      <c r="J393" s="310">
        <v>34</v>
      </c>
      <c r="K393" s="340">
        <v>59</v>
      </c>
      <c r="L393" s="310">
        <v>95</v>
      </c>
      <c r="M393" s="352" t="s">
        <v>33</v>
      </c>
      <c r="O393" s="228"/>
      <c r="Q393" s="228"/>
      <c r="R393" s="228"/>
      <c r="S393" s="228"/>
      <c r="T393" s="228"/>
      <c r="U393" s="228"/>
      <c r="V393" s="228"/>
      <c r="X393" s="228"/>
      <c r="Y393" s="228"/>
      <c r="Z393" s="228"/>
      <c r="AA393" s="229"/>
    </row>
    <row r="394" spans="1:27" x14ac:dyDescent="0.35">
      <c r="A394">
        <v>393</v>
      </c>
      <c r="B394" s="168" t="s">
        <v>550</v>
      </c>
      <c r="C394" s="310">
        <v>71</v>
      </c>
      <c r="D394" s="310">
        <v>366</v>
      </c>
      <c r="E394" s="310">
        <v>7</v>
      </c>
      <c r="F394" s="310">
        <v>109</v>
      </c>
      <c r="G394" s="310"/>
      <c r="H394" s="310"/>
      <c r="I394" s="310"/>
      <c r="J394" s="310">
        <v>25</v>
      </c>
      <c r="K394" s="340">
        <v>20</v>
      </c>
      <c r="L394" s="310">
        <v>27</v>
      </c>
      <c r="M394" s="352" t="s">
        <v>33</v>
      </c>
      <c r="O394" s="228"/>
      <c r="Q394" s="234"/>
      <c r="R394" s="234"/>
      <c r="S394" s="234"/>
      <c r="T394" s="234"/>
      <c r="U394" s="234"/>
      <c r="V394" s="234"/>
      <c r="X394" s="234"/>
      <c r="Y394" s="234"/>
      <c r="Z394" s="234"/>
      <c r="AA394" s="235"/>
    </row>
    <row r="395" spans="1:27" x14ac:dyDescent="0.35">
      <c r="A395">
        <v>394</v>
      </c>
      <c r="B395" s="168" t="s">
        <v>551</v>
      </c>
      <c r="C395" s="310">
        <v>3</v>
      </c>
      <c r="D395" s="310">
        <v>615</v>
      </c>
      <c r="E395" s="310">
        <v>1</v>
      </c>
      <c r="F395" s="310">
        <v>27</v>
      </c>
      <c r="G395" s="310"/>
      <c r="H395" s="310"/>
      <c r="I395" s="310"/>
      <c r="J395" s="310">
        <v>0</v>
      </c>
      <c r="K395" s="340">
        <v>2</v>
      </c>
      <c r="L395" s="310">
        <v>1</v>
      </c>
      <c r="M395" s="352" t="s">
        <v>33</v>
      </c>
      <c r="O395" s="234"/>
      <c r="Q395" s="234"/>
      <c r="R395" s="234"/>
      <c r="S395" s="234"/>
      <c r="T395" s="234"/>
      <c r="U395" s="234"/>
      <c r="V395" s="234"/>
      <c r="X395" s="228"/>
      <c r="Y395" s="228"/>
      <c r="Z395" s="228"/>
      <c r="AA395" s="229"/>
    </row>
    <row r="396" spans="1:27" x14ac:dyDescent="0.35">
      <c r="A396">
        <v>395</v>
      </c>
      <c r="B396" s="168" t="s">
        <v>553</v>
      </c>
      <c r="C396" s="310">
        <v>0</v>
      </c>
      <c r="D396" s="409"/>
      <c r="E396" s="409"/>
      <c r="F396" s="310">
        <v>10</v>
      </c>
      <c r="G396" s="409"/>
      <c r="H396" s="409"/>
      <c r="I396" s="409"/>
      <c r="J396" s="310">
        <v>0</v>
      </c>
      <c r="K396" s="410"/>
      <c r="L396" s="409"/>
      <c r="M396" s="352" t="s">
        <v>33</v>
      </c>
      <c r="O396" s="228"/>
      <c r="Q396" s="234"/>
      <c r="R396" s="234"/>
      <c r="S396" s="234"/>
      <c r="T396" s="234"/>
      <c r="U396" s="234"/>
      <c r="V396" s="234"/>
      <c r="X396" s="234"/>
      <c r="Y396" s="234"/>
      <c r="Z396" s="234"/>
      <c r="AA396" s="235"/>
    </row>
    <row r="397" spans="1:27" x14ac:dyDescent="0.35">
      <c r="A397">
        <v>396</v>
      </c>
      <c r="B397" s="168" t="s">
        <v>552</v>
      </c>
      <c r="C397" s="409"/>
      <c r="D397" s="409"/>
      <c r="E397" s="409"/>
      <c r="F397" s="409"/>
      <c r="G397" s="409"/>
      <c r="H397" s="409"/>
      <c r="I397" s="409"/>
      <c r="J397" s="409"/>
      <c r="K397" s="410"/>
      <c r="L397" s="409"/>
      <c r="M397" s="352" t="s">
        <v>33</v>
      </c>
      <c r="O397" s="228"/>
      <c r="Q397" s="228"/>
      <c r="R397" s="228"/>
      <c r="S397" s="228"/>
      <c r="T397" s="228"/>
      <c r="U397" s="228"/>
      <c r="V397" s="228"/>
      <c r="X397" s="230"/>
      <c r="Y397" s="230"/>
      <c r="Z397" s="230"/>
      <c r="AA397" s="231"/>
    </row>
    <row r="398" spans="1:27" x14ac:dyDescent="0.35">
      <c r="A398">
        <v>397</v>
      </c>
      <c r="B398" s="257" t="s">
        <v>560</v>
      </c>
      <c r="C398" s="311">
        <v>5895</v>
      </c>
      <c r="D398" s="311">
        <v>423</v>
      </c>
      <c r="E398" s="311">
        <v>764</v>
      </c>
      <c r="F398" s="311">
        <v>5930</v>
      </c>
      <c r="G398" s="311"/>
      <c r="H398" s="311"/>
      <c r="I398" s="311"/>
      <c r="J398" s="311">
        <v>1250</v>
      </c>
      <c r="K398" s="341">
        <v>1804</v>
      </c>
      <c r="L398" s="311">
        <v>2841</v>
      </c>
      <c r="M398" s="352" t="s">
        <v>34</v>
      </c>
      <c r="O398" s="272"/>
      <c r="Q398" s="272"/>
      <c r="R398" s="272"/>
      <c r="S398" s="272"/>
      <c r="T398" s="272"/>
      <c r="U398" s="272"/>
      <c r="V398" s="272"/>
      <c r="X398" s="272"/>
      <c r="Y398" s="272"/>
      <c r="Z398" s="272"/>
      <c r="AA398" s="273"/>
    </row>
    <row r="399" spans="1:27" x14ac:dyDescent="0.35">
      <c r="A399">
        <v>398</v>
      </c>
      <c r="B399" s="257" t="s">
        <v>566</v>
      </c>
      <c r="C399" s="311">
        <v>6783</v>
      </c>
      <c r="D399" s="311">
        <v>777</v>
      </c>
      <c r="E399" s="311">
        <v>2642</v>
      </c>
      <c r="F399" s="311">
        <v>3288</v>
      </c>
      <c r="G399" s="311"/>
      <c r="H399" s="311"/>
      <c r="I399" s="311"/>
      <c r="J399" s="311">
        <v>1753</v>
      </c>
      <c r="K399" s="341">
        <v>3398</v>
      </c>
      <c r="L399" s="311">
        <v>1632</v>
      </c>
      <c r="M399" s="352" t="s">
        <v>34</v>
      </c>
      <c r="O399" s="274"/>
      <c r="Q399" s="274"/>
      <c r="R399" s="274"/>
      <c r="S399" s="274"/>
      <c r="T399" s="274"/>
      <c r="U399" s="274"/>
      <c r="V399" s="274"/>
      <c r="X399" s="274"/>
      <c r="Y399" s="274"/>
      <c r="Z399" s="274"/>
      <c r="AA399" s="275"/>
    </row>
    <row r="400" spans="1:27" x14ac:dyDescent="0.35">
      <c r="A400">
        <v>399</v>
      </c>
      <c r="B400" s="257" t="s">
        <v>569</v>
      </c>
      <c r="C400" s="311">
        <v>5980</v>
      </c>
      <c r="D400" s="311">
        <v>675</v>
      </c>
      <c r="E400" s="311">
        <v>1789</v>
      </c>
      <c r="F400" s="311">
        <v>2287</v>
      </c>
      <c r="G400" s="311"/>
      <c r="H400" s="311"/>
      <c r="I400" s="311"/>
      <c r="J400" s="311">
        <v>2003</v>
      </c>
      <c r="K400" s="341">
        <v>2650</v>
      </c>
      <c r="L400" s="311">
        <v>1327</v>
      </c>
      <c r="M400" s="352" t="s">
        <v>34</v>
      </c>
      <c r="O400" s="272"/>
      <c r="Q400" s="272"/>
      <c r="R400" s="272"/>
      <c r="S400" s="272"/>
      <c r="T400" s="272"/>
      <c r="U400" s="272"/>
      <c r="V400" s="272"/>
      <c r="X400" s="274"/>
      <c r="Y400" s="274"/>
      <c r="Z400" s="274"/>
      <c r="AA400" s="275"/>
    </row>
    <row r="401" spans="1:27" x14ac:dyDescent="0.35">
      <c r="A401">
        <v>400</v>
      </c>
      <c r="B401" s="257" t="s">
        <v>564</v>
      </c>
      <c r="C401" s="311">
        <v>4360</v>
      </c>
      <c r="D401" s="311">
        <v>710</v>
      </c>
      <c r="E401" s="311">
        <v>1369</v>
      </c>
      <c r="F401" s="311">
        <v>2889</v>
      </c>
      <c r="G401" s="311"/>
      <c r="H401" s="311"/>
      <c r="I401" s="311"/>
      <c r="J401" s="311">
        <v>1524</v>
      </c>
      <c r="K401" s="341">
        <v>1929</v>
      </c>
      <c r="L401" s="311">
        <v>907</v>
      </c>
      <c r="M401" s="352" t="s">
        <v>34</v>
      </c>
      <c r="O401" s="274"/>
      <c r="Q401" s="274"/>
      <c r="R401" s="274"/>
      <c r="S401" s="274"/>
      <c r="T401" s="274"/>
      <c r="U401" s="274"/>
      <c r="V401" s="274"/>
      <c r="X401" s="274"/>
      <c r="Y401" s="274"/>
      <c r="Z401" s="274"/>
      <c r="AA401" s="275"/>
    </row>
    <row r="402" spans="1:27" x14ac:dyDescent="0.35">
      <c r="A402">
        <v>401</v>
      </c>
      <c r="B402" s="257" t="s">
        <v>562</v>
      </c>
      <c r="C402" s="311">
        <v>4120</v>
      </c>
      <c r="D402" s="311">
        <v>1135</v>
      </c>
      <c r="E402" s="311">
        <v>1546</v>
      </c>
      <c r="F402" s="311">
        <v>3458</v>
      </c>
      <c r="G402" s="311"/>
      <c r="H402" s="311"/>
      <c r="I402" s="311"/>
      <c r="J402" s="311">
        <v>1851</v>
      </c>
      <c r="K402" s="341">
        <v>1362</v>
      </c>
      <c r="L402" s="311">
        <v>907</v>
      </c>
      <c r="M402" s="352" t="s">
        <v>34</v>
      </c>
      <c r="O402" s="272"/>
      <c r="Q402" s="272"/>
      <c r="R402" s="272"/>
      <c r="S402" s="272"/>
      <c r="T402" s="272"/>
      <c r="U402" s="272"/>
      <c r="V402" s="272"/>
      <c r="X402" s="274"/>
      <c r="Y402" s="274"/>
      <c r="Z402" s="274"/>
      <c r="AA402" s="275"/>
    </row>
    <row r="403" spans="1:27" x14ac:dyDescent="0.35">
      <c r="A403">
        <v>402</v>
      </c>
      <c r="B403" s="257" t="s">
        <v>565</v>
      </c>
      <c r="C403" s="311">
        <v>3426</v>
      </c>
      <c r="D403" s="311">
        <v>190</v>
      </c>
      <c r="E403" s="311">
        <v>301</v>
      </c>
      <c r="F403" s="311">
        <v>2695</v>
      </c>
      <c r="G403" s="311"/>
      <c r="H403" s="311"/>
      <c r="I403" s="311"/>
      <c r="J403" s="311">
        <v>917</v>
      </c>
      <c r="K403" s="341">
        <v>1586</v>
      </c>
      <c r="L403" s="311">
        <v>923</v>
      </c>
      <c r="M403" s="352" t="s">
        <v>34</v>
      </c>
      <c r="O403" s="274"/>
      <c r="Q403" s="272"/>
      <c r="R403" s="272"/>
      <c r="S403" s="272"/>
      <c r="T403" s="272"/>
      <c r="U403" s="272"/>
      <c r="V403" s="272"/>
      <c r="X403" s="274"/>
      <c r="Y403" s="274"/>
      <c r="Z403" s="274"/>
      <c r="AA403" s="275"/>
    </row>
    <row r="404" spans="1:27" x14ac:dyDescent="0.35">
      <c r="A404">
        <v>403</v>
      </c>
      <c r="B404" s="257" t="s">
        <v>561</v>
      </c>
      <c r="C404" s="311">
        <v>1298</v>
      </c>
      <c r="D404" s="311">
        <v>152</v>
      </c>
      <c r="E404" s="311">
        <v>22</v>
      </c>
      <c r="F404" s="311">
        <v>2617</v>
      </c>
      <c r="G404" s="311"/>
      <c r="H404" s="311"/>
      <c r="I404" s="311"/>
      <c r="J404" s="311">
        <v>280</v>
      </c>
      <c r="K404" s="341">
        <v>147</v>
      </c>
      <c r="L404" s="311">
        <v>871</v>
      </c>
      <c r="M404" s="352" t="s">
        <v>34</v>
      </c>
      <c r="O404" s="272"/>
      <c r="Q404" s="272"/>
      <c r="R404" s="272"/>
      <c r="S404" s="272"/>
      <c r="T404" s="272"/>
      <c r="U404" s="272"/>
      <c r="V404" s="272"/>
      <c r="X404" s="272"/>
      <c r="Y404" s="272"/>
      <c r="Z404" s="272"/>
      <c r="AA404" s="273"/>
    </row>
    <row r="405" spans="1:27" x14ac:dyDescent="0.35">
      <c r="A405">
        <v>404</v>
      </c>
      <c r="B405" s="257" t="s">
        <v>567</v>
      </c>
      <c r="C405" s="311">
        <v>412</v>
      </c>
      <c r="D405" s="311">
        <v>193</v>
      </c>
      <c r="E405" s="311">
        <v>50</v>
      </c>
      <c r="F405" s="311">
        <v>757</v>
      </c>
      <c r="G405" s="311"/>
      <c r="H405" s="311"/>
      <c r="I405" s="311"/>
      <c r="J405" s="311">
        <v>60</v>
      </c>
      <c r="K405" s="341">
        <v>261</v>
      </c>
      <c r="L405" s="311">
        <v>91</v>
      </c>
      <c r="M405" s="352" t="s">
        <v>34</v>
      </c>
      <c r="O405" s="274"/>
      <c r="Q405" s="274"/>
      <c r="R405" s="274"/>
      <c r="S405" s="274"/>
      <c r="T405" s="274"/>
      <c r="U405" s="274"/>
      <c r="V405" s="274"/>
      <c r="X405" s="274"/>
      <c r="Y405" s="274"/>
      <c r="Z405" s="274"/>
      <c r="AA405" s="275"/>
    </row>
    <row r="406" spans="1:27" x14ac:dyDescent="0.35">
      <c r="A406">
        <v>405</v>
      </c>
      <c r="B406" s="257" t="s">
        <v>563</v>
      </c>
      <c r="C406" s="311">
        <v>136</v>
      </c>
      <c r="D406" s="311">
        <v>598</v>
      </c>
      <c r="E406" s="311">
        <v>36</v>
      </c>
      <c r="F406" s="311">
        <v>103</v>
      </c>
      <c r="G406" s="311"/>
      <c r="H406" s="311"/>
      <c r="I406" s="311"/>
      <c r="J406" s="311">
        <v>47</v>
      </c>
      <c r="K406" s="341">
        <v>61</v>
      </c>
      <c r="L406" s="311">
        <v>28</v>
      </c>
      <c r="M406" s="352" t="s">
        <v>34</v>
      </c>
      <c r="O406" s="274"/>
      <c r="Q406" s="274"/>
      <c r="R406" s="274"/>
      <c r="S406" s="274"/>
      <c r="T406" s="274"/>
      <c r="U406" s="274"/>
      <c r="V406" s="274"/>
      <c r="X406" s="274"/>
      <c r="Y406" s="274"/>
      <c r="Z406" s="274"/>
      <c r="AA406" s="275"/>
    </row>
    <row r="407" spans="1:27" x14ac:dyDescent="0.35">
      <c r="A407">
        <v>406</v>
      </c>
      <c r="B407" s="257" t="s">
        <v>568</v>
      </c>
      <c r="C407" s="311">
        <v>27</v>
      </c>
      <c r="D407" s="311">
        <v>506</v>
      </c>
      <c r="E407" s="311">
        <v>7</v>
      </c>
      <c r="F407" s="311">
        <v>25</v>
      </c>
      <c r="G407" s="311"/>
      <c r="H407" s="311"/>
      <c r="I407" s="311"/>
      <c r="J407" s="311">
        <v>5</v>
      </c>
      <c r="K407" s="341">
        <v>13</v>
      </c>
      <c r="L407" s="311">
        <v>9</v>
      </c>
      <c r="M407" s="352" t="s">
        <v>34</v>
      </c>
      <c r="O407" s="272"/>
      <c r="Q407" s="272"/>
      <c r="R407" s="272"/>
      <c r="S407" s="272"/>
      <c r="T407" s="272"/>
      <c r="U407" s="272"/>
      <c r="V407" s="272"/>
      <c r="X407" s="270"/>
      <c r="Y407" s="270"/>
      <c r="Z407" s="270"/>
      <c r="AA407" s="271"/>
    </row>
    <row r="408" spans="1:27" x14ac:dyDescent="0.35">
      <c r="A408">
        <v>407</v>
      </c>
      <c r="B408" s="254" t="s">
        <v>570</v>
      </c>
      <c r="C408" s="317">
        <v>14127</v>
      </c>
      <c r="D408" s="310">
        <v>761</v>
      </c>
      <c r="E408" s="310">
        <v>4043</v>
      </c>
      <c r="F408" s="310">
        <v>14327</v>
      </c>
      <c r="G408" s="310"/>
      <c r="H408" s="317"/>
      <c r="I408" s="310"/>
      <c r="J408" s="310">
        <v>5841</v>
      </c>
      <c r="K408" s="340">
        <v>5310</v>
      </c>
      <c r="L408" s="310">
        <v>2976</v>
      </c>
      <c r="M408" s="352" t="s">
        <v>35</v>
      </c>
      <c r="O408" s="272"/>
      <c r="Q408" s="272"/>
      <c r="R408" s="272"/>
      <c r="S408" s="272"/>
      <c r="T408" s="272"/>
      <c r="U408" s="272"/>
      <c r="V408" s="272"/>
      <c r="X408" s="272"/>
      <c r="Y408" s="272"/>
      <c r="Z408" s="272"/>
      <c r="AA408" s="273"/>
    </row>
    <row r="409" spans="1:27" x14ac:dyDescent="0.35">
      <c r="A409">
        <v>408</v>
      </c>
      <c r="B409" s="168" t="s">
        <v>571</v>
      </c>
      <c r="C409" s="317">
        <v>8448</v>
      </c>
      <c r="D409" s="310">
        <v>346</v>
      </c>
      <c r="E409" s="310">
        <v>1453</v>
      </c>
      <c r="F409" s="310">
        <v>9451</v>
      </c>
      <c r="G409" s="310"/>
      <c r="H409" s="317"/>
      <c r="I409" s="310"/>
      <c r="J409" s="310">
        <v>1460</v>
      </c>
      <c r="K409" s="340">
        <v>4205</v>
      </c>
      <c r="L409" s="310">
        <v>2783</v>
      </c>
      <c r="M409" s="352" t="s">
        <v>35</v>
      </c>
      <c r="O409" s="272"/>
      <c r="Q409" s="272"/>
      <c r="R409" s="272"/>
      <c r="S409" s="272"/>
      <c r="T409" s="272"/>
      <c r="U409" s="272"/>
      <c r="V409" s="272"/>
      <c r="X409" s="272"/>
      <c r="Y409" s="272"/>
      <c r="Z409" s="272"/>
      <c r="AA409" s="273"/>
    </row>
    <row r="410" spans="1:27" x14ac:dyDescent="0.35">
      <c r="A410">
        <v>409</v>
      </c>
      <c r="B410" s="168" t="s">
        <v>582</v>
      </c>
      <c r="C410" s="317">
        <f>1193+5000</f>
        <v>6193</v>
      </c>
      <c r="D410" s="310">
        <f>811+335</f>
        <v>1146</v>
      </c>
      <c r="E410" s="310">
        <f>391+1.675</f>
        <v>392.67500000000001</v>
      </c>
      <c r="F410" s="310">
        <f>864+4000</f>
        <v>4864</v>
      </c>
      <c r="G410" s="310"/>
      <c r="H410" s="317"/>
      <c r="I410" s="421"/>
      <c r="J410" s="310">
        <v>367</v>
      </c>
      <c r="K410" s="340">
        <f>483+5000</f>
        <v>5483</v>
      </c>
      <c r="L410" s="310">
        <v>343</v>
      </c>
      <c r="M410" s="352" t="s">
        <v>35</v>
      </c>
      <c r="O410" s="274"/>
      <c r="Q410" s="274"/>
      <c r="R410" s="274"/>
      <c r="S410" s="274"/>
      <c r="T410" s="274"/>
      <c r="U410" s="274"/>
      <c r="V410" s="274"/>
      <c r="X410" s="272"/>
      <c r="Y410" s="272"/>
      <c r="Z410" s="272"/>
      <c r="AA410" s="273"/>
    </row>
    <row r="411" spans="1:27" x14ac:dyDescent="0.35">
      <c r="A411">
        <v>410</v>
      </c>
      <c r="B411" s="168" t="s">
        <v>572</v>
      </c>
      <c r="C411" s="317">
        <v>3601</v>
      </c>
      <c r="D411" s="310">
        <v>673</v>
      </c>
      <c r="E411" s="310">
        <v>649</v>
      </c>
      <c r="F411" s="310">
        <v>3408</v>
      </c>
      <c r="G411" s="310"/>
      <c r="H411" s="317"/>
      <c r="I411" s="310"/>
      <c r="J411" s="310">
        <v>916</v>
      </c>
      <c r="K411" s="340">
        <v>964</v>
      </c>
      <c r="L411" s="310">
        <v>1721</v>
      </c>
      <c r="M411" s="352" t="s">
        <v>35</v>
      </c>
      <c r="O411" s="278"/>
      <c r="Q411" s="278"/>
      <c r="R411" s="278"/>
      <c r="S411" s="278"/>
      <c r="T411" s="278"/>
      <c r="U411" s="278"/>
      <c r="V411" s="278"/>
      <c r="X411" s="278"/>
      <c r="Y411" s="278"/>
      <c r="Z411" s="278"/>
      <c r="AA411" s="279"/>
    </row>
    <row r="412" spans="1:27" x14ac:dyDescent="0.35">
      <c r="A412">
        <v>411</v>
      </c>
      <c r="B412" s="168" t="s">
        <v>579</v>
      </c>
      <c r="C412" s="317">
        <v>3021</v>
      </c>
      <c r="D412" s="310">
        <v>930</v>
      </c>
      <c r="E412" s="310">
        <v>970</v>
      </c>
      <c r="F412" s="310">
        <v>4421</v>
      </c>
      <c r="G412" s="310"/>
      <c r="H412" s="317"/>
      <c r="I412" s="310"/>
      <c r="J412" s="310">
        <v>380</v>
      </c>
      <c r="K412" s="340">
        <v>1043</v>
      </c>
      <c r="L412" s="310">
        <v>1598</v>
      </c>
      <c r="M412" s="352" t="s">
        <v>35</v>
      </c>
      <c r="O412" s="274"/>
      <c r="Q412" s="274"/>
      <c r="R412" s="274"/>
      <c r="S412" s="274"/>
      <c r="T412" s="274"/>
      <c r="U412" s="274"/>
      <c r="V412" s="274"/>
      <c r="X412" s="274"/>
      <c r="Y412" s="274"/>
      <c r="Z412" s="274"/>
      <c r="AA412" s="275"/>
    </row>
    <row r="413" spans="1:27" x14ac:dyDescent="0.35">
      <c r="A413">
        <v>412</v>
      </c>
      <c r="B413" s="168" t="s">
        <v>577</v>
      </c>
      <c r="C413" s="317">
        <v>2045</v>
      </c>
      <c r="D413" s="310">
        <v>406</v>
      </c>
      <c r="E413" s="310">
        <v>160</v>
      </c>
      <c r="F413" s="310">
        <v>2633</v>
      </c>
      <c r="G413" s="310"/>
      <c r="H413" s="317"/>
      <c r="I413" s="310"/>
      <c r="J413" s="310">
        <v>682</v>
      </c>
      <c r="K413" s="340">
        <v>394</v>
      </c>
      <c r="L413" s="310">
        <v>969</v>
      </c>
      <c r="M413" s="352" t="s">
        <v>35</v>
      </c>
      <c r="O413" s="278"/>
      <c r="Q413" s="274"/>
      <c r="R413" s="274"/>
      <c r="S413" s="274"/>
      <c r="T413" s="274"/>
      <c r="U413" s="274"/>
      <c r="V413" s="274"/>
      <c r="X413" s="274"/>
      <c r="Y413" s="274"/>
      <c r="Z413" s="274"/>
      <c r="AA413" s="275"/>
    </row>
    <row r="414" spans="1:27" x14ac:dyDescent="0.35">
      <c r="A414">
        <v>413</v>
      </c>
      <c r="B414" s="168" t="s">
        <v>578</v>
      </c>
      <c r="C414" s="317">
        <v>925</v>
      </c>
      <c r="D414" s="310">
        <v>390</v>
      </c>
      <c r="E414" s="310">
        <v>243</v>
      </c>
      <c r="F414" s="310">
        <v>1250</v>
      </c>
      <c r="G414" s="310"/>
      <c r="H414" s="317"/>
      <c r="I414" s="310"/>
      <c r="J414" s="409"/>
      <c r="K414" s="340">
        <v>623</v>
      </c>
      <c r="L414" s="310">
        <v>302</v>
      </c>
      <c r="M414" s="352" t="s">
        <v>35</v>
      </c>
      <c r="O414" s="278"/>
      <c r="Q414" s="278"/>
      <c r="R414" s="278"/>
      <c r="S414" s="278"/>
      <c r="T414" s="278"/>
      <c r="U414" s="278"/>
      <c r="V414" s="278"/>
      <c r="X414" s="278"/>
      <c r="Y414" s="278"/>
      <c r="Z414" s="278"/>
      <c r="AA414" s="279"/>
    </row>
    <row r="415" spans="1:27" x14ac:dyDescent="0.35">
      <c r="A415">
        <v>414</v>
      </c>
      <c r="B415" s="168" t="s">
        <v>580</v>
      </c>
      <c r="C415" s="317">
        <v>373</v>
      </c>
      <c r="D415" s="310">
        <v>65</v>
      </c>
      <c r="E415" s="310">
        <v>9</v>
      </c>
      <c r="F415" s="310">
        <v>260</v>
      </c>
      <c r="G415" s="310"/>
      <c r="H415" s="317"/>
      <c r="I415" s="421"/>
      <c r="J415" s="310">
        <v>147</v>
      </c>
      <c r="K415" s="340">
        <v>138</v>
      </c>
      <c r="L415" s="310">
        <v>88</v>
      </c>
      <c r="M415" s="352" t="s">
        <v>35</v>
      </c>
      <c r="O415" s="274"/>
      <c r="Q415" s="274"/>
      <c r="R415" s="274"/>
      <c r="S415" s="274"/>
      <c r="T415" s="274"/>
      <c r="U415" s="274"/>
      <c r="V415" s="274"/>
      <c r="X415" s="274"/>
      <c r="Y415" s="274"/>
      <c r="Z415" s="274"/>
      <c r="AA415" s="275"/>
    </row>
    <row r="416" spans="1:27" x14ac:dyDescent="0.35">
      <c r="A416">
        <v>415</v>
      </c>
      <c r="B416" s="168" t="s">
        <v>630</v>
      </c>
      <c r="C416" s="317">
        <v>201</v>
      </c>
      <c r="D416" s="310">
        <v>491</v>
      </c>
      <c r="E416" s="310">
        <v>21</v>
      </c>
      <c r="F416" s="310">
        <v>290</v>
      </c>
      <c r="G416" s="310"/>
      <c r="H416" s="317"/>
      <c r="I416" s="421"/>
      <c r="J416" s="310">
        <v>84</v>
      </c>
      <c r="K416" s="340">
        <v>42</v>
      </c>
      <c r="L416" s="310">
        <v>75</v>
      </c>
      <c r="M416" s="352" t="s">
        <v>35</v>
      </c>
      <c r="O416" s="278"/>
      <c r="Q416" s="274"/>
      <c r="R416" s="274"/>
      <c r="S416" s="274"/>
      <c r="T416" s="274"/>
      <c r="U416" s="274"/>
      <c r="V416" s="274"/>
      <c r="X416" s="274"/>
      <c r="Y416" s="274"/>
      <c r="Z416" s="274"/>
      <c r="AA416" s="275"/>
    </row>
    <row r="417" spans="1:27" x14ac:dyDescent="0.35">
      <c r="A417">
        <v>416</v>
      </c>
      <c r="B417" s="168" t="s">
        <v>583</v>
      </c>
      <c r="C417" s="317">
        <v>84</v>
      </c>
      <c r="D417" s="310">
        <v>114</v>
      </c>
      <c r="E417" s="422">
        <v>4</v>
      </c>
      <c r="F417" s="310">
        <v>78</v>
      </c>
      <c r="G417" s="310"/>
      <c r="H417" s="317"/>
      <c r="I417" s="421"/>
      <c r="J417" s="310">
        <v>29</v>
      </c>
      <c r="K417" s="340">
        <v>33</v>
      </c>
      <c r="L417" s="310">
        <v>22</v>
      </c>
      <c r="M417" s="352" t="s">
        <v>35</v>
      </c>
      <c r="O417" s="274"/>
      <c r="Q417" s="272"/>
      <c r="R417" s="272"/>
      <c r="S417" s="272"/>
      <c r="T417" s="272"/>
      <c r="U417" s="272"/>
      <c r="V417" s="272"/>
      <c r="X417" s="272"/>
      <c r="Y417" s="272"/>
      <c r="Z417" s="272"/>
      <c r="AA417" s="273"/>
    </row>
    <row r="418" spans="1:27" x14ac:dyDescent="0.35">
      <c r="A418">
        <v>417</v>
      </c>
      <c r="B418" s="168" t="s">
        <v>575</v>
      </c>
      <c r="C418" s="317">
        <v>47</v>
      </c>
      <c r="D418" s="310">
        <v>108</v>
      </c>
      <c r="E418" s="310">
        <v>3</v>
      </c>
      <c r="F418" s="310">
        <v>64</v>
      </c>
      <c r="G418" s="310"/>
      <c r="H418" s="317"/>
      <c r="I418" s="310"/>
      <c r="J418" s="409"/>
      <c r="K418" s="340">
        <v>27</v>
      </c>
      <c r="L418" s="310">
        <v>20</v>
      </c>
      <c r="M418" s="352" t="s">
        <v>35</v>
      </c>
      <c r="O418" s="274"/>
      <c r="Q418" s="274"/>
      <c r="R418" s="274"/>
      <c r="S418" s="274"/>
      <c r="T418" s="274"/>
      <c r="U418" s="274"/>
      <c r="V418" s="274"/>
      <c r="X418" s="274"/>
      <c r="Y418" s="274"/>
      <c r="Z418" s="274"/>
      <c r="AA418" s="275"/>
    </row>
    <row r="419" spans="1:27" x14ac:dyDescent="0.35">
      <c r="A419">
        <v>418</v>
      </c>
      <c r="B419" s="168" t="s">
        <v>574</v>
      </c>
      <c r="C419" s="317">
        <v>40</v>
      </c>
      <c r="D419" s="310">
        <v>545</v>
      </c>
      <c r="E419" s="310">
        <v>4</v>
      </c>
      <c r="F419" s="310">
        <v>58</v>
      </c>
      <c r="G419" s="310"/>
      <c r="H419" s="317"/>
      <c r="I419" s="310"/>
      <c r="J419" s="310">
        <v>19</v>
      </c>
      <c r="K419" s="340">
        <v>8</v>
      </c>
      <c r="L419" s="310">
        <v>13</v>
      </c>
      <c r="M419" s="352" t="s">
        <v>35</v>
      </c>
      <c r="O419" s="278"/>
      <c r="Q419" s="278"/>
      <c r="R419" s="278"/>
      <c r="S419" s="278"/>
      <c r="T419" s="278"/>
      <c r="U419" s="278"/>
      <c r="V419" s="278"/>
      <c r="X419" s="278"/>
      <c r="Y419" s="278"/>
      <c r="Z419" s="278"/>
      <c r="AA419" s="279"/>
    </row>
    <row r="420" spans="1:27" x14ac:dyDescent="0.35">
      <c r="A420">
        <v>419</v>
      </c>
      <c r="B420" s="168" t="s">
        <v>629</v>
      </c>
      <c r="C420" s="317">
        <v>25</v>
      </c>
      <c r="D420" s="310">
        <v>667</v>
      </c>
      <c r="E420" s="310">
        <v>6</v>
      </c>
      <c r="F420" s="310">
        <v>64</v>
      </c>
      <c r="G420" s="310"/>
      <c r="H420" s="317"/>
      <c r="I420" s="421"/>
      <c r="J420" s="310">
        <v>13</v>
      </c>
      <c r="K420" s="340">
        <v>9</v>
      </c>
      <c r="L420" s="310">
        <v>3</v>
      </c>
      <c r="M420" s="352" t="s">
        <v>35</v>
      </c>
      <c r="O420" s="274"/>
      <c r="Q420" s="274"/>
      <c r="R420" s="274"/>
      <c r="S420" s="274"/>
      <c r="T420" s="274"/>
      <c r="U420" s="274"/>
      <c r="V420" s="274"/>
      <c r="X420" s="274"/>
      <c r="Y420" s="274"/>
      <c r="Z420" s="274"/>
      <c r="AA420" s="275"/>
    </row>
    <row r="421" spans="1:27" x14ac:dyDescent="0.35">
      <c r="A421">
        <v>420</v>
      </c>
      <c r="B421" s="168" t="s">
        <v>573</v>
      </c>
      <c r="C421" s="420"/>
      <c r="D421" s="409"/>
      <c r="E421" s="409"/>
      <c r="F421" s="409"/>
      <c r="G421" s="409"/>
      <c r="H421" s="420"/>
      <c r="I421" s="310"/>
      <c r="J421" s="409"/>
      <c r="K421" s="410"/>
      <c r="L421" s="409"/>
      <c r="M421" s="352" t="s">
        <v>35</v>
      </c>
      <c r="O421" s="274"/>
      <c r="Q421" s="274"/>
      <c r="R421" s="274"/>
      <c r="S421" s="274"/>
      <c r="T421" s="274"/>
      <c r="U421" s="274"/>
      <c r="V421" s="274"/>
      <c r="X421" s="274"/>
      <c r="Y421" s="274"/>
      <c r="Z421" s="274"/>
      <c r="AA421" s="275"/>
    </row>
    <row r="422" spans="1:27" x14ac:dyDescent="0.35">
      <c r="A422">
        <v>421</v>
      </c>
      <c r="B422" s="168" t="s">
        <v>576</v>
      </c>
      <c r="C422" s="420"/>
      <c r="D422" s="409"/>
      <c r="E422" s="409"/>
      <c r="F422" s="409"/>
      <c r="G422" s="409"/>
      <c r="H422" s="420"/>
      <c r="I422" s="310"/>
      <c r="J422" s="409"/>
      <c r="K422" s="410"/>
      <c r="L422" s="409"/>
      <c r="M422" s="352" t="s">
        <v>35</v>
      </c>
      <c r="O422" s="274"/>
      <c r="Q422" s="274"/>
      <c r="R422" s="274"/>
      <c r="S422" s="274"/>
      <c r="T422" s="274"/>
      <c r="U422" s="274"/>
      <c r="V422" s="274"/>
      <c r="X422" s="274"/>
      <c r="Y422" s="274"/>
      <c r="Z422" s="274"/>
      <c r="AA422" s="275"/>
    </row>
    <row r="423" spans="1:27" x14ac:dyDescent="0.35">
      <c r="A423">
        <v>422</v>
      </c>
      <c r="B423" s="168" t="s">
        <v>581</v>
      </c>
      <c r="C423" s="420"/>
      <c r="D423" s="409"/>
      <c r="E423" s="409"/>
      <c r="F423" s="409"/>
      <c r="G423" s="409"/>
      <c r="H423" s="420"/>
      <c r="I423" s="421"/>
      <c r="J423" s="409"/>
      <c r="K423" s="410"/>
      <c r="L423" s="409"/>
      <c r="M423" s="352" t="s">
        <v>35</v>
      </c>
      <c r="O423" s="274"/>
      <c r="Q423" s="274"/>
      <c r="R423" s="274"/>
      <c r="S423" s="274"/>
      <c r="T423" s="274"/>
      <c r="U423" s="274"/>
      <c r="V423" s="274"/>
      <c r="X423" s="274"/>
      <c r="Y423" s="274"/>
      <c r="Z423" s="274"/>
      <c r="AA423" s="275"/>
    </row>
    <row r="424" spans="1:27" x14ac:dyDescent="0.35">
      <c r="A424">
        <v>423</v>
      </c>
      <c r="B424" s="257" t="s">
        <v>584</v>
      </c>
      <c r="C424" s="311">
        <v>3957</v>
      </c>
      <c r="D424" s="311">
        <v>601</v>
      </c>
      <c r="E424" s="311">
        <v>1276</v>
      </c>
      <c r="F424" s="311">
        <v>2393</v>
      </c>
      <c r="G424" s="311"/>
      <c r="H424" s="311"/>
      <c r="I424" s="311"/>
      <c r="J424" s="311">
        <v>78</v>
      </c>
      <c r="K424" s="341">
        <v>2125</v>
      </c>
      <c r="L424" s="311">
        <v>1754</v>
      </c>
      <c r="M424" s="352" t="s">
        <v>36</v>
      </c>
      <c r="O424" s="274"/>
      <c r="Q424" s="272"/>
      <c r="R424" s="272"/>
      <c r="S424" s="272"/>
      <c r="T424" s="272"/>
      <c r="U424" s="272"/>
      <c r="V424" s="272"/>
      <c r="X424" s="272"/>
      <c r="Y424" s="272"/>
      <c r="Z424" s="272"/>
      <c r="AA424" s="273"/>
    </row>
    <row r="425" spans="1:27" x14ac:dyDescent="0.35">
      <c r="A425">
        <v>424</v>
      </c>
      <c r="B425" s="257" t="s">
        <v>631</v>
      </c>
      <c r="C425" s="311">
        <v>3488</v>
      </c>
      <c r="D425" s="311">
        <v>750</v>
      </c>
      <c r="E425" s="311">
        <v>672</v>
      </c>
      <c r="F425" s="311">
        <v>560</v>
      </c>
      <c r="G425" s="311"/>
      <c r="H425" s="311"/>
      <c r="I425" s="311"/>
      <c r="J425" s="411"/>
      <c r="K425" s="341">
        <v>896</v>
      </c>
      <c r="L425" s="311">
        <v>2592</v>
      </c>
      <c r="M425" s="352" t="s">
        <v>36</v>
      </c>
      <c r="O425" s="274"/>
      <c r="Q425" s="274"/>
      <c r="R425" s="274"/>
      <c r="S425" s="274"/>
      <c r="T425" s="274"/>
      <c r="U425" s="274"/>
      <c r="V425" s="274"/>
      <c r="X425" s="272"/>
      <c r="Y425" s="272"/>
      <c r="Z425" s="272"/>
      <c r="AA425" s="273"/>
    </row>
    <row r="426" spans="1:27" x14ac:dyDescent="0.35">
      <c r="A426">
        <v>425</v>
      </c>
      <c r="B426" s="257" t="s">
        <v>585</v>
      </c>
      <c r="C426" s="311">
        <v>1880</v>
      </c>
      <c r="D426" s="311">
        <v>600</v>
      </c>
      <c r="E426" s="311">
        <v>256</v>
      </c>
      <c r="F426" s="311">
        <v>2559</v>
      </c>
      <c r="G426" s="311"/>
      <c r="H426" s="311"/>
      <c r="I426" s="311"/>
      <c r="J426" s="311">
        <v>131</v>
      </c>
      <c r="K426" s="341">
        <v>428</v>
      </c>
      <c r="L426" s="311">
        <v>1321</v>
      </c>
      <c r="M426" s="352" t="s">
        <v>36</v>
      </c>
      <c r="O426" s="274"/>
      <c r="Q426" s="274"/>
      <c r="R426" s="274"/>
      <c r="S426" s="274"/>
      <c r="T426" s="274"/>
      <c r="U426" s="274"/>
      <c r="V426" s="274"/>
      <c r="X426" s="274"/>
      <c r="Y426" s="274"/>
      <c r="Z426" s="274"/>
      <c r="AA426" s="275"/>
    </row>
    <row r="427" spans="1:27" x14ac:dyDescent="0.35">
      <c r="A427">
        <v>426</v>
      </c>
      <c r="B427" s="257" t="s">
        <v>587</v>
      </c>
      <c r="C427" s="311">
        <v>1458</v>
      </c>
      <c r="D427" s="311">
        <v>1197</v>
      </c>
      <c r="E427" s="311">
        <v>554</v>
      </c>
      <c r="F427" s="311">
        <v>903</v>
      </c>
      <c r="G427" s="311"/>
      <c r="H427" s="311"/>
      <c r="I427" s="311"/>
      <c r="J427" s="311">
        <v>385</v>
      </c>
      <c r="K427" s="341">
        <v>463</v>
      </c>
      <c r="L427" s="311">
        <v>610</v>
      </c>
      <c r="M427" s="352" t="s">
        <v>36</v>
      </c>
      <c r="N427" s="274"/>
      <c r="O427" s="274"/>
      <c r="Q427" s="274"/>
      <c r="R427" s="274"/>
      <c r="S427" s="274"/>
      <c r="T427" s="274"/>
      <c r="U427" s="274"/>
      <c r="V427" s="274"/>
      <c r="X427" s="274"/>
      <c r="Y427" s="274"/>
      <c r="Z427" s="274"/>
      <c r="AA427" s="275"/>
    </row>
    <row r="428" spans="1:27" x14ac:dyDescent="0.35">
      <c r="A428">
        <v>427</v>
      </c>
      <c r="B428" s="257" t="s">
        <v>593</v>
      </c>
      <c r="C428" s="311">
        <v>1281</v>
      </c>
      <c r="D428" s="311">
        <v>562</v>
      </c>
      <c r="E428" s="311">
        <v>228</v>
      </c>
      <c r="F428" s="311">
        <v>871</v>
      </c>
      <c r="G428" s="311"/>
      <c r="H428" s="311"/>
      <c r="I428" s="311"/>
      <c r="J428" s="311">
        <v>233</v>
      </c>
      <c r="K428" s="341">
        <v>405</v>
      </c>
      <c r="L428" s="311">
        <v>643</v>
      </c>
      <c r="M428" s="352" t="s">
        <v>36</v>
      </c>
      <c r="N428" s="274"/>
      <c r="O428" s="274"/>
      <c r="Q428" s="274"/>
      <c r="R428" s="274"/>
      <c r="S428" s="274"/>
      <c r="T428" s="274"/>
      <c r="U428" s="274"/>
      <c r="V428" s="274"/>
      <c r="X428" s="274"/>
      <c r="Y428" s="274"/>
      <c r="Z428" s="274"/>
      <c r="AA428" s="275"/>
    </row>
    <row r="429" spans="1:27" x14ac:dyDescent="0.35">
      <c r="A429">
        <v>428</v>
      </c>
      <c r="B429" s="257" t="s">
        <v>586</v>
      </c>
      <c r="C429" s="311">
        <v>977</v>
      </c>
      <c r="D429" s="311">
        <v>601</v>
      </c>
      <c r="E429" s="311">
        <v>165</v>
      </c>
      <c r="F429" s="311">
        <v>1235</v>
      </c>
      <c r="G429" s="311"/>
      <c r="H429" s="311"/>
      <c r="I429" s="311"/>
      <c r="J429" s="311">
        <v>76</v>
      </c>
      <c r="K429" s="341">
        <v>275</v>
      </c>
      <c r="L429" s="311">
        <v>626</v>
      </c>
      <c r="M429" s="352" t="s">
        <v>36</v>
      </c>
      <c r="N429" s="278"/>
      <c r="O429" s="278"/>
      <c r="Q429" s="274"/>
      <c r="R429" s="274"/>
      <c r="S429" s="274"/>
      <c r="T429" s="274"/>
      <c r="U429" s="274"/>
      <c r="V429" s="274"/>
      <c r="X429" s="274"/>
      <c r="Y429" s="274"/>
      <c r="Z429" s="274"/>
      <c r="AA429" s="275"/>
    </row>
    <row r="430" spans="1:27" x14ac:dyDescent="0.35">
      <c r="A430">
        <v>429</v>
      </c>
      <c r="B430" s="257" t="s">
        <v>589</v>
      </c>
      <c r="C430" s="311">
        <v>304</v>
      </c>
      <c r="D430" s="311">
        <v>601</v>
      </c>
      <c r="E430" s="311">
        <v>88</v>
      </c>
      <c r="F430" s="311">
        <v>345</v>
      </c>
      <c r="G430" s="311"/>
      <c r="H430" s="311"/>
      <c r="I430" s="311"/>
      <c r="J430" s="411"/>
      <c r="K430" s="341">
        <v>147</v>
      </c>
      <c r="L430" s="311">
        <v>157</v>
      </c>
      <c r="M430" s="352" t="s">
        <v>36</v>
      </c>
      <c r="N430" s="278"/>
      <c r="O430" s="278"/>
      <c r="Q430" s="274"/>
      <c r="R430" s="274"/>
      <c r="S430" s="274"/>
      <c r="T430" s="274"/>
      <c r="U430" s="274"/>
      <c r="V430" s="274"/>
      <c r="X430" s="274"/>
      <c r="Y430" s="274"/>
      <c r="Z430" s="274"/>
      <c r="AA430" s="275"/>
    </row>
    <row r="431" spans="1:27" x14ac:dyDescent="0.35">
      <c r="A431">
        <v>430</v>
      </c>
      <c r="B431" s="257" t="s">
        <v>588</v>
      </c>
      <c r="C431" s="311">
        <v>293</v>
      </c>
      <c r="D431" s="311">
        <v>600</v>
      </c>
      <c r="E431" s="311">
        <v>82</v>
      </c>
      <c r="F431" s="311">
        <v>350</v>
      </c>
      <c r="G431" s="311"/>
      <c r="H431" s="311"/>
      <c r="I431" s="311"/>
      <c r="J431" s="311">
        <v>43</v>
      </c>
      <c r="K431" s="341">
        <v>137</v>
      </c>
      <c r="L431" s="311">
        <v>113</v>
      </c>
      <c r="M431" s="352" t="s">
        <v>36</v>
      </c>
      <c r="N431" s="278"/>
      <c r="O431" s="278"/>
      <c r="Q431" s="274"/>
      <c r="R431" s="274"/>
      <c r="S431" s="274"/>
      <c r="T431" s="274"/>
      <c r="U431" s="274"/>
      <c r="V431" s="274"/>
      <c r="X431" s="274"/>
      <c r="Y431" s="274"/>
      <c r="Z431" s="274"/>
      <c r="AA431" s="275"/>
    </row>
    <row r="432" spans="1:27" x14ac:dyDescent="0.35">
      <c r="A432">
        <v>431</v>
      </c>
      <c r="B432" s="257" t="s">
        <v>1324</v>
      </c>
      <c r="C432" s="311">
        <v>112</v>
      </c>
      <c r="D432" s="311">
        <v>323</v>
      </c>
      <c r="E432" s="311">
        <v>7</v>
      </c>
      <c r="F432" s="311">
        <v>153</v>
      </c>
      <c r="G432" s="311"/>
      <c r="H432" s="311"/>
      <c r="I432" s="311"/>
      <c r="J432" s="411"/>
      <c r="K432" s="341">
        <v>23</v>
      </c>
      <c r="L432" s="311">
        <v>89</v>
      </c>
      <c r="M432" s="352" t="s">
        <v>36</v>
      </c>
      <c r="N432" s="274"/>
      <c r="O432" s="274"/>
      <c r="Q432" s="274"/>
      <c r="R432" s="274"/>
      <c r="S432" s="274"/>
      <c r="T432" s="274"/>
      <c r="U432" s="274"/>
      <c r="V432" s="274"/>
      <c r="X432" s="274"/>
      <c r="Y432" s="274"/>
      <c r="Z432" s="274"/>
      <c r="AA432" s="275"/>
    </row>
    <row r="433" spans="1:27" x14ac:dyDescent="0.35">
      <c r="A433">
        <v>432</v>
      </c>
      <c r="B433" s="257" t="s">
        <v>591</v>
      </c>
      <c r="C433" s="311">
        <v>79</v>
      </c>
      <c r="D433" s="311">
        <v>86</v>
      </c>
      <c r="E433" s="311">
        <v>4</v>
      </c>
      <c r="F433" s="311">
        <v>226</v>
      </c>
      <c r="G433" s="311"/>
      <c r="H433" s="311"/>
      <c r="I433" s="311"/>
      <c r="J433" s="411"/>
      <c r="K433" s="341">
        <v>43</v>
      </c>
      <c r="L433" s="311">
        <v>36</v>
      </c>
      <c r="M433" s="352" t="s">
        <v>36</v>
      </c>
      <c r="N433" s="274"/>
      <c r="O433" s="274"/>
      <c r="Q433" s="274"/>
      <c r="R433" s="274"/>
      <c r="S433" s="274"/>
      <c r="T433" s="274"/>
      <c r="U433" s="274"/>
      <c r="V433" s="274"/>
      <c r="X433" s="274"/>
      <c r="Y433" s="274"/>
      <c r="Z433" s="274"/>
      <c r="AA433" s="275"/>
    </row>
    <row r="434" spans="1:27" x14ac:dyDescent="0.35">
      <c r="A434">
        <v>433</v>
      </c>
      <c r="B434" s="257" t="s">
        <v>592</v>
      </c>
      <c r="C434" s="311">
        <v>37</v>
      </c>
      <c r="D434" s="311">
        <v>140</v>
      </c>
      <c r="E434" s="311">
        <v>5</v>
      </c>
      <c r="F434" s="311">
        <v>47</v>
      </c>
      <c r="G434" s="311"/>
      <c r="H434" s="311"/>
      <c r="I434" s="311"/>
      <c r="J434" s="311">
        <v>29</v>
      </c>
      <c r="K434" s="341">
        <v>4</v>
      </c>
      <c r="L434" s="311">
        <v>4</v>
      </c>
      <c r="M434" s="352" t="s">
        <v>36</v>
      </c>
      <c r="N434" s="274"/>
      <c r="O434" s="274"/>
      <c r="Q434" s="274"/>
      <c r="R434" s="274"/>
      <c r="S434" s="274"/>
      <c r="T434" s="274"/>
      <c r="U434" s="274"/>
      <c r="V434" s="274"/>
      <c r="X434" s="274"/>
      <c r="Y434" s="274"/>
      <c r="Z434" s="274"/>
      <c r="AA434" s="275"/>
    </row>
    <row r="435" spans="1:27" x14ac:dyDescent="0.35">
      <c r="A435">
        <v>434</v>
      </c>
      <c r="B435" s="257" t="s">
        <v>594</v>
      </c>
      <c r="C435" s="311">
        <v>19</v>
      </c>
      <c r="D435" s="411"/>
      <c r="E435" s="411"/>
      <c r="F435" s="311">
        <v>15</v>
      </c>
      <c r="G435" s="411"/>
      <c r="H435" s="411"/>
      <c r="I435" s="411"/>
      <c r="J435" s="311">
        <v>12</v>
      </c>
      <c r="K435" s="412"/>
      <c r="L435" s="311">
        <v>7</v>
      </c>
      <c r="M435" s="352" t="s">
        <v>36</v>
      </c>
      <c r="N435" s="278"/>
      <c r="O435" s="278"/>
      <c r="Q435" s="274"/>
      <c r="R435" s="274"/>
      <c r="S435" s="274"/>
      <c r="T435" s="274"/>
      <c r="U435" s="274"/>
      <c r="V435" s="274"/>
      <c r="X435" s="272"/>
      <c r="Y435" s="272"/>
      <c r="Z435" s="272"/>
      <c r="AA435" s="273"/>
    </row>
    <row r="436" spans="1:27" x14ac:dyDescent="0.35">
      <c r="M436" s="274"/>
      <c r="N436" s="274"/>
      <c r="O436" s="274"/>
      <c r="Q436" s="278"/>
      <c r="R436" s="278"/>
      <c r="S436" s="278"/>
      <c r="T436" s="278"/>
      <c r="U436" s="278"/>
      <c r="V436" s="278"/>
      <c r="X436" s="276"/>
      <c r="Y436" s="276"/>
      <c r="Z436" s="276"/>
      <c r="AA436" s="277"/>
    </row>
    <row r="437" spans="1:27" x14ac:dyDescent="0.35">
      <c r="G437" s="272"/>
      <c r="H437" s="272"/>
      <c r="I437" s="272"/>
      <c r="J437" s="272"/>
    </row>
    <row r="438" spans="1:27" x14ac:dyDescent="0.35">
      <c r="G438" s="272"/>
      <c r="H438" s="272"/>
      <c r="I438" s="272"/>
      <c r="J438" s="272"/>
    </row>
    <row r="439" spans="1:27" x14ac:dyDescent="0.35">
      <c r="G439" s="272"/>
      <c r="H439" s="272"/>
      <c r="I439" s="272"/>
      <c r="J439" s="272"/>
    </row>
    <row r="440" spans="1:27" x14ac:dyDescent="0.35">
      <c r="G440" s="274"/>
      <c r="H440" s="274"/>
      <c r="I440" s="274"/>
      <c r="J440" s="274"/>
    </row>
    <row r="441" spans="1:27" x14ac:dyDescent="0.35">
      <c r="G441" s="274"/>
      <c r="H441" s="274"/>
      <c r="I441" s="274"/>
      <c r="J441" s="274"/>
    </row>
    <row r="442" spans="1:27" ht="14.5" customHeight="1" x14ac:dyDescent="0.35">
      <c r="G442" s="274"/>
      <c r="H442" s="274"/>
      <c r="I442" s="274"/>
      <c r="J442" s="274"/>
    </row>
    <row r="443" spans="1:27" x14ac:dyDescent="0.35">
      <c r="G443" s="274"/>
      <c r="H443" s="274"/>
      <c r="I443" s="274"/>
      <c r="J443" s="274"/>
    </row>
    <row r="444" spans="1:27" x14ac:dyDescent="0.35">
      <c r="G444" s="274"/>
      <c r="H444" s="274"/>
      <c r="I444" s="274"/>
      <c r="J444" s="274"/>
    </row>
    <row r="445" spans="1:27" x14ac:dyDescent="0.35">
      <c r="G445" s="274"/>
      <c r="H445" s="274"/>
      <c r="I445" s="274"/>
      <c r="J445" s="274"/>
    </row>
    <row r="446" spans="1:27" x14ac:dyDescent="0.35">
      <c r="G446" s="274"/>
      <c r="H446" s="274"/>
      <c r="I446" s="274"/>
      <c r="J446" s="274"/>
    </row>
    <row r="447" spans="1:27" x14ac:dyDescent="0.35">
      <c r="G447" s="274"/>
      <c r="H447" s="274"/>
      <c r="I447" s="274"/>
      <c r="J447" s="274"/>
    </row>
    <row r="448" spans="1:27" x14ac:dyDescent="0.35">
      <c r="G448" s="274"/>
      <c r="H448" s="274"/>
      <c r="I448" s="274"/>
      <c r="J448" s="274"/>
    </row>
  </sheetData>
  <sortState xmlns:xlrd2="http://schemas.microsoft.com/office/spreadsheetml/2017/richdata2" ref="B425:L435">
    <sortCondition descending="1" ref="C425:C435"/>
    <sortCondition descending="1" ref="E425:E435"/>
    <sortCondition descending="1" ref="K425:K43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99F0-9063-46D4-8B70-8EF8604B4250}">
  <dimension ref="A1:P39"/>
  <sheetViews>
    <sheetView topLeftCell="A10" zoomScale="55" zoomScaleNormal="55" workbookViewId="0">
      <selection activeCell="L36" sqref="A1:L36"/>
    </sheetView>
  </sheetViews>
  <sheetFormatPr defaultRowHeight="14.5" x14ac:dyDescent="0.35"/>
  <cols>
    <col min="2" max="2" width="21.1796875" customWidth="1"/>
    <col min="3" max="3" width="15.26953125" customWidth="1"/>
    <col min="4" max="4" width="14" customWidth="1"/>
    <col min="5" max="5" width="16" customWidth="1"/>
    <col min="6" max="6" width="13.54296875" customWidth="1"/>
    <col min="7" max="7" width="28.81640625" customWidth="1"/>
    <col min="8" max="8" width="28.453125" customWidth="1"/>
    <col min="9" max="9" width="24.453125" customWidth="1"/>
    <col min="10" max="10" width="20.453125" customWidth="1"/>
    <col min="11" max="11" width="20.54296875" customWidth="1"/>
    <col min="12" max="12" width="17.453125" customWidth="1"/>
    <col min="13" max="13" width="18.453125" customWidth="1"/>
    <col min="14" max="14" width="19.1796875" customWidth="1"/>
    <col min="15" max="15" width="18.1796875" customWidth="1"/>
  </cols>
  <sheetData>
    <row r="1" spans="1:15" ht="54" customHeight="1" x14ac:dyDescent="0.35">
      <c r="A1" s="1" t="s">
        <v>0</v>
      </c>
      <c r="B1" s="1" t="s">
        <v>1</v>
      </c>
      <c r="C1" s="72" t="s">
        <v>49</v>
      </c>
      <c r="D1" s="22" t="s">
        <v>50</v>
      </c>
      <c r="E1" s="22" t="s">
        <v>51</v>
      </c>
      <c r="F1" s="22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  <c r="M1" s="80"/>
      <c r="N1" s="80"/>
      <c r="O1" s="80"/>
    </row>
    <row r="2" spans="1:15" x14ac:dyDescent="0.35">
      <c r="A2" s="74">
        <v>1</v>
      </c>
      <c r="B2" s="78" t="s">
        <v>2</v>
      </c>
      <c r="C2" s="787">
        <v>99492.35</v>
      </c>
      <c r="D2" s="788">
        <v>715.66141083372395</v>
      </c>
      <c r="E2" s="788">
        <v>39295</v>
      </c>
      <c r="F2" s="789">
        <v>127843</v>
      </c>
      <c r="G2" s="790">
        <v>99492</v>
      </c>
      <c r="H2" s="790"/>
      <c r="I2" s="790"/>
      <c r="J2" s="766">
        <v>30085</v>
      </c>
      <c r="K2" s="766">
        <v>54907</v>
      </c>
      <c r="L2" s="766">
        <v>14500</v>
      </c>
    </row>
    <row r="3" spans="1:15" x14ac:dyDescent="0.35">
      <c r="A3" s="4">
        <v>2</v>
      </c>
      <c r="B3" s="79" t="s">
        <v>3</v>
      </c>
      <c r="C3" s="765">
        <v>57193.299999999996</v>
      </c>
      <c r="D3" s="770">
        <v>891.20565777466095</v>
      </c>
      <c r="E3" s="770">
        <v>35430.379999999997</v>
      </c>
      <c r="F3" s="766">
        <v>78977</v>
      </c>
      <c r="G3" s="790">
        <v>54038</v>
      </c>
      <c r="H3" s="790"/>
      <c r="I3" s="790">
        <v>3155</v>
      </c>
      <c r="J3" s="766">
        <v>12587</v>
      </c>
      <c r="K3" s="766">
        <v>39756</v>
      </c>
      <c r="L3" s="766">
        <v>4851</v>
      </c>
    </row>
    <row r="4" spans="1:15" x14ac:dyDescent="0.35">
      <c r="A4" s="4">
        <v>3</v>
      </c>
      <c r="B4" s="79" t="s">
        <v>4</v>
      </c>
      <c r="C4" s="765">
        <v>121720.54999999999</v>
      </c>
      <c r="D4" s="770">
        <v>826.06594779471402</v>
      </c>
      <c r="E4" s="770">
        <v>58980.2</v>
      </c>
      <c r="F4" s="766">
        <v>99685</v>
      </c>
      <c r="G4" s="790">
        <v>121228</v>
      </c>
      <c r="H4" s="790"/>
      <c r="I4" s="790">
        <v>493</v>
      </c>
      <c r="J4" s="766">
        <v>22430</v>
      </c>
      <c r="K4" s="766">
        <v>71399</v>
      </c>
      <c r="L4" s="766">
        <v>27891</v>
      </c>
    </row>
    <row r="5" spans="1:15" x14ac:dyDescent="0.35">
      <c r="A5" s="4">
        <v>4</v>
      </c>
      <c r="B5" s="79" t="s">
        <v>5</v>
      </c>
      <c r="C5" s="765">
        <v>5828.91</v>
      </c>
      <c r="D5" s="770">
        <v>827.58749845849752</v>
      </c>
      <c r="E5" s="770">
        <v>3223.90847962</v>
      </c>
      <c r="F5" s="766">
        <v>14035</v>
      </c>
      <c r="G5" s="790">
        <v>4363</v>
      </c>
      <c r="H5" s="790"/>
      <c r="I5" s="790">
        <v>1466</v>
      </c>
      <c r="J5" s="766">
        <v>1430</v>
      </c>
      <c r="K5" s="766">
        <v>3896</v>
      </c>
      <c r="L5" s="766">
        <v>503</v>
      </c>
    </row>
    <row r="6" spans="1:15" x14ac:dyDescent="0.35">
      <c r="A6" s="4">
        <v>5</v>
      </c>
      <c r="B6" s="79" t="s">
        <v>6</v>
      </c>
      <c r="C6" s="765">
        <v>36.5</v>
      </c>
      <c r="D6" s="770">
        <v>280</v>
      </c>
      <c r="E6" s="770">
        <v>2.1</v>
      </c>
      <c r="F6" s="766">
        <v>202</v>
      </c>
      <c r="G6" s="790">
        <v>37</v>
      </c>
      <c r="H6" s="790"/>
      <c r="I6" s="790"/>
      <c r="J6" s="766">
        <v>25</v>
      </c>
      <c r="K6" s="766">
        <v>8</v>
      </c>
      <c r="L6" s="766">
        <v>5</v>
      </c>
    </row>
    <row r="7" spans="1:15" x14ac:dyDescent="0.35">
      <c r="A7" s="4">
        <v>6</v>
      </c>
      <c r="B7" s="79" t="s">
        <v>7</v>
      </c>
      <c r="C7" s="765">
        <v>2617</v>
      </c>
      <c r="D7" s="770">
        <v>575.22743177046891</v>
      </c>
      <c r="E7" s="770">
        <v>822</v>
      </c>
      <c r="F7" s="766">
        <v>6105</v>
      </c>
      <c r="G7" s="790">
        <v>2617</v>
      </c>
      <c r="H7" s="790"/>
      <c r="I7" s="790"/>
      <c r="J7" s="766">
        <v>902</v>
      </c>
      <c r="K7" s="766">
        <v>1430</v>
      </c>
      <c r="L7" s="766">
        <v>286</v>
      </c>
    </row>
    <row r="8" spans="1:15" x14ac:dyDescent="0.35">
      <c r="A8" s="4">
        <v>7</v>
      </c>
      <c r="B8" s="79" t="s">
        <v>8</v>
      </c>
      <c r="C8" s="765">
        <v>10791.09</v>
      </c>
      <c r="D8" s="770">
        <v>687.45850037193645</v>
      </c>
      <c r="E8" s="770">
        <v>4131</v>
      </c>
      <c r="F8" s="766">
        <v>12342</v>
      </c>
      <c r="G8" s="790">
        <v>10791</v>
      </c>
      <c r="H8" s="790"/>
      <c r="I8" s="790"/>
      <c r="J8" s="766">
        <v>4252</v>
      </c>
      <c r="K8" s="766">
        <v>25</v>
      </c>
      <c r="L8" s="766">
        <v>530</v>
      </c>
    </row>
    <row r="9" spans="1:15" x14ac:dyDescent="0.35">
      <c r="A9" s="4">
        <v>8</v>
      </c>
      <c r="B9" s="79" t="s">
        <v>9</v>
      </c>
      <c r="C9" s="765">
        <v>732.9</v>
      </c>
      <c r="D9" s="770">
        <v>775.80688879228785</v>
      </c>
      <c r="E9" s="770">
        <v>303.39480000000003</v>
      </c>
      <c r="F9" s="766">
        <v>925</v>
      </c>
      <c r="G9" s="790">
        <v>733</v>
      </c>
      <c r="H9" s="790"/>
      <c r="I9" s="790"/>
      <c r="J9" s="766">
        <v>284</v>
      </c>
      <c r="K9" s="766">
        <v>902</v>
      </c>
      <c r="L9" s="766">
        <v>58</v>
      </c>
    </row>
    <row r="10" spans="1:15" x14ac:dyDescent="0.35">
      <c r="A10" s="4">
        <v>9</v>
      </c>
      <c r="B10" s="79" t="s">
        <v>10</v>
      </c>
      <c r="C10" s="765">
        <v>8079.74</v>
      </c>
      <c r="D10" s="770">
        <v>516.18430141287274</v>
      </c>
      <c r="E10" s="770">
        <v>3288.0939999999996</v>
      </c>
      <c r="F10" s="766">
        <v>11591</v>
      </c>
      <c r="G10" s="790">
        <v>8080</v>
      </c>
      <c r="H10" s="790"/>
      <c r="I10" s="790"/>
      <c r="J10" s="766">
        <v>1379</v>
      </c>
      <c r="K10" s="766">
        <v>4252</v>
      </c>
      <c r="L10" s="766">
        <v>330</v>
      </c>
    </row>
    <row r="11" spans="1:15" x14ac:dyDescent="0.35">
      <c r="A11" s="4">
        <v>10</v>
      </c>
      <c r="B11" s="79" t="s">
        <v>11</v>
      </c>
      <c r="C11" s="765">
        <v>80711.5</v>
      </c>
      <c r="D11" s="770">
        <v>889.85553723046849</v>
      </c>
      <c r="E11" s="770">
        <v>58271.3</v>
      </c>
      <c r="F11" s="766">
        <v>142392</v>
      </c>
      <c r="G11" s="790">
        <v>79246</v>
      </c>
      <c r="H11" s="790"/>
      <c r="I11" s="790">
        <v>1466</v>
      </c>
      <c r="J11" s="766">
        <v>7667</v>
      </c>
      <c r="K11" s="766">
        <v>65484</v>
      </c>
      <c r="L11" s="766">
        <v>7561</v>
      </c>
    </row>
    <row r="12" spans="1:15" s="87" customFormat="1" x14ac:dyDescent="0.35">
      <c r="A12" s="82">
        <v>11</v>
      </c>
      <c r="B12" s="83" t="s">
        <v>12</v>
      </c>
      <c r="C12" s="791"/>
      <c r="D12" s="792"/>
      <c r="E12" s="792"/>
      <c r="F12" s="793"/>
      <c r="G12" s="794"/>
      <c r="H12" s="794"/>
      <c r="I12" s="794"/>
      <c r="J12" s="794"/>
      <c r="K12" s="794"/>
      <c r="L12" s="794"/>
    </row>
    <row r="13" spans="1:15" x14ac:dyDescent="0.35">
      <c r="A13" s="4">
        <v>12</v>
      </c>
      <c r="B13" s="79" t="s">
        <v>14</v>
      </c>
      <c r="C13" s="765">
        <v>7945.4</v>
      </c>
      <c r="D13" s="770">
        <v>496.76491730965898</v>
      </c>
      <c r="E13" s="770">
        <v>2604.0551091899997</v>
      </c>
      <c r="F13" s="766">
        <v>16612</v>
      </c>
      <c r="G13" s="790">
        <v>5352</v>
      </c>
      <c r="H13" s="790"/>
      <c r="I13" s="790">
        <v>2594</v>
      </c>
      <c r="J13" s="766">
        <v>1675</v>
      </c>
      <c r="K13" s="766">
        <v>5242</v>
      </c>
      <c r="L13" s="766">
        <v>1028</v>
      </c>
    </row>
    <row r="14" spans="1:15" x14ac:dyDescent="0.35">
      <c r="A14" s="4">
        <v>13</v>
      </c>
      <c r="B14" s="79" t="s">
        <v>15</v>
      </c>
      <c r="C14" s="765">
        <v>8082.25</v>
      </c>
      <c r="D14" s="770">
        <v>689.75548333474342</v>
      </c>
      <c r="E14" s="770">
        <v>2771.81</v>
      </c>
      <c r="F14" s="766">
        <v>7943</v>
      </c>
      <c r="G14" s="790">
        <v>7634</v>
      </c>
      <c r="H14" s="790"/>
      <c r="I14" s="790">
        <v>448</v>
      </c>
      <c r="J14" s="766">
        <v>2756</v>
      </c>
      <c r="K14" s="766">
        <v>4019</v>
      </c>
      <c r="L14" s="766">
        <v>1308</v>
      </c>
    </row>
    <row r="15" spans="1:15" x14ac:dyDescent="0.35">
      <c r="A15" s="4">
        <v>14</v>
      </c>
      <c r="B15" s="79" t="s">
        <v>16</v>
      </c>
      <c r="C15" s="765">
        <v>7099.2278838883885</v>
      </c>
      <c r="D15" s="770">
        <v>490.29159547728244</v>
      </c>
      <c r="E15" s="770">
        <v>2066.6816239914624</v>
      </c>
      <c r="F15" s="766">
        <v>20208</v>
      </c>
      <c r="G15" s="790">
        <v>6246</v>
      </c>
      <c r="H15" s="790">
        <v>4</v>
      </c>
      <c r="I15" s="790">
        <v>849</v>
      </c>
      <c r="J15" s="766">
        <v>2549</v>
      </c>
      <c r="K15" s="766">
        <v>4215</v>
      </c>
      <c r="L15" s="766">
        <v>335</v>
      </c>
    </row>
    <row r="16" spans="1:15" x14ac:dyDescent="0.35">
      <c r="A16" s="4">
        <v>15</v>
      </c>
      <c r="B16" s="79" t="s">
        <v>17</v>
      </c>
      <c r="C16" s="765">
        <v>5164.41</v>
      </c>
      <c r="D16" s="770">
        <v>554.54195763737516</v>
      </c>
      <c r="E16" s="770">
        <v>1773.22</v>
      </c>
      <c r="F16" s="766">
        <v>28310</v>
      </c>
      <c r="G16" s="790">
        <v>5164</v>
      </c>
      <c r="H16" s="790"/>
      <c r="I16" s="790"/>
      <c r="J16" s="766">
        <v>1816</v>
      </c>
      <c r="K16" s="766">
        <v>3198</v>
      </c>
      <c r="L16" s="766">
        <v>151</v>
      </c>
    </row>
    <row r="17" spans="1:16" s="92" customFormat="1" x14ac:dyDescent="0.35">
      <c r="A17" s="88">
        <v>16</v>
      </c>
      <c r="B17" s="89" t="s">
        <v>18</v>
      </c>
      <c r="C17" s="765">
        <v>54637.91</v>
      </c>
      <c r="D17" s="770">
        <v>785.71195797404653</v>
      </c>
      <c r="E17" s="770">
        <v>30137.75</v>
      </c>
      <c r="F17" s="766">
        <v>95375</v>
      </c>
      <c r="G17" s="790">
        <v>40690</v>
      </c>
      <c r="H17" s="790">
        <v>10318</v>
      </c>
      <c r="I17" s="790">
        <v>3630</v>
      </c>
      <c r="J17" s="766">
        <v>10031</v>
      </c>
      <c r="K17" s="766">
        <v>38357</v>
      </c>
      <c r="L17" s="766">
        <v>6250</v>
      </c>
      <c r="M17" s="93"/>
      <c r="N17" s="90"/>
      <c r="O17" s="90"/>
      <c r="P17" s="91"/>
    </row>
    <row r="18" spans="1:16" x14ac:dyDescent="0.35">
      <c r="A18" s="4">
        <v>17</v>
      </c>
      <c r="B18" s="79" t="s">
        <v>19</v>
      </c>
      <c r="C18" s="765">
        <v>13954.10072</v>
      </c>
      <c r="D18" s="770">
        <v>464.17603992950831</v>
      </c>
      <c r="E18" s="770">
        <v>4709.4744000000001</v>
      </c>
      <c r="F18" s="766">
        <v>55903</v>
      </c>
      <c r="G18" s="790">
        <v>13931</v>
      </c>
      <c r="H18" s="790">
        <v>9</v>
      </c>
      <c r="I18" s="790">
        <v>14</v>
      </c>
      <c r="J18" s="766">
        <v>1673</v>
      </c>
      <c r="K18" s="766">
        <v>10146</v>
      </c>
      <c r="L18" s="766">
        <v>2135</v>
      </c>
    </row>
    <row r="19" spans="1:16" x14ac:dyDescent="0.35">
      <c r="A19" s="4">
        <v>18</v>
      </c>
      <c r="B19" s="79" t="s">
        <v>20</v>
      </c>
      <c r="C19" s="765">
        <v>7763.94</v>
      </c>
      <c r="D19" s="770">
        <v>471.44861932752457</v>
      </c>
      <c r="E19" s="770">
        <v>1995.51</v>
      </c>
      <c r="F19" s="766">
        <v>8131</v>
      </c>
      <c r="G19" s="790">
        <v>7764</v>
      </c>
      <c r="H19" s="790"/>
      <c r="I19" s="790"/>
      <c r="J19" s="766">
        <v>2331</v>
      </c>
      <c r="K19" s="766">
        <v>4223</v>
      </c>
      <c r="L19" s="766">
        <v>1200</v>
      </c>
    </row>
    <row r="20" spans="1:16" x14ac:dyDescent="0.35">
      <c r="A20" s="4">
        <v>19</v>
      </c>
      <c r="B20" s="79" t="s">
        <v>21</v>
      </c>
      <c r="C20" s="765">
        <v>61890.03</v>
      </c>
      <c r="D20" s="770">
        <v>624.46814897081674</v>
      </c>
      <c r="E20" s="770">
        <v>19972.14</v>
      </c>
      <c r="F20" s="766">
        <v>98232</v>
      </c>
      <c r="G20" s="790">
        <v>61531</v>
      </c>
      <c r="H20" s="790"/>
      <c r="I20" s="790">
        <v>377</v>
      </c>
      <c r="J20" s="766">
        <v>25578</v>
      </c>
      <c r="K20" s="766">
        <v>31983</v>
      </c>
      <c r="L20" s="766">
        <v>4330</v>
      </c>
    </row>
    <row r="21" spans="1:16" x14ac:dyDescent="0.35">
      <c r="A21" s="4">
        <v>20</v>
      </c>
      <c r="B21" s="79" t="s">
        <v>22</v>
      </c>
      <c r="C21" s="765">
        <v>11289</v>
      </c>
      <c r="D21" s="770">
        <v>539.08759905761406</v>
      </c>
      <c r="E21" s="770">
        <v>2517</v>
      </c>
      <c r="F21" s="766">
        <v>11874</v>
      </c>
      <c r="G21" s="790">
        <v>11289</v>
      </c>
      <c r="H21" s="790"/>
      <c r="I21" s="790"/>
      <c r="J21" s="766">
        <v>3927</v>
      </c>
      <c r="K21" s="766">
        <v>4669</v>
      </c>
      <c r="L21" s="766">
        <v>2693</v>
      </c>
    </row>
    <row r="22" spans="1:16" x14ac:dyDescent="0.35">
      <c r="A22" s="4">
        <v>21</v>
      </c>
      <c r="B22" s="79" t="s">
        <v>23</v>
      </c>
      <c r="C22" s="765">
        <v>2304.91</v>
      </c>
      <c r="D22" s="770">
        <v>908.80263236455062</v>
      </c>
      <c r="E22" s="770">
        <v>1369.92</v>
      </c>
      <c r="F22" s="766">
        <v>1689</v>
      </c>
      <c r="G22" s="790">
        <v>2305</v>
      </c>
      <c r="H22" s="790"/>
      <c r="I22" s="790"/>
      <c r="J22" s="766">
        <v>745</v>
      </c>
      <c r="K22" s="766">
        <v>1507</v>
      </c>
      <c r="L22" s="766">
        <v>52</v>
      </c>
    </row>
    <row r="23" spans="1:16" x14ac:dyDescent="0.35">
      <c r="A23" s="4">
        <v>22</v>
      </c>
      <c r="B23" s="79" t="s">
        <v>24</v>
      </c>
      <c r="C23" s="765">
        <v>685</v>
      </c>
      <c r="D23" s="770">
        <v>385.96491228070175</v>
      </c>
      <c r="E23" s="770">
        <v>88</v>
      </c>
      <c r="F23" s="766">
        <v>969</v>
      </c>
      <c r="G23" s="790">
        <v>685</v>
      </c>
      <c r="H23" s="790"/>
      <c r="I23" s="790"/>
      <c r="J23" s="766">
        <v>358</v>
      </c>
      <c r="K23" s="766">
        <v>228</v>
      </c>
      <c r="L23" s="766">
        <v>99</v>
      </c>
    </row>
    <row r="24" spans="1:16" x14ac:dyDescent="0.35">
      <c r="A24" s="4">
        <v>23</v>
      </c>
      <c r="B24" s="79" t="s">
        <v>25</v>
      </c>
      <c r="C24" s="765">
        <v>7298</v>
      </c>
      <c r="D24" s="770">
        <v>551.00161178908593</v>
      </c>
      <c r="E24" s="770">
        <v>2393</v>
      </c>
      <c r="F24" s="766">
        <v>4586</v>
      </c>
      <c r="G24" s="790">
        <v>7298</v>
      </c>
      <c r="H24" s="790"/>
      <c r="I24" s="790"/>
      <c r="J24" s="766">
        <v>2468</v>
      </c>
      <c r="K24" s="766">
        <v>4343</v>
      </c>
      <c r="L24" s="766">
        <v>487</v>
      </c>
    </row>
    <row r="25" spans="1:16" x14ac:dyDescent="0.35">
      <c r="A25" s="4">
        <v>24</v>
      </c>
      <c r="B25" s="79" t="s">
        <v>26</v>
      </c>
      <c r="C25" s="765">
        <v>2702.3</v>
      </c>
      <c r="D25" s="770">
        <v>641.533939070016</v>
      </c>
      <c r="E25" s="770">
        <v>1200.31</v>
      </c>
      <c r="F25" s="766">
        <v>2306</v>
      </c>
      <c r="G25" s="790">
        <v>2702</v>
      </c>
      <c r="H25" s="790"/>
      <c r="I25" s="790"/>
      <c r="J25" s="766">
        <v>447</v>
      </c>
      <c r="K25" s="766">
        <v>1871</v>
      </c>
      <c r="L25" s="766">
        <v>384</v>
      </c>
    </row>
    <row r="26" spans="1:16" x14ac:dyDescent="0.35">
      <c r="A26" s="4">
        <v>25</v>
      </c>
      <c r="B26" s="79" t="s">
        <v>27</v>
      </c>
      <c r="C26" s="765">
        <v>16447.849999999999</v>
      </c>
      <c r="D26" s="770">
        <v>700.60067859287278</v>
      </c>
      <c r="E26" s="770">
        <v>5880.73</v>
      </c>
      <c r="F26" s="766">
        <v>19787</v>
      </c>
      <c r="G26" s="790">
        <v>16448</v>
      </c>
      <c r="H26" s="790"/>
      <c r="I26" s="790"/>
      <c r="J26" s="766">
        <v>5515</v>
      </c>
      <c r="K26" s="766">
        <v>8394</v>
      </c>
      <c r="L26" s="766">
        <v>2539</v>
      </c>
      <c r="N26" s="81"/>
    </row>
    <row r="27" spans="1:16" x14ac:dyDescent="0.35">
      <c r="A27" s="4">
        <v>26</v>
      </c>
      <c r="B27" s="79" t="s">
        <v>28</v>
      </c>
      <c r="C27" s="765">
        <v>15037.7</v>
      </c>
      <c r="D27" s="770">
        <v>855.37323406048415</v>
      </c>
      <c r="E27" s="770">
        <v>4851.6000000000004</v>
      </c>
      <c r="F27" s="766">
        <v>15364</v>
      </c>
      <c r="G27" s="790">
        <v>15038</v>
      </c>
      <c r="H27" s="790"/>
      <c r="I27" s="790"/>
      <c r="J27" s="766">
        <v>8046</v>
      </c>
      <c r="K27" s="766">
        <v>5672</v>
      </c>
      <c r="L27" s="766">
        <v>1320</v>
      </c>
    </row>
    <row r="28" spans="1:16" x14ac:dyDescent="0.35">
      <c r="A28" s="4">
        <v>27</v>
      </c>
      <c r="B28" s="79" t="s">
        <v>29</v>
      </c>
      <c r="C28" s="765">
        <v>283625.71000000002</v>
      </c>
      <c r="D28" s="770">
        <v>674.77094794809329</v>
      </c>
      <c r="E28" s="770">
        <v>125472.98300000001</v>
      </c>
      <c r="F28" s="766">
        <v>177120</v>
      </c>
      <c r="G28" s="790">
        <v>283626</v>
      </c>
      <c r="H28" s="790"/>
      <c r="I28" s="790"/>
      <c r="J28" s="766">
        <v>44399</v>
      </c>
      <c r="K28" s="766">
        <v>185949</v>
      </c>
      <c r="L28" s="766">
        <v>53278</v>
      </c>
    </row>
    <row r="29" spans="1:16" x14ac:dyDescent="0.35">
      <c r="A29" s="4">
        <v>28</v>
      </c>
      <c r="B29" s="79" t="s">
        <v>30</v>
      </c>
      <c r="C29" s="765">
        <v>218168.87</v>
      </c>
      <c r="D29" s="770">
        <v>807.19259292755714</v>
      </c>
      <c r="E29" s="770">
        <v>124951.799</v>
      </c>
      <c r="F29" s="766">
        <v>252212</v>
      </c>
      <c r="G29" s="790">
        <v>218169</v>
      </c>
      <c r="H29" s="790"/>
      <c r="I29" s="790"/>
      <c r="J29" s="766">
        <v>25828</v>
      </c>
      <c r="K29" s="766">
        <v>154789</v>
      </c>
      <c r="L29" s="766">
        <v>37543</v>
      </c>
    </row>
    <row r="30" spans="1:16" x14ac:dyDescent="0.35">
      <c r="A30" s="4">
        <v>29</v>
      </c>
      <c r="B30" s="79" t="s">
        <v>31</v>
      </c>
      <c r="C30" s="765">
        <v>144970.58000000002</v>
      </c>
      <c r="D30" s="770">
        <v>797.39233272822253</v>
      </c>
      <c r="E30" s="770">
        <v>71787.31</v>
      </c>
      <c r="F30" s="766">
        <v>135375</v>
      </c>
      <c r="G30" s="790">
        <v>144971</v>
      </c>
      <c r="H30" s="790"/>
      <c r="I30" s="790"/>
      <c r="J30" s="766">
        <v>19128</v>
      </c>
      <c r="K30" s="766">
        <v>90028</v>
      </c>
      <c r="L30" s="766">
        <v>35815</v>
      </c>
    </row>
    <row r="31" spans="1:16" x14ac:dyDescent="0.35">
      <c r="A31" s="4">
        <v>30</v>
      </c>
      <c r="B31" s="79" t="s">
        <v>32</v>
      </c>
      <c r="C31" s="765">
        <v>254811.09</v>
      </c>
      <c r="D31" s="770">
        <v>650.09830568594828</v>
      </c>
      <c r="E31" s="770">
        <v>123088.29999999997</v>
      </c>
      <c r="F31" s="766">
        <v>165007</v>
      </c>
      <c r="G31" s="790">
        <v>254811</v>
      </c>
      <c r="H31" s="790"/>
      <c r="I31" s="790"/>
      <c r="J31" s="766">
        <v>41957</v>
      </c>
      <c r="K31" s="766">
        <v>189338</v>
      </c>
      <c r="L31" s="766">
        <v>23516</v>
      </c>
    </row>
    <row r="32" spans="1:16" x14ac:dyDescent="0.35">
      <c r="A32" s="4">
        <v>31</v>
      </c>
      <c r="B32" s="79" t="s">
        <v>33</v>
      </c>
      <c r="C32" s="765">
        <v>26105.35</v>
      </c>
      <c r="D32" s="770">
        <v>556.45915850530355</v>
      </c>
      <c r="E32" s="770">
        <v>8236.9699999999993</v>
      </c>
      <c r="F32" s="766">
        <v>32596</v>
      </c>
      <c r="G32" s="790">
        <v>24046</v>
      </c>
      <c r="H32" s="790">
        <v>2053</v>
      </c>
      <c r="I32" s="790">
        <v>6</v>
      </c>
      <c r="J32" s="766">
        <v>5951</v>
      </c>
      <c r="K32" s="766">
        <v>14802</v>
      </c>
      <c r="L32" s="766">
        <v>5352</v>
      </c>
    </row>
    <row r="33" spans="1:12" x14ac:dyDescent="0.35">
      <c r="A33" s="4">
        <v>32</v>
      </c>
      <c r="B33" s="79" t="s">
        <v>34</v>
      </c>
      <c r="C33" s="765">
        <v>24932.5</v>
      </c>
      <c r="D33" s="770">
        <v>727.58474093755933</v>
      </c>
      <c r="E33" s="770">
        <v>9584.11</v>
      </c>
      <c r="F33" s="766">
        <v>21423</v>
      </c>
      <c r="G33" s="790">
        <v>24933</v>
      </c>
      <c r="H33" s="790"/>
      <c r="I33" s="790"/>
      <c r="J33" s="766">
        <v>6721</v>
      </c>
      <c r="K33" s="766">
        <v>13173</v>
      </c>
      <c r="L33" s="766">
        <v>5039</v>
      </c>
    </row>
    <row r="34" spans="1:12" x14ac:dyDescent="0.35">
      <c r="A34" s="4">
        <v>33</v>
      </c>
      <c r="B34" s="79" t="s">
        <v>35</v>
      </c>
      <c r="C34" s="765">
        <v>34500</v>
      </c>
      <c r="D34" s="770">
        <v>600.04427962583713</v>
      </c>
      <c r="E34" s="770">
        <v>10841</v>
      </c>
      <c r="F34" s="766">
        <v>37655</v>
      </c>
      <c r="G34" s="790">
        <v>34500</v>
      </c>
      <c r="H34" s="790"/>
      <c r="I34" s="790"/>
      <c r="J34" s="766">
        <v>10201</v>
      </c>
      <c r="K34" s="766">
        <v>18067</v>
      </c>
      <c r="L34" s="766">
        <v>6232</v>
      </c>
    </row>
    <row r="35" spans="1:12" x14ac:dyDescent="0.35">
      <c r="A35" s="4">
        <v>34</v>
      </c>
      <c r="B35" s="79" t="s">
        <v>36</v>
      </c>
      <c r="C35" s="765">
        <v>14394</v>
      </c>
      <c r="D35" s="770">
        <v>660.8224016145308</v>
      </c>
      <c r="E35" s="785">
        <v>5239</v>
      </c>
      <c r="F35" s="766">
        <v>9707</v>
      </c>
      <c r="G35" s="790">
        <v>14394</v>
      </c>
      <c r="H35" s="790"/>
      <c r="I35" s="790"/>
      <c r="J35" s="766">
        <v>125</v>
      </c>
      <c r="K35" s="766">
        <v>7928</v>
      </c>
      <c r="L35" s="766">
        <v>6341</v>
      </c>
    </row>
    <row r="36" spans="1:12" x14ac:dyDescent="0.35">
      <c r="B36" s="128" t="s">
        <v>105</v>
      </c>
      <c r="C36" s="848">
        <f>SUM(C2:C35)</f>
        <v>1611013.9686038888</v>
      </c>
      <c r="D36" s="848">
        <f t="shared" ref="D36:L36" si="0">SUM(D2:D35)</f>
        <v>21618.94126158896</v>
      </c>
      <c r="E36" s="848">
        <f t="shared" si="0"/>
        <v>767280.05041280133</v>
      </c>
      <c r="F36" s="848">
        <f t="shared" si="0"/>
        <v>1712481</v>
      </c>
      <c r="G36" s="848">
        <f t="shared" si="0"/>
        <v>1584152</v>
      </c>
      <c r="H36" s="848">
        <f t="shared" si="0"/>
        <v>12384</v>
      </c>
      <c r="I36" s="848">
        <f t="shared" si="0"/>
        <v>14498</v>
      </c>
      <c r="J36" s="848">
        <f t="shared" si="0"/>
        <v>305266</v>
      </c>
      <c r="K36" s="848">
        <f t="shared" si="0"/>
        <v>1044200</v>
      </c>
      <c r="L36" s="848">
        <f t="shared" si="0"/>
        <v>253942</v>
      </c>
    </row>
    <row r="37" spans="1:12" x14ac:dyDescent="0.35">
      <c r="J37" s="81"/>
      <c r="K37" s="81"/>
    </row>
    <row r="39" spans="1:12" x14ac:dyDescent="0.35">
      <c r="D39" s="7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2014</vt:lpstr>
      <vt:lpstr>2014_kab</vt:lpstr>
      <vt:lpstr>2015</vt:lpstr>
      <vt:lpstr>2015_kab</vt:lpstr>
      <vt:lpstr>2016</vt:lpstr>
      <vt:lpstr>2016_kab</vt:lpstr>
      <vt:lpstr>2017</vt:lpstr>
      <vt:lpstr>2017_kab</vt:lpstr>
      <vt:lpstr>2018</vt:lpstr>
      <vt:lpstr>2018_kab</vt:lpstr>
      <vt:lpstr>2019</vt:lpstr>
      <vt:lpstr>2019_kab</vt:lpstr>
      <vt:lpstr>2020</vt:lpstr>
      <vt:lpstr>2020_kab</vt:lpstr>
      <vt:lpstr>2021</vt:lpstr>
      <vt:lpstr>2021_kab</vt:lpstr>
      <vt:lpstr>Perhitungan Manual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2022-09-26T20:03:30Z</dcterms:created>
  <dcterms:modified xsi:type="dcterms:W3CDTF">2023-01-02T12:40:10Z</dcterms:modified>
</cp:coreProperties>
</file>