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8195" windowHeight="7695" activeTab="3"/>
  </bookViews>
  <sheets>
    <sheet name="raw_data" sheetId="1" r:id="rId1"/>
    <sheet name="new_raw_data" sheetId="4" r:id="rId2"/>
    <sheet name="drill_holes" sheetId="2" r:id="rId3"/>
    <sheet name="filterd_data" sheetId="3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S3" i="5" l="1"/>
  <c r="Q3" i="5"/>
  <c r="P3" i="5"/>
  <c r="O3" i="5"/>
  <c r="L3" i="5"/>
  <c r="K3" i="5"/>
  <c r="M3" i="5" s="1"/>
  <c r="I3" i="5"/>
  <c r="N3" i="5" s="1"/>
  <c r="H3" i="5"/>
  <c r="G3" i="5"/>
  <c r="S2" i="5"/>
  <c r="R2" i="5"/>
  <c r="Q2" i="5"/>
  <c r="O2" i="5"/>
  <c r="L2" i="5"/>
  <c r="K2" i="5"/>
  <c r="M2" i="5" s="1"/>
  <c r="H2" i="5"/>
  <c r="G2" i="5"/>
  <c r="S1" i="5"/>
  <c r="R1" i="5"/>
  <c r="Q1" i="5"/>
  <c r="O1" i="5"/>
  <c r="L1" i="5"/>
  <c r="K1" i="5"/>
  <c r="M1" i="5" s="1"/>
  <c r="H1" i="5"/>
  <c r="G1" i="5"/>
  <c r="L8" i="4"/>
  <c r="R32" i="1"/>
  <c r="Q32" i="1"/>
  <c r="P32" i="1"/>
  <c r="O32" i="1"/>
  <c r="L32" i="1"/>
  <c r="K32" i="1"/>
  <c r="M32" i="1" s="1"/>
  <c r="I32" i="1"/>
  <c r="N32" i="1" s="1"/>
  <c r="H32" i="1"/>
  <c r="G32" i="1"/>
  <c r="K8" i="4"/>
  <c r="H8" i="4"/>
  <c r="G8" i="4"/>
  <c r="I2" i="5" l="1"/>
  <c r="N2" i="5" s="1"/>
  <c r="I1" i="5"/>
  <c r="N1" i="5" s="1"/>
  <c r="G38" i="3"/>
  <c r="H38" i="3"/>
  <c r="K38" i="3"/>
  <c r="M38" i="3" s="1"/>
  <c r="L38" i="3"/>
  <c r="O38" i="3"/>
  <c r="Q38" i="3"/>
  <c r="R38" i="3"/>
  <c r="S38" i="3"/>
  <c r="G39" i="3"/>
  <c r="H39" i="3"/>
  <c r="K39" i="3"/>
  <c r="M39" i="3" s="1"/>
  <c r="L39" i="3"/>
  <c r="O39" i="3"/>
  <c r="Q39" i="3"/>
  <c r="R39" i="3"/>
  <c r="S39" i="3"/>
  <c r="G40" i="3"/>
  <c r="H40" i="3"/>
  <c r="K40" i="3"/>
  <c r="M40" i="3" s="1"/>
  <c r="L40" i="3"/>
  <c r="O40" i="3"/>
  <c r="Q40" i="3"/>
  <c r="R40" i="3"/>
  <c r="S40" i="3"/>
  <c r="S37" i="3"/>
  <c r="S36" i="3"/>
  <c r="Q37" i="3"/>
  <c r="Q36" i="3"/>
  <c r="O36" i="3"/>
  <c r="O37" i="3"/>
  <c r="O21" i="3"/>
  <c r="O13" i="3"/>
  <c r="L6" i="4"/>
  <c r="K6" i="4"/>
  <c r="L7" i="4"/>
  <c r="K7" i="4"/>
  <c r="H7" i="4"/>
  <c r="H6" i="4"/>
  <c r="G7" i="4"/>
  <c r="G6" i="4"/>
  <c r="I39" i="3" l="1"/>
  <c r="I40" i="3"/>
  <c r="N40" i="3" s="1"/>
  <c r="I38" i="3"/>
  <c r="N38" i="3" s="1"/>
  <c r="L5" i="4"/>
  <c r="K5" i="4"/>
  <c r="H5" i="4"/>
  <c r="G5" i="4"/>
  <c r="H4" i="4"/>
  <c r="G4" i="4"/>
  <c r="K4" i="4"/>
  <c r="L4" i="4"/>
  <c r="L3" i="4" l="1"/>
  <c r="K3" i="4"/>
  <c r="H3" i="4"/>
  <c r="G3" i="4"/>
  <c r="K2" i="4"/>
  <c r="L2" i="4"/>
  <c r="H2" i="4"/>
  <c r="G2" i="4"/>
  <c r="R37" i="3" l="1"/>
  <c r="R36" i="3"/>
  <c r="G29" i="3" l="1"/>
  <c r="H29" i="3"/>
  <c r="K29" i="3"/>
  <c r="L29" i="3"/>
  <c r="O29" i="3"/>
  <c r="Q29" i="3"/>
  <c r="R29" i="3"/>
  <c r="S29" i="3"/>
  <c r="G24" i="3"/>
  <c r="H24" i="3"/>
  <c r="K24" i="3"/>
  <c r="L24" i="3"/>
  <c r="O24" i="3"/>
  <c r="Q24" i="3"/>
  <c r="R24" i="3"/>
  <c r="S24" i="3"/>
  <c r="M24" i="3" l="1"/>
  <c r="M29" i="3"/>
  <c r="I29" i="3"/>
  <c r="N29" i="3" s="1"/>
  <c r="I24" i="3"/>
  <c r="K37" i="3"/>
  <c r="M37" i="3" s="1"/>
  <c r="H37" i="3"/>
  <c r="G37" i="3"/>
  <c r="K36" i="3"/>
  <c r="M36" i="3" s="1"/>
  <c r="H36" i="3"/>
  <c r="G36" i="3"/>
  <c r="N24" i="3" l="1"/>
  <c r="I37" i="3"/>
  <c r="N37" i="3" s="1"/>
  <c r="I36" i="3"/>
  <c r="N36" i="3" s="1"/>
  <c r="L14" i="3"/>
  <c r="K14" i="3"/>
  <c r="H17" i="3"/>
  <c r="G17" i="3"/>
  <c r="K17" i="3"/>
  <c r="L17" i="3"/>
  <c r="M17" i="3" l="1"/>
  <c r="I17" i="3"/>
  <c r="K25" i="1"/>
  <c r="K15" i="3"/>
  <c r="O3" i="2"/>
  <c r="O4" i="2"/>
  <c r="O5" i="2"/>
  <c r="Q38" i="1" s="1"/>
  <c r="O6" i="2"/>
  <c r="O7" i="2"/>
  <c r="R9" i="3" s="1"/>
  <c r="O8" i="2"/>
  <c r="R3" i="3" s="1"/>
  <c r="O9" i="2"/>
  <c r="O10" i="2"/>
  <c r="O11" i="2"/>
  <c r="O12" i="2"/>
  <c r="O13" i="2"/>
  <c r="O14" i="2"/>
  <c r="O15" i="2"/>
  <c r="O16" i="2"/>
  <c r="O17" i="2"/>
  <c r="O18" i="2"/>
  <c r="Q37" i="1" s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Q27" i="1" s="1"/>
  <c r="O54" i="2"/>
  <c r="O55" i="2"/>
  <c r="O56" i="2"/>
  <c r="O57" i="2"/>
  <c r="O58" i="2"/>
  <c r="O2" i="2"/>
  <c r="Q42" i="1"/>
  <c r="R22" i="3"/>
  <c r="Q40" i="1"/>
  <c r="Q46" i="1"/>
  <c r="S22" i="3"/>
  <c r="Q22" i="3"/>
  <c r="O22" i="3"/>
  <c r="L22" i="3"/>
  <c r="K22" i="3"/>
  <c r="H22" i="3"/>
  <c r="G22" i="3"/>
  <c r="S21" i="3"/>
  <c r="Q21" i="3"/>
  <c r="L21" i="3"/>
  <c r="K21" i="3"/>
  <c r="H21" i="3"/>
  <c r="G21" i="3"/>
  <c r="S35" i="3"/>
  <c r="R35" i="3"/>
  <c r="Q35" i="3"/>
  <c r="O35" i="3"/>
  <c r="L35" i="3"/>
  <c r="K35" i="3"/>
  <c r="H35" i="3"/>
  <c r="G35" i="3"/>
  <c r="S34" i="3"/>
  <c r="R34" i="3"/>
  <c r="Q34" i="3"/>
  <c r="O34" i="3"/>
  <c r="L34" i="3"/>
  <c r="K34" i="3"/>
  <c r="H34" i="3"/>
  <c r="G34" i="3"/>
  <c r="S27" i="3"/>
  <c r="R27" i="3"/>
  <c r="Q27" i="3"/>
  <c r="O27" i="3"/>
  <c r="L27" i="3"/>
  <c r="K27" i="3"/>
  <c r="H27" i="3"/>
  <c r="G27" i="3"/>
  <c r="S32" i="3"/>
  <c r="Q32" i="3"/>
  <c r="O32" i="3"/>
  <c r="L32" i="3"/>
  <c r="K32" i="3"/>
  <c r="H32" i="3"/>
  <c r="G32" i="3"/>
  <c r="S23" i="3"/>
  <c r="R23" i="3"/>
  <c r="Q23" i="3"/>
  <c r="O23" i="3"/>
  <c r="L23" i="3"/>
  <c r="K23" i="3"/>
  <c r="H23" i="3"/>
  <c r="G23" i="3"/>
  <c r="S25" i="3"/>
  <c r="R25" i="3"/>
  <c r="Q25" i="3"/>
  <c r="O25" i="3"/>
  <c r="L25" i="3"/>
  <c r="K25" i="3"/>
  <c r="H25" i="3"/>
  <c r="G25" i="3"/>
  <c r="S12" i="3"/>
  <c r="R12" i="3"/>
  <c r="Q12" i="3"/>
  <c r="O12" i="3"/>
  <c r="L12" i="3"/>
  <c r="K12" i="3"/>
  <c r="H12" i="3"/>
  <c r="G12" i="3"/>
  <c r="S6" i="3"/>
  <c r="R6" i="3"/>
  <c r="Q6" i="3"/>
  <c r="O6" i="3"/>
  <c r="L6" i="3"/>
  <c r="K6" i="3"/>
  <c r="H6" i="3"/>
  <c r="G6" i="3"/>
  <c r="S11" i="3"/>
  <c r="R11" i="3"/>
  <c r="Q11" i="3"/>
  <c r="O11" i="3"/>
  <c r="L11" i="3"/>
  <c r="K11" i="3"/>
  <c r="H11" i="3"/>
  <c r="G11" i="3"/>
  <c r="S16" i="3"/>
  <c r="Q16" i="3"/>
  <c r="O16" i="3"/>
  <c r="L16" i="3"/>
  <c r="K16" i="3"/>
  <c r="H16" i="3"/>
  <c r="G16" i="3"/>
  <c r="S20" i="3"/>
  <c r="Q20" i="3"/>
  <c r="O20" i="3"/>
  <c r="L20" i="3"/>
  <c r="K20" i="3"/>
  <c r="H20" i="3"/>
  <c r="G20" i="3"/>
  <c r="S33" i="3"/>
  <c r="R33" i="3"/>
  <c r="Q33" i="3"/>
  <c r="O33" i="3"/>
  <c r="L33" i="3"/>
  <c r="K33" i="3"/>
  <c r="H33" i="3"/>
  <c r="G33" i="3"/>
  <c r="S30" i="3"/>
  <c r="R30" i="3"/>
  <c r="Q30" i="3"/>
  <c r="O30" i="3"/>
  <c r="L30" i="3"/>
  <c r="K30" i="3"/>
  <c r="H30" i="3"/>
  <c r="G30" i="3"/>
  <c r="S26" i="3"/>
  <c r="Q26" i="3"/>
  <c r="O26" i="3"/>
  <c r="L26" i="3"/>
  <c r="K26" i="3"/>
  <c r="H26" i="3"/>
  <c r="G26" i="3"/>
  <c r="S15" i="3"/>
  <c r="Q15" i="3"/>
  <c r="O15" i="3"/>
  <c r="L15" i="3"/>
  <c r="H15" i="3"/>
  <c r="G15" i="3"/>
  <c r="S13" i="3"/>
  <c r="Q13" i="3"/>
  <c r="L13" i="3"/>
  <c r="K13" i="3"/>
  <c r="H13" i="3"/>
  <c r="G13" i="3"/>
  <c r="S19" i="3"/>
  <c r="R19" i="3"/>
  <c r="Q19" i="3"/>
  <c r="O19" i="3"/>
  <c r="L19" i="3"/>
  <c r="K19" i="3"/>
  <c r="H19" i="3"/>
  <c r="G19" i="3"/>
  <c r="S14" i="3"/>
  <c r="R14" i="3"/>
  <c r="Q14" i="3"/>
  <c r="O14" i="3"/>
  <c r="H14" i="3"/>
  <c r="G14" i="3"/>
  <c r="S4" i="3"/>
  <c r="R4" i="3"/>
  <c r="Q4" i="3"/>
  <c r="O4" i="3"/>
  <c r="L4" i="3"/>
  <c r="K4" i="3"/>
  <c r="H4" i="3"/>
  <c r="G4" i="3"/>
  <c r="S10" i="3"/>
  <c r="R10" i="3"/>
  <c r="Q10" i="3"/>
  <c r="O10" i="3"/>
  <c r="L10" i="3"/>
  <c r="K10" i="3"/>
  <c r="H10" i="3"/>
  <c r="G10" i="3"/>
  <c r="S5" i="3"/>
  <c r="R5" i="3"/>
  <c r="Q5" i="3"/>
  <c r="O5" i="3"/>
  <c r="L5" i="3"/>
  <c r="K5" i="3"/>
  <c r="H5" i="3"/>
  <c r="G5" i="3"/>
  <c r="S18" i="3"/>
  <c r="Q18" i="3"/>
  <c r="O18" i="3"/>
  <c r="L18" i="3"/>
  <c r="K18" i="3"/>
  <c r="H18" i="3"/>
  <c r="G18" i="3"/>
  <c r="S9" i="3"/>
  <c r="Q9" i="3"/>
  <c r="O9" i="3"/>
  <c r="L9" i="3"/>
  <c r="K9" i="3"/>
  <c r="H9" i="3"/>
  <c r="G9" i="3"/>
  <c r="S3" i="3"/>
  <c r="Q3" i="3"/>
  <c r="O3" i="3"/>
  <c r="L3" i="3"/>
  <c r="K3" i="3"/>
  <c r="H3" i="3"/>
  <c r="G3" i="3"/>
  <c r="S31" i="3"/>
  <c r="R31" i="3"/>
  <c r="Q31" i="3"/>
  <c r="O31" i="3"/>
  <c r="L31" i="3"/>
  <c r="K31" i="3"/>
  <c r="H31" i="3"/>
  <c r="G31" i="3"/>
  <c r="S8" i="3"/>
  <c r="R8" i="3"/>
  <c r="Q8" i="3"/>
  <c r="O8" i="3"/>
  <c r="L8" i="3"/>
  <c r="K8" i="3"/>
  <c r="H8" i="3"/>
  <c r="G8" i="3"/>
  <c r="S28" i="3"/>
  <c r="R28" i="3"/>
  <c r="Q28" i="3"/>
  <c r="O28" i="3"/>
  <c r="L28" i="3"/>
  <c r="K28" i="3"/>
  <c r="H28" i="3"/>
  <c r="G28" i="3"/>
  <c r="S2" i="3"/>
  <c r="R2" i="3"/>
  <c r="Q2" i="3"/>
  <c r="O2" i="3"/>
  <c r="L2" i="3"/>
  <c r="K2" i="3"/>
  <c r="H2" i="3"/>
  <c r="G2" i="3"/>
  <c r="S17" i="3"/>
  <c r="R17" i="3"/>
  <c r="Q17" i="3"/>
  <c r="O17" i="3"/>
  <c r="S7" i="3"/>
  <c r="R7" i="3"/>
  <c r="Q7" i="3"/>
  <c r="O7" i="3"/>
  <c r="L7" i="3"/>
  <c r="K7" i="3"/>
  <c r="H7" i="3"/>
  <c r="G7" i="3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7" i="1"/>
  <c r="P13" i="1"/>
  <c r="P12" i="1"/>
  <c r="P11" i="1"/>
  <c r="P10" i="1"/>
  <c r="P9" i="1"/>
  <c r="P8" i="1"/>
  <c r="P6" i="1"/>
  <c r="P5" i="1"/>
  <c r="P4" i="1"/>
  <c r="P3" i="1"/>
  <c r="P2" i="1"/>
  <c r="R47" i="1"/>
  <c r="Q47" i="1"/>
  <c r="R46" i="1"/>
  <c r="R45" i="1"/>
  <c r="R44" i="1"/>
  <c r="R43" i="1"/>
  <c r="Q43" i="1"/>
  <c r="R42" i="1"/>
  <c r="R41" i="1"/>
  <c r="R40" i="1"/>
  <c r="R39" i="1"/>
  <c r="R38" i="1"/>
  <c r="R37" i="1"/>
  <c r="R36" i="1"/>
  <c r="Q36" i="1"/>
  <c r="R35" i="1"/>
  <c r="Q35" i="1"/>
  <c r="R34" i="1"/>
  <c r="R33" i="1"/>
  <c r="Q31" i="1"/>
  <c r="Q30" i="1"/>
  <c r="R31" i="1"/>
  <c r="R30" i="1"/>
  <c r="R7" i="1"/>
  <c r="R29" i="1"/>
  <c r="Q29" i="1"/>
  <c r="R28" i="1"/>
  <c r="Q28" i="1"/>
  <c r="R27" i="1"/>
  <c r="R26" i="1"/>
  <c r="R25" i="1"/>
  <c r="R24" i="1"/>
  <c r="Q24" i="1"/>
  <c r="R23" i="1"/>
  <c r="R22" i="1"/>
  <c r="Q22" i="1"/>
  <c r="R21" i="1"/>
  <c r="Q21" i="1"/>
  <c r="R20" i="1"/>
  <c r="P29" i="3" l="1"/>
  <c r="P24" i="3"/>
  <c r="P5" i="3"/>
  <c r="P2" i="3"/>
  <c r="P31" i="3"/>
  <c r="P7" i="3"/>
  <c r="P16" i="3"/>
  <c r="P10" i="3"/>
  <c r="P33" i="3"/>
  <c r="P9" i="3"/>
  <c r="P17" i="3"/>
  <c r="P15" i="3"/>
  <c r="P21" i="3"/>
  <c r="P4" i="3"/>
  <c r="P20" i="3"/>
  <c r="P18" i="3"/>
  <c r="P26" i="3"/>
  <c r="P28" i="3"/>
  <c r="P22" i="3"/>
  <c r="P14" i="3"/>
  <c r="P19" i="3"/>
  <c r="P13" i="3"/>
  <c r="P27" i="3"/>
  <c r="P34" i="3"/>
  <c r="P35" i="3"/>
  <c r="P30" i="3"/>
  <c r="P8" i="3"/>
  <c r="P3" i="3"/>
  <c r="P11" i="3"/>
  <c r="P6" i="3"/>
  <c r="P12" i="3"/>
  <c r="P25" i="3"/>
  <c r="P23" i="3"/>
  <c r="P32" i="3"/>
  <c r="M21" i="3"/>
  <c r="I22" i="3"/>
  <c r="M27" i="3"/>
  <c r="M35" i="3"/>
  <c r="M16" i="3"/>
  <c r="I18" i="3"/>
  <c r="M18" i="3"/>
  <c r="I8" i="3"/>
  <c r="M28" i="3"/>
  <c r="M7" i="3"/>
  <c r="I31" i="3"/>
  <c r="M26" i="3"/>
  <c r="M22" i="3"/>
  <c r="I3" i="3"/>
  <c r="M6" i="3"/>
  <c r="M25" i="3"/>
  <c r="M32" i="3"/>
  <c r="Q25" i="1"/>
  <c r="Q39" i="1"/>
  <c r="Q44" i="1"/>
  <c r="Q20" i="1"/>
  <c r="R21" i="3"/>
  <c r="R13" i="3"/>
  <c r="R16" i="3"/>
  <c r="Q26" i="1"/>
  <c r="Q33" i="1"/>
  <c r="Q41" i="1"/>
  <c r="R18" i="3"/>
  <c r="R26" i="3"/>
  <c r="R20" i="3"/>
  <c r="Q7" i="1"/>
  <c r="Q45" i="1"/>
  <c r="R32" i="3"/>
  <c r="Q34" i="1"/>
  <c r="R15" i="3"/>
  <c r="Q23" i="1"/>
  <c r="M23" i="3"/>
  <c r="M14" i="3"/>
  <c r="M33" i="3"/>
  <c r="I5" i="3"/>
  <c r="I4" i="3"/>
  <c r="I14" i="3"/>
  <c r="I19" i="3"/>
  <c r="I15" i="3"/>
  <c r="I26" i="3"/>
  <c r="I33" i="3"/>
  <c r="I16" i="3"/>
  <c r="N17" i="3"/>
  <c r="I32" i="3"/>
  <c r="I34" i="3"/>
  <c r="M8" i="3"/>
  <c r="M5" i="3"/>
  <c r="M4" i="3"/>
  <c r="I13" i="3"/>
  <c r="M9" i="3"/>
  <c r="M13" i="3"/>
  <c r="M15" i="3"/>
  <c r="I11" i="3"/>
  <c r="I12" i="3"/>
  <c r="I2" i="3"/>
  <c r="I28" i="3"/>
  <c r="M19" i="3"/>
  <c r="I23" i="3"/>
  <c r="I35" i="3"/>
  <c r="I6" i="3"/>
  <c r="I25" i="3"/>
  <c r="M34" i="3"/>
  <c r="I10" i="3"/>
  <c r="M2" i="3"/>
  <c r="I9" i="3"/>
  <c r="M10" i="3"/>
  <c r="I30" i="3"/>
  <c r="I20" i="3"/>
  <c r="M11" i="3"/>
  <c r="M12" i="3"/>
  <c r="M30" i="3"/>
  <c r="M20" i="3"/>
  <c r="I27" i="3"/>
  <c r="I21" i="3"/>
  <c r="I7" i="3"/>
  <c r="M31" i="3"/>
  <c r="M3" i="3"/>
  <c r="R19" i="1"/>
  <c r="Q19" i="1"/>
  <c r="R18" i="1"/>
  <c r="Q18" i="1"/>
  <c r="R17" i="1"/>
  <c r="Q17" i="1"/>
  <c r="R16" i="1"/>
  <c r="Q16" i="1"/>
  <c r="R15" i="1"/>
  <c r="Q15" i="1"/>
  <c r="Q14" i="1"/>
  <c r="Q13" i="1"/>
  <c r="R14" i="1"/>
  <c r="R13" i="1"/>
  <c r="R12" i="1"/>
  <c r="Q12" i="1"/>
  <c r="R11" i="1"/>
  <c r="Q11" i="1"/>
  <c r="R10" i="1"/>
  <c r="Q10" i="1"/>
  <c r="R9" i="1"/>
  <c r="Q9" i="1"/>
  <c r="R8" i="1"/>
  <c r="Q8" i="1"/>
  <c r="R6" i="1"/>
  <c r="Q6" i="1"/>
  <c r="R2" i="1"/>
  <c r="Q2" i="1"/>
  <c r="Q5" i="1"/>
  <c r="R5" i="1"/>
  <c r="R4" i="1"/>
  <c r="Q4" i="1"/>
  <c r="R3" i="1"/>
  <c r="Q3" i="1"/>
  <c r="H29" i="1"/>
  <c r="G29" i="1"/>
  <c r="L47" i="1"/>
  <c r="K47" i="1"/>
  <c r="M47" i="1" s="1"/>
  <c r="K45" i="1"/>
  <c r="K44" i="1"/>
  <c r="L46" i="1"/>
  <c r="L44" i="1"/>
  <c r="K46" i="1"/>
  <c r="L43" i="1"/>
  <c r="K43" i="1"/>
  <c r="L41" i="1"/>
  <c r="K41" i="1"/>
  <c r="K40" i="1"/>
  <c r="L42" i="1"/>
  <c r="K42" i="1"/>
  <c r="M42" i="1" s="1"/>
  <c r="L40" i="1"/>
  <c r="L39" i="1"/>
  <c r="K38" i="1"/>
  <c r="K37" i="1"/>
  <c r="L38" i="1"/>
  <c r="K39" i="1"/>
  <c r="L36" i="1"/>
  <c r="L37" i="1"/>
  <c r="K36" i="1"/>
  <c r="K35" i="1"/>
  <c r="L35" i="1"/>
  <c r="L34" i="1"/>
  <c r="L31" i="1"/>
  <c r="K31" i="1"/>
  <c r="L29" i="1"/>
  <c r="K29" i="1"/>
  <c r="M29" i="1" s="1"/>
  <c r="L28" i="1"/>
  <c r="L27" i="1"/>
  <c r="L25" i="1"/>
  <c r="M25" i="1"/>
  <c r="K24" i="1"/>
  <c r="M24" i="1" s="1"/>
  <c r="K28" i="1"/>
  <c r="L26" i="1"/>
  <c r="L24" i="1"/>
  <c r="K23" i="1"/>
  <c r="L22" i="1"/>
  <c r="K22" i="1"/>
  <c r="L21" i="1"/>
  <c r="L19" i="1"/>
  <c r="K19" i="1"/>
  <c r="L18" i="1"/>
  <c r="K16" i="1"/>
  <c r="L14" i="1"/>
  <c r="K14" i="1"/>
  <c r="M14" i="1" s="1"/>
  <c r="K13" i="1"/>
  <c r="K18" i="1"/>
  <c r="M18" i="1" s="1"/>
  <c r="L17" i="1"/>
  <c r="K17" i="1"/>
  <c r="K21" i="1"/>
  <c r="L20" i="1"/>
  <c r="L30" i="1"/>
  <c r="K30" i="1"/>
  <c r="M30" i="1" s="1"/>
  <c r="K33" i="1"/>
  <c r="K20" i="1"/>
  <c r="L33" i="1"/>
  <c r="M33" i="1" s="1"/>
  <c r="L12" i="1"/>
  <c r="K12" i="1"/>
  <c r="L11" i="1"/>
  <c r="K11" i="1"/>
  <c r="L10" i="1"/>
  <c r="K10" i="1"/>
  <c r="L8" i="1"/>
  <c r="L45" i="1"/>
  <c r="K34" i="1"/>
  <c r="K27" i="1"/>
  <c r="L13" i="1"/>
  <c r="L23" i="1"/>
  <c r="L9" i="1"/>
  <c r="K9" i="1"/>
  <c r="K8" i="1"/>
  <c r="M8" i="1" s="1"/>
  <c r="K7" i="1"/>
  <c r="L7" i="1"/>
  <c r="L6" i="1"/>
  <c r="K6" i="1"/>
  <c r="M6" i="1" s="1"/>
  <c r="K5" i="1"/>
  <c r="M5" i="1" s="1"/>
  <c r="K4" i="1"/>
  <c r="M4" i="1" s="1"/>
  <c r="K3" i="1"/>
  <c r="M3" i="1" s="1"/>
  <c r="K26" i="1"/>
  <c r="M26" i="1" s="1"/>
  <c r="L15" i="1"/>
  <c r="M15" i="1" s="1"/>
  <c r="L2" i="1"/>
  <c r="K15" i="1"/>
  <c r="L16" i="1"/>
  <c r="K2" i="1"/>
  <c r="H47" i="1"/>
  <c r="G47" i="1"/>
  <c r="H46" i="1"/>
  <c r="G46" i="1"/>
  <c r="I46" i="1" s="1"/>
  <c r="H45" i="1"/>
  <c r="I45" i="1" s="1"/>
  <c r="G45" i="1"/>
  <c r="H44" i="1"/>
  <c r="G44" i="1"/>
  <c r="H43" i="1"/>
  <c r="G43" i="1"/>
  <c r="G42" i="1"/>
  <c r="H42" i="1"/>
  <c r="I42" i="1" s="1"/>
  <c r="H41" i="1"/>
  <c r="G41" i="1"/>
  <c r="H40" i="1"/>
  <c r="G40" i="1"/>
  <c r="H39" i="1"/>
  <c r="G39" i="1"/>
  <c r="H38" i="1"/>
  <c r="G38" i="1"/>
  <c r="I38" i="1" s="1"/>
  <c r="H37" i="1"/>
  <c r="I37" i="1" s="1"/>
  <c r="G37" i="1"/>
  <c r="H36" i="1"/>
  <c r="G36" i="1"/>
  <c r="H35" i="1"/>
  <c r="G35" i="1"/>
  <c r="H34" i="1"/>
  <c r="G34" i="1"/>
  <c r="I34" i="1" s="1"/>
  <c r="H33" i="1"/>
  <c r="G33" i="1"/>
  <c r="H31" i="1"/>
  <c r="G31" i="1"/>
  <c r="H30" i="1"/>
  <c r="G30" i="1"/>
  <c r="H28" i="1"/>
  <c r="G28" i="1"/>
  <c r="H27" i="1"/>
  <c r="G27" i="1"/>
  <c r="H26" i="1"/>
  <c r="G26" i="1"/>
  <c r="H25" i="1"/>
  <c r="G25" i="1"/>
  <c r="H24" i="1"/>
  <c r="G24" i="1"/>
  <c r="G23" i="1"/>
  <c r="I23" i="1" s="1"/>
  <c r="H22" i="1"/>
  <c r="G22" i="1"/>
  <c r="I22" i="1" s="1"/>
  <c r="H21" i="1"/>
  <c r="G21" i="1"/>
  <c r="H20" i="1"/>
  <c r="G20" i="1"/>
  <c r="H19" i="1"/>
  <c r="G19" i="1"/>
  <c r="H18" i="1"/>
  <c r="G18" i="1"/>
  <c r="I18" i="1" s="1"/>
  <c r="H17" i="1"/>
  <c r="G17" i="1"/>
  <c r="I17" i="1" s="1"/>
  <c r="G16" i="1"/>
  <c r="H16" i="1"/>
  <c r="H15" i="1"/>
  <c r="G15" i="1"/>
  <c r="G14" i="1"/>
  <c r="H14" i="1"/>
  <c r="H13" i="1"/>
  <c r="G13" i="1"/>
  <c r="G12" i="1"/>
  <c r="H12" i="1"/>
  <c r="H11" i="1"/>
  <c r="I11" i="1" s="1"/>
  <c r="G11" i="1"/>
  <c r="G10" i="1"/>
  <c r="H10" i="1"/>
  <c r="H9" i="1"/>
  <c r="G9" i="1"/>
  <c r="I9" i="1" s="1"/>
  <c r="H8" i="1"/>
  <c r="G8" i="1"/>
  <c r="I8" i="1" s="1"/>
  <c r="H7" i="1"/>
  <c r="G7" i="1"/>
  <c r="H6" i="1"/>
  <c r="G6" i="1"/>
  <c r="I6" i="1" s="1"/>
  <c r="G5" i="1"/>
  <c r="G4" i="1"/>
  <c r="H5" i="1"/>
  <c r="H4" i="1"/>
  <c r="H3" i="1"/>
  <c r="G3" i="1"/>
  <c r="H2" i="1"/>
  <c r="G2" i="1"/>
  <c r="I2" i="1" s="1"/>
  <c r="I10" i="1" l="1"/>
  <c r="M36" i="1"/>
  <c r="I3" i="1"/>
  <c r="M12" i="1"/>
  <c r="M28" i="1"/>
  <c r="M40" i="1"/>
  <c r="I20" i="1"/>
  <c r="I25" i="1"/>
  <c r="N25" i="1" s="1"/>
  <c r="I30" i="1"/>
  <c r="M10" i="1"/>
  <c r="M13" i="1"/>
  <c r="M43" i="1"/>
  <c r="M9" i="1"/>
  <c r="I40" i="1"/>
  <c r="M11" i="1"/>
  <c r="M23" i="1"/>
  <c r="N23" i="1" s="1"/>
  <c r="I28" i="1"/>
  <c r="M44" i="1"/>
  <c r="M38" i="1"/>
  <c r="N38" i="1" s="1"/>
  <c r="M41" i="1"/>
  <c r="I7" i="1"/>
  <c r="I15" i="1"/>
  <c r="N15" i="1" s="1"/>
  <c r="I19" i="1"/>
  <c r="M34" i="1"/>
  <c r="N34" i="1" s="1"/>
  <c r="M17" i="1"/>
  <c r="N17" i="1" s="1"/>
  <c r="M19" i="1"/>
  <c r="M31" i="1"/>
  <c r="N27" i="3"/>
  <c r="N26" i="3"/>
  <c r="N21" i="3"/>
  <c r="N22" i="3"/>
  <c r="N35" i="3"/>
  <c r="N8" i="3"/>
  <c r="N18" i="3"/>
  <c r="N3" i="3"/>
  <c r="N15" i="3"/>
  <c r="N16" i="3"/>
  <c r="N31" i="3"/>
  <c r="N4" i="3"/>
  <c r="N14" i="3"/>
  <c r="N28" i="3"/>
  <c r="N32" i="3"/>
  <c r="N6" i="3"/>
  <c r="N7" i="3"/>
  <c r="N33" i="3"/>
  <c r="N12" i="3"/>
  <c r="N23" i="3"/>
  <c r="N30" i="3"/>
  <c r="N25" i="3"/>
  <c r="N19" i="3"/>
  <c r="N2" i="3"/>
  <c r="N20" i="3"/>
  <c r="N5" i="3"/>
  <c r="N10" i="3"/>
  <c r="N11" i="3"/>
  <c r="N9" i="3"/>
  <c r="N34" i="3"/>
  <c r="N13" i="3"/>
  <c r="I4" i="1"/>
  <c r="N4" i="1" s="1"/>
  <c r="I5" i="1"/>
  <c r="N5" i="1" s="1"/>
  <c r="I13" i="1"/>
  <c r="N13" i="1" s="1"/>
  <c r="I21" i="1"/>
  <c r="I26" i="1"/>
  <c r="I31" i="1"/>
  <c r="I35" i="1"/>
  <c r="I39" i="1"/>
  <c r="I43" i="1"/>
  <c r="N43" i="1" s="1"/>
  <c r="I47" i="1"/>
  <c r="N47" i="1" s="1"/>
  <c r="M22" i="1"/>
  <c r="N22" i="1" s="1"/>
  <c r="M45" i="1"/>
  <c r="N45" i="1" s="1"/>
  <c r="I12" i="1"/>
  <c r="N12" i="1" s="1"/>
  <c r="M37" i="1"/>
  <c r="N37" i="1" s="1"/>
  <c r="M2" i="1"/>
  <c r="N2" i="1" s="1"/>
  <c r="I16" i="1"/>
  <c r="M7" i="1"/>
  <c r="I27" i="1"/>
  <c r="I36" i="1"/>
  <c r="N36" i="1" s="1"/>
  <c r="I44" i="1"/>
  <c r="N44" i="1" s="1"/>
  <c r="M20" i="1"/>
  <c r="N20" i="1" s="1"/>
  <c r="M16" i="1"/>
  <c r="N16" i="1" s="1"/>
  <c r="M35" i="1"/>
  <c r="M39" i="1"/>
  <c r="I14" i="1"/>
  <c r="N14" i="1" s="1"/>
  <c r="I24" i="1"/>
  <c r="I33" i="1"/>
  <c r="N33" i="1" s="1"/>
  <c r="I41" i="1"/>
  <c r="M27" i="1"/>
  <c r="M21" i="1"/>
  <c r="M46" i="1"/>
  <c r="N3" i="1"/>
  <c r="I29" i="1"/>
  <c r="N19" i="1"/>
  <c r="N11" i="1"/>
  <c r="N39" i="1"/>
  <c r="N8" i="1"/>
  <c r="N24" i="1"/>
  <c r="N46" i="1"/>
  <c r="N30" i="1"/>
  <c r="N40" i="1"/>
  <c r="N6" i="1"/>
  <c r="N42" i="1"/>
  <c r="N18" i="1"/>
  <c r="N10" i="1"/>
  <c r="N9" i="1"/>
  <c r="N26" i="1"/>
  <c r="N29" i="1"/>
  <c r="N7" i="1" l="1"/>
  <c r="N35" i="1"/>
  <c r="N28" i="1"/>
  <c r="N31" i="1"/>
  <c r="N41" i="1"/>
  <c r="N21" i="1"/>
  <c r="N27" i="1"/>
</calcChain>
</file>

<file path=xl/sharedStrings.xml><?xml version="1.0" encoding="utf-8"?>
<sst xmlns="http://schemas.openxmlformats.org/spreadsheetml/2006/main" count="850" uniqueCount="214">
  <si>
    <t>NAME</t>
  </si>
  <si>
    <t>WGS84Lat</t>
  </si>
  <si>
    <t>WGS84Long</t>
  </si>
  <si>
    <t>zeelim_north_east1</t>
  </si>
  <si>
    <t>newISraelEasting</t>
  </si>
  <si>
    <t>newIsraelNorthing</t>
  </si>
  <si>
    <t>140617_140703</t>
  </si>
  <si>
    <t>140719_140804</t>
  </si>
  <si>
    <t>zeelim_north_east2</t>
  </si>
  <si>
    <t>141023_141108</t>
  </si>
  <si>
    <t>150401_150417</t>
  </si>
  <si>
    <t>150911_151013</t>
  </si>
  <si>
    <t>zeelim_suoth1</t>
  </si>
  <si>
    <t>150604_150620</t>
  </si>
  <si>
    <t>150706_150722</t>
  </si>
  <si>
    <t>hever_east1</t>
  </si>
  <si>
    <t>151114_151130</t>
  </si>
  <si>
    <t>ein_gedi1</t>
  </si>
  <si>
    <t>zeelim_west1</t>
  </si>
  <si>
    <t>150111_150127</t>
  </si>
  <si>
    <t>zeelim_north_east2A</t>
  </si>
  <si>
    <t>zeelim_north_east2B</t>
  </si>
  <si>
    <t>zeelim_north_east2C</t>
  </si>
  <si>
    <t>150127_150212</t>
  </si>
  <si>
    <t>150228_150316</t>
  </si>
  <si>
    <t>rahaf_north1</t>
  </si>
  <si>
    <t>rahaf_north2</t>
  </si>
  <si>
    <t>150316_150401</t>
  </si>
  <si>
    <t>150417_150503</t>
  </si>
  <si>
    <t>zeelim_suoth2</t>
  </si>
  <si>
    <t>zeelim_suoth3</t>
  </si>
  <si>
    <t>140703_140719</t>
  </si>
  <si>
    <t>zeelim_suoth4</t>
  </si>
  <si>
    <t>zeelim_suoth6</t>
  </si>
  <si>
    <t>zeelim_suoth7</t>
  </si>
  <si>
    <t>140804_140921</t>
  </si>
  <si>
    <t>141226_150111</t>
  </si>
  <si>
    <t>mishmar1</t>
  </si>
  <si>
    <t>140614_140703</t>
  </si>
  <si>
    <t>ein_gedi_suoth1</t>
  </si>
  <si>
    <t>141108_141124</t>
  </si>
  <si>
    <t>ein_gedi_suoth2</t>
  </si>
  <si>
    <t>ein_gedi2</t>
  </si>
  <si>
    <t>ein_gedi3</t>
  </si>
  <si>
    <t>140921_141007</t>
  </si>
  <si>
    <t>141210_141226</t>
  </si>
  <si>
    <t>mineral1</t>
  </si>
  <si>
    <t>mineralNorth1</t>
  </si>
  <si>
    <t>mineralNorth2</t>
  </si>
  <si>
    <t>rahaf1</t>
  </si>
  <si>
    <t>141007_141023</t>
  </si>
  <si>
    <t>notes</t>
  </si>
  <si>
    <t>130322+</t>
  </si>
  <si>
    <t>land subsidence starts before 130322 with a possible collapse</t>
  </si>
  <si>
    <t>140221_140309</t>
  </si>
  <si>
    <t>all area sinking the land subsidence might start earlier</t>
  </si>
  <si>
    <t>140325_140410</t>
  </si>
  <si>
    <t>mineralNorth3</t>
  </si>
  <si>
    <t>140205_140221</t>
  </si>
  <si>
    <t>rahaf2</t>
  </si>
  <si>
    <t>150725_150911</t>
  </si>
  <si>
    <t>the two previous interferograms are decorrelated</t>
  </si>
  <si>
    <t>rahaf3</t>
  </si>
  <si>
    <t>150101_150417</t>
  </si>
  <si>
    <t>150519_150604</t>
  </si>
  <si>
    <t>hever_suoth</t>
  </si>
  <si>
    <t>160218_160221</t>
  </si>
  <si>
    <t>land_subsidence_start</t>
  </si>
  <si>
    <t xml:space="preserve">cinkholes_collapse </t>
  </si>
  <si>
    <t>ein_gedi4</t>
  </si>
  <si>
    <t>121030_130101</t>
  </si>
  <si>
    <t>151029_151114</t>
  </si>
  <si>
    <t>zeelim_suoth8</t>
  </si>
  <si>
    <t>14921_141007</t>
  </si>
  <si>
    <t xml:space="preserve"> bigger sinkhole west of that one sink as well</t>
  </si>
  <si>
    <t>150503_150519</t>
  </si>
  <si>
    <t>zeelim_suoth9</t>
  </si>
  <si>
    <t>zeelim_suoth10</t>
  </si>
  <si>
    <t>150607_150623</t>
  </si>
  <si>
    <t>150709_150725</t>
  </si>
  <si>
    <t>zeelim</t>
  </si>
  <si>
    <t>zeelim_suoth11</t>
  </si>
  <si>
    <t xml:space="preserve"> לדבר עם גידי על זמני הלידר</t>
  </si>
  <si>
    <t>rahaf4</t>
  </si>
  <si>
    <t>130829_130914</t>
  </si>
  <si>
    <t>130509_130525</t>
  </si>
  <si>
    <t>hever1</t>
  </si>
  <si>
    <t>130322_130423</t>
  </si>
  <si>
    <t>140120_140205</t>
  </si>
  <si>
    <t>ein_gedi_suoth3</t>
  </si>
  <si>
    <t>121029_121114</t>
  </si>
  <si>
    <t>130930_131016</t>
  </si>
  <si>
    <t>ein_gedi5</t>
  </si>
  <si>
    <t>160117_160218</t>
  </si>
  <si>
    <t>160101_160117</t>
  </si>
  <si>
    <t>קריסה מאומת עם דוח של אלי רז 0216</t>
  </si>
  <si>
    <t>130626_130712</t>
  </si>
  <si>
    <t>kedem1</t>
  </si>
  <si>
    <t>hever2</t>
  </si>
  <si>
    <t>131016_131101</t>
  </si>
  <si>
    <t>mineral</t>
  </si>
  <si>
    <t>land_subsidence_start_first</t>
  </si>
  <si>
    <t>land_subsidence_start_second</t>
  </si>
  <si>
    <t>land_subsidence_start_midle</t>
  </si>
  <si>
    <t>cinkholes_collapse _first</t>
  </si>
  <si>
    <t>cinkholes_collapse _second</t>
  </si>
  <si>
    <t>cinkholes_collapse _midle</t>
  </si>
  <si>
    <t>number_of_days</t>
  </si>
  <si>
    <t>OBJECTID *</t>
  </si>
  <si>
    <t>SHAPE *</t>
  </si>
  <si>
    <t>HALIT_DEPTH</t>
  </si>
  <si>
    <t>HALIT_THIKNESS</t>
  </si>
  <si>
    <t>DIST_TO_CHANNEL</t>
  </si>
  <si>
    <t>GRAVEL</t>
  </si>
  <si>
    <t>GRAVEL_CLAY</t>
  </si>
  <si>
    <t>CLAY_GRAVEL</t>
  </si>
  <si>
    <t>CLAY</t>
  </si>
  <si>
    <t>NOTS</t>
  </si>
  <si>
    <t>DATA</t>
  </si>
  <si>
    <t>Groundwater_depth</t>
  </si>
  <si>
    <t>lit_val</t>
  </si>
  <si>
    <t>Point</t>
  </si>
  <si>
    <t>hs-1</t>
  </si>
  <si>
    <t>&lt;Null&gt;</t>
  </si>
  <si>
    <t>hs3</t>
  </si>
  <si>
    <t>eg1</t>
  </si>
  <si>
    <t>eg2</t>
  </si>
  <si>
    <t>EG7</t>
  </si>
  <si>
    <t>EG13</t>
  </si>
  <si>
    <t>MAATZ2</t>
  </si>
  <si>
    <t>MAATZ1</t>
  </si>
  <si>
    <t>EG12</t>
  </si>
  <si>
    <t>EG11</t>
  </si>
  <si>
    <t>EG10</t>
  </si>
  <si>
    <t>EG9</t>
  </si>
  <si>
    <t>EG8</t>
  </si>
  <si>
    <t>EG6</t>
  </si>
  <si>
    <t>ARUGOT1</t>
  </si>
  <si>
    <t>AROGUT2</t>
  </si>
  <si>
    <t>MAZOR1</t>
  </si>
  <si>
    <t>FESHCHA2</t>
  </si>
  <si>
    <t>MINERAL2</t>
  </si>
  <si>
    <t>NZ1</t>
  </si>
  <si>
    <t>NZ2</t>
  </si>
  <si>
    <t>EB1</t>
  </si>
  <si>
    <t>Rahaf1</t>
  </si>
  <si>
    <t>EG17</t>
  </si>
  <si>
    <t>EG18</t>
  </si>
  <si>
    <t>EG19</t>
  </si>
  <si>
    <t>MIN4</t>
  </si>
  <si>
    <t>DR2</t>
  </si>
  <si>
    <t>DR3</t>
  </si>
  <si>
    <t>DR4</t>
  </si>
  <si>
    <t>EG20</t>
  </si>
  <si>
    <t>Mazor4</t>
  </si>
  <si>
    <t>ZEELIM6</t>
  </si>
  <si>
    <t>KEDEM3</t>
  </si>
  <si>
    <t>Hever5</t>
  </si>
  <si>
    <t>Hever6</t>
  </si>
  <si>
    <t>BD.L06</t>
  </si>
  <si>
    <t>BH.L-21</t>
  </si>
  <si>
    <t>BH.L-25</t>
  </si>
  <si>
    <t>salt until bottom of the borehole</t>
  </si>
  <si>
    <t>BHLA-01</t>
  </si>
  <si>
    <t>BHLA-03</t>
  </si>
  <si>
    <t>free fall  1.5-2.2 salt?</t>
  </si>
  <si>
    <t>BHLA-04</t>
  </si>
  <si>
    <t>BHLA-23</t>
  </si>
  <si>
    <t>33-36.4 free fall counted as salt</t>
  </si>
  <si>
    <t>BHLA-33</t>
  </si>
  <si>
    <t>D20-02</t>
  </si>
  <si>
    <t>BH-3</t>
  </si>
  <si>
    <t>BH-5</t>
  </si>
  <si>
    <t>BH-8</t>
  </si>
  <si>
    <t xml:space="preserve">alternation layers of salt and clay from 15 m, drill stop in the salt layer </t>
  </si>
  <si>
    <t>BH-18</t>
  </si>
  <si>
    <t>BH-21</t>
  </si>
  <si>
    <t>BH-22</t>
  </si>
  <si>
    <t>BH-24</t>
  </si>
  <si>
    <t xml:space="preserve">2 layers of 0.50 m salt near the surface, drill stop in the salt layer </t>
  </si>
  <si>
    <t>BH-30</t>
  </si>
  <si>
    <t>BH-32</t>
  </si>
  <si>
    <t>BH-33</t>
  </si>
  <si>
    <t>BH-36</t>
  </si>
  <si>
    <t>BH-40</t>
  </si>
  <si>
    <t>drill stop in salt layer</t>
  </si>
  <si>
    <t>reliability_collaps</t>
  </si>
  <si>
    <t>reliability_litology</t>
  </si>
  <si>
    <t>from_drill</t>
  </si>
  <si>
    <t>20141124_20141210</t>
  </si>
  <si>
    <t>p-88_1</t>
  </si>
  <si>
    <t>111214_111230</t>
  </si>
  <si>
    <t>p-88_2</t>
  </si>
  <si>
    <t>140309_140325</t>
  </si>
  <si>
    <t>mineralNorth4</t>
  </si>
  <si>
    <t>zeelim1</t>
  </si>
  <si>
    <t>zeelim2</t>
  </si>
  <si>
    <t>may start subsiding before first interferogram</t>
  </si>
  <si>
    <t>ein_gedi6</t>
  </si>
  <si>
    <t>ein_gedi7</t>
  </si>
  <si>
    <t>zeelim3</t>
  </si>
  <si>
    <t>zeelim4</t>
  </si>
  <si>
    <t>S</t>
  </si>
  <si>
    <t>hever_north</t>
  </si>
  <si>
    <t xml:space="preserve">sinkholes_collapse </t>
  </si>
  <si>
    <t>sinkholes_collapse _first</t>
  </si>
  <si>
    <t>sinkholes_collapse _second</t>
  </si>
  <si>
    <t>sinkholes_collapse _midle</t>
  </si>
  <si>
    <t>HALITE_DEPTH</t>
  </si>
  <si>
    <t>HALITE_THICKNESS</t>
  </si>
  <si>
    <t>Normalized Halite depth</t>
  </si>
  <si>
    <t>HALITE_THIKNESS</t>
  </si>
  <si>
    <t>DIST_TO_HALITE_BORD</t>
  </si>
  <si>
    <t>lith_value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</si>
</sst>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14" fontId="0" fillId="0" borderId="0" xfId="0" applyNumberFormat="1"/>
    <xf numFmtId="14" fontId="0" fillId="3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259580052493437"/>
                  <c:y val="-0.50639909594634003"/>
                </c:manualLayout>
              </c:layout>
              <c:numFmt formatCode="General" sourceLinked="0"/>
            </c:trendlineLbl>
          </c:trendline>
          <c:xVal>
            <c:numRef>
              <c:f>raw_data!$Q$2:$Q$47</c:f>
              <c:numCache>
                <c:formatCode>General</c:formatCode>
                <c:ptCount val="46"/>
                <c:pt idx="0">
                  <c:v>4.7619047619047616E-2</c:v>
                </c:pt>
                <c:pt idx="1">
                  <c:v>4.7619047619047616E-2</c:v>
                </c:pt>
                <c:pt idx="2">
                  <c:v>4.7619047619047616E-2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0.50557575757575757</c:v>
                </c:pt>
                <c:pt idx="6">
                  <c:v>5.9417040358744393E-2</c:v>
                </c:pt>
                <c:pt idx="7">
                  <c:v>0.58356940509915023</c:v>
                </c:pt>
                <c:pt idx="8">
                  <c:v>0.44444444444444442</c:v>
                </c:pt>
                <c:pt idx="9">
                  <c:v>3.896103896103896E-2</c:v>
                </c:pt>
                <c:pt idx="10">
                  <c:v>3.0303030303030304E-2</c:v>
                </c:pt>
                <c:pt idx="11">
                  <c:v>0.50557575757575757</c:v>
                </c:pt>
                <c:pt idx="12">
                  <c:v>0.48412121212121206</c:v>
                </c:pt>
                <c:pt idx="13">
                  <c:v>0.39583333333333331</c:v>
                </c:pt>
                <c:pt idx="14">
                  <c:v>0.19791666666666666</c:v>
                </c:pt>
                <c:pt idx="15">
                  <c:v>0</c:v>
                </c:pt>
                <c:pt idx="16">
                  <c:v>1.016260162601626E-2</c:v>
                </c:pt>
                <c:pt idx="17">
                  <c:v>3.0303030303030304E-2</c:v>
                </c:pt>
                <c:pt idx="18">
                  <c:v>0.73684210526315785</c:v>
                </c:pt>
                <c:pt idx="19">
                  <c:v>0</c:v>
                </c:pt>
                <c:pt idx="20">
                  <c:v>0</c:v>
                </c:pt>
                <c:pt idx="21">
                  <c:v>0.17777777777777778</c:v>
                </c:pt>
                <c:pt idx="22">
                  <c:v>0.44444444444444442</c:v>
                </c:pt>
                <c:pt idx="23">
                  <c:v>0.44444444444444442</c:v>
                </c:pt>
                <c:pt idx="24">
                  <c:v>0.54141414141414135</c:v>
                </c:pt>
                <c:pt idx="25">
                  <c:v>0.66431528398741513</c:v>
                </c:pt>
                <c:pt idx="26">
                  <c:v>0.66120218579234968</c:v>
                </c:pt>
                <c:pt idx="27">
                  <c:v>0.66120218579234968</c:v>
                </c:pt>
                <c:pt idx="28">
                  <c:v>0.50557575757575757</c:v>
                </c:pt>
                <c:pt idx="29">
                  <c:v>0.50557575757575757</c:v>
                </c:pt>
                <c:pt idx="30">
                  <c:v>0.73684210526315785</c:v>
                </c:pt>
                <c:pt idx="31">
                  <c:v>0.62222222222222212</c:v>
                </c:pt>
                <c:pt idx="32">
                  <c:v>0.44121212121212117</c:v>
                </c:pt>
                <c:pt idx="33">
                  <c:v>0.1662836322869955</c:v>
                </c:pt>
                <c:pt idx="34">
                  <c:v>0</c:v>
                </c:pt>
                <c:pt idx="35">
                  <c:v>6.0975609756097554E-3</c:v>
                </c:pt>
                <c:pt idx="36">
                  <c:v>0.25517803968336061</c:v>
                </c:pt>
                <c:pt idx="37">
                  <c:v>0.67676767676767668</c:v>
                </c:pt>
                <c:pt idx="38">
                  <c:v>0.46266666666666662</c:v>
                </c:pt>
                <c:pt idx="39">
                  <c:v>0.73684210526315785</c:v>
                </c:pt>
                <c:pt idx="40">
                  <c:v>0.35555555555555557</c:v>
                </c:pt>
                <c:pt idx="41">
                  <c:v>0.88888888888888884</c:v>
                </c:pt>
                <c:pt idx="42">
                  <c:v>0.88888888888888884</c:v>
                </c:pt>
                <c:pt idx="43">
                  <c:v>0.73684210526315785</c:v>
                </c:pt>
                <c:pt idx="44">
                  <c:v>0.33838383838383834</c:v>
                </c:pt>
                <c:pt idx="45">
                  <c:v>0</c:v>
                </c:pt>
              </c:numCache>
            </c:numRef>
          </c:xVal>
          <c:yVal>
            <c:numRef>
              <c:f>raw_data!$N$2:$N$47</c:f>
              <c:numCache>
                <c:formatCode>General</c:formatCode>
                <c:ptCount val="46"/>
                <c:pt idx="0">
                  <c:v>32</c:v>
                </c:pt>
                <c:pt idx="1">
                  <c:v>95</c:v>
                </c:pt>
                <c:pt idx="2">
                  <c:v>507</c:v>
                </c:pt>
                <c:pt idx="3">
                  <c:v>122</c:v>
                </c:pt>
                <c:pt idx="4">
                  <c:v>0</c:v>
                </c:pt>
                <c:pt idx="5">
                  <c:v>176</c:v>
                </c:pt>
                <c:pt idx="6">
                  <c:v>32</c:v>
                </c:pt>
                <c:pt idx="7">
                  <c:v>224</c:v>
                </c:pt>
                <c:pt idx="8">
                  <c:v>56</c:v>
                </c:pt>
                <c:pt idx="9">
                  <c:v>0</c:v>
                </c:pt>
                <c:pt idx="10">
                  <c:v>32</c:v>
                </c:pt>
                <c:pt idx="11">
                  <c:v>96</c:v>
                </c:pt>
                <c:pt idx="12">
                  <c:v>37</c:v>
                </c:pt>
                <c:pt idx="13">
                  <c:v>32</c:v>
                </c:pt>
                <c:pt idx="14">
                  <c:v>16</c:v>
                </c:pt>
                <c:pt idx="15">
                  <c:v>32</c:v>
                </c:pt>
                <c:pt idx="16">
                  <c:v>8</c:v>
                </c:pt>
                <c:pt idx="17">
                  <c:v>118</c:v>
                </c:pt>
                <c:pt idx="18">
                  <c:v>210</c:v>
                </c:pt>
                <c:pt idx="19">
                  <c:v>80</c:v>
                </c:pt>
                <c:pt idx="20">
                  <c:v>96</c:v>
                </c:pt>
                <c:pt idx="21">
                  <c:v>582</c:v>
                </c:pt>
                <c:pt idx="22">
                  <c:v>64</c:v>
                </c:pt>
                <c:pt idx="23">
                  <c:v>80</c:v>
                </c:pt>
                <c:pt idx="24">
                  <c:v>148</c:v>
                </c:pt>
                <c:pt idx="25">
                  <c:v>112</c:v>
                </c:pt>
                <c:pt idx="26">
                  <c:v>212</c:v>
                </c:pt>
                <c:pt idx="27">
                  <c:v>324</c:v>
                </c:pt>
                <c:pt idx="28">
                  <c:v>96</c:v>
                </c:pt>
                <c:pt idx="29">
                  <c:v>93</c:v>
                </c:pt>
                <c:pt idx="30">
                  <c:v>1176</c:v>
                </c:pt>
                <c:pt idx="31">
                  <c:v>16</c:v>
                </c:pt>
                <c:pt idx="32">
                  <c:v>48</c:v>
                </c:pt>
                <c:pt idx="33">
                  <c:v>32</c:v>
                </c:pt>
                <c:pt idx="34">
                  <c:v>27</c:v>
                </c:pt>
                <c:pt idx="35">
                  <c:v>51</c:v>
                </c:pt>
                <c:pt idx="36">
                  <c:v>144</c:v>
                </c:pt>
                <c:pt idx="37">
                  <c:v>128</c:v>
                </c:pt>
                <c:pt idx="38">
                  <c:v>112</c:v>
                </c:pt>
                <c:pt idx="39">
                  <c:v>296</c:v>
                </c:pt>
                <c:pt idx="40">
                  <c:v>152</c:v>
                </c:pt>
                <c:pt idx="41">
                  <c:v>336</c:v>
                </c:pt>
                <c:pt idx="42">
                  <c:v>336</c:v>
                </c:pt>
                <c:pt idx="43">
                  <c:v>360</c:v>
                </c:pt>
                <c:pt idx="44">
                  <c:v>96</c:v>
                </c:pt>
                <c:pt idx="45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5888"/>
        <c:axId val="49966464"/>
      </c:scatterChart>
      <c:valAx>
        <c:axId val="49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6464"/>
        <c:crosses val="autoZero"/>
        <c:crossBetween val="midCat"/>
      </c:valAx>
      <c:valAx>
        <c:axId val="499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1726137357830273"/>
                  <c:y val="-0.6830479002624672"/>
                </c:manualLayout>
              </c:layout>
              <c:numFmt formatCode="General" sourceLinked="0"/>
            </c:trendlineLbl>
          </c:trendline>
          <c:xVal>
            <c:numRef>
              <c:f>raw_data!$P$2:$P$47</c:f>
              <c:numCache>
                <c:formatCode>General</c:formatCode>
                <c:ptCount val="4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9</c:v>
                </c:pt>
                <c:pt idx="6">
                  <c:v>12.399999999999999</c:v>
                </c:pt>
                <c:pt idx="7">
                  <c:v>7.2</c:v>
                </c:pt>
                <c:pt idx="8">
                  <c:v>11</c:v>
                </c:pt>
                <c:pt idx="9">
                  <c:v>17.524999999999999</c:v>
                </c:pt>
                <c:pt idx="10">
                  <c:v>18.45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10.050000000000001</c:v>
                </c:pt>
                <c:pt idx="15">
                  <c:v>11.1</c:v>
                </c:pt>
                <c:pt idx="16">
                  <c:v>9.0500000000000007</c:v>
                </c:pt>
                <c:pt idx="17">
                  <c:v>18.45</c:v>
                </c:pt>
                <c:pt idx="18">
                  <c:v>5.5</c:v>
                </c:pt>
                <c:pt idx="19">
                  <c:v>15</c:v>
                </c:pt>
                <c:pt idx="20">
                  <c:v>15</c:v>
                </c:pt>
                <c:pt idx="21">
                  <c:v>12.9</c:v>
                </c:pt>
                <c:pt idx="22">
                  <c:v>9.75</c:v>
                </c:pt>
                <c:pt idx="23">
                  <c:v>9.75</c:v>
                </c:pt>
                <c:pt idx="24">
                  <c:v>19.2</c:v>
                </c:pt>
                <c:pt idx="25">
                  <c:v>14.4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9</c:v>
                </c:pt>
                <c:pt idx="30">
                  <c:v>5.5</c:v>
                </c:pt>
                <c:pt idx="31">
                  <c:v>7.65</c:v>
                </c:pt>
                <c:pt idx="32">
                  <c:v>9</c:v>
                </c:pt>
                <c:pt idx="33">
                  <c:v>11.51</c:v>
                </c:pt>
                <c:pt idx="34">
                  <c:v>11.1</c:v>
                </c:pt>
                <c:pt idx="35">
                  <c:v>9.8699999999999992</c:v>
                </c:pt>
                <c:pt idx="36">
                  <c:v>9.8099999999999987</c:v>
                </c:pt>
                <c:pt idx="37">
                  <c:v>20</c:v>
                </c:pt>
                <c:pt idx="38">
                  <c:v>9</c:v>
                </c:pt>
                <c:pt idx="39">
                  <c:v>5.5</c:v>
                </c:pt>
                <c:pt idx="40">
                  <c:v>10.8</c:v>
                </c:pt>
                <c:pt idx="41">
                  <c:v>4.5</c:v>
                </c:pt>
                <c:pt idx="42">
                  <c:v>4.5</c:v>
                </c:pt>
                <c:pt idx="43">
                  <c:v>5.5</c:v>
                </c:pt>
                <c:pt idx="44">
                  <c:v>18</c:v>
                </c:pt>
                <c:pt idx="45">
                  <c:v>16</c:v>
                </c:pt>
              </c:numCache>
            </c:numRef>
          </c:xVal>
          <c:yVal>
            <c:numRef>
              <c:f>raw_data!$N$2:$N$47</c:f>
              <c:numCache>
                <c:formatCode>General</c:formatCode>
                <c:ptCount val="46"/>
                <c:pt idx="0">
                  <c:v>32</c:v>
                </c:pt>
                <c:pt idx="1">
                  <c:v>95</c:v>
                </c:pt>
                <c:pt idx="2">
                  <c:v>507</c:v>
                </c:pt>
                <c:pt idx="3">
                  <c:v>122</c:v>
                </c:pt>
                <c:pt idx="4">
                  <c:v>0</c:v>
                </c:pt>
                <c:pt idx="5">
                  <c:v>176</c:v>
                </c:pt>
                <c:pt idx="6">
                  <c:v>32</c:v>
                </c:pt>
                <c:pt idx="7">
                  <c:v>224</c:v>
                </c:pt>
                <c:pt idx="8">
                  <c:v>56</c:v>
                </c:pt>
                <c:pt idx="9">
                  <c:v>0</c:v>
                </c:pt>
                <c:pt idx="10">
                  <c:v>32</c:v>
                </c:pt>
                <c:pt idx="11">
                  <c:v>96</c:v>
                </c:pt>
                <c:pt idx="12">
                  <c:v>37</c:v>
                </c:pt>
                <c:pt idx="13">
                  <c:v>32</c:v>
                </c:pt>
                <c:pt idx="14">
                  <c:v>16</c:v>
                </c:pt>
                <c:pt idx="15">
                  <c:v>32</c:v>
                </c:pt>
                <c:pt idx="16">
                  <c:v>8</c:v>
                </c:pt>
                <c:pt idx="17">
                  <c:v>118</c:v>
                </c:pt>
                <c:pt idx="18">
                  <c:v>210</c:v>
                </c:pt>
                <c:pt idx="19">
                  <c:v>80</c:v>
                </c:pt>
                <c:pt idx="20">
                  <c:v>96</c:v>
                </c:pt>
                <c:pt idx="21">
                  <c:v>582</c:v>
                </c:pt>
                <c:pt idx="22">
                  <c:v>64</c:v>
                </c:pt>
                <c:pt idx="23">
                  <c:v>80</c:v>
                </c:pt>
                <c:pt idx="24">
                  <c:v>148</c:v>
                </c:pt>
                <c:pt idx="25">
                  <c:v>112</c:v>
                </c:pt>
                <c:pt idx="26">
                  <c:v>212</c:v>
                </c:pt>
                <c:pt idx="27">
                  <c:v>324</c:v>
                </c:pt>
                <c:pt idx="28">
                  <c:v>96</c:v>
                </c:pt>
                <c:pt idx="29">
                  <c:v>93</c:v>
                </c:pt>
                <c:pt idx="30">
                  <c:v>1176</c:v>
                </c:pt>
                <c:pt idx="31">
                  <c:v>16</c:v>
                </c:pt>
                <c:pt idx="32">
                  <c:v>48</c:v>
                </c:pt>
                <c:pt idx="33">
                  <c:v>32</c:v>
                </c:pt>
                <c:pt idx="34">
                  <c:v>27</c:v>
                </c:pt>
                <c:pt idx="35">
                  <c:v>51</c:v>
                </c:pt>
                <c:pt idx="36">
                  <c:v>144</c:v>
                </c:pt>
                <c:pt idx="37">
                  <c:v>128</c:v>
                </c:pt>
                <c:pt idx="38">
                  <c:v>112</c:v>
                </c:pt>
                <c:pt idx="39">
                  <c:v>296</c:v>
                </c:pt>
                <c:pt idx="40">
                  <c:v>152</c:v>
                </c:pt>
                <c:pt idx="41">
                  <c:v>336</c:v>
                </c:pt>
                <c:pt idx="42">
                  <c:v>336</c:v>
                </c:pt>
                <c:pt idx="43">
                  <c:v>360</c:v>
                </c:pt>
                <c:pt idx="44">
                  <c:v>96</c:v>
                </c:pt>
                <c:pt idx="45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192"/>
        <c:axId val="49968768"/>
      </c:scatterChart>
      <c:valAx>
        <c:axId val="499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8768"/>
        <c:crosses val="autoZero"/>
        <c:crossBetween val="midCat"/>
      </c:valAx>
      <c:valAx>
        <c:axId val="499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66885389326336"/>
                  <c:y val="-0.52406386701662289"/>
                </c:manualLayout>
              </c:layout>
              <c:numFmt formatCode="General" sourceLinked="0"/>
            </c:trendlineLbl>
          </c:trendline>
          <c:xVal>
            <c:numRef>
              <c:f>raw_data!$O$2:$O$47</c:f>
              <c:numCache>
                <c:formatCode>General</c:formatCode>
                <c:ptCount val="46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27.5</c:v>
                </c:pt>
                <c:pt idx="6">
                  <c:v>19.950000000000003</c:v>
                </c:pt>
                <c:pt idx="7">
                  <c:v>35.299999999999997</c:v>
                </c:pt>
                <c:pt idx="8">
                  <c:v>32.25</c:v>
                </c:pt>
                <c:pt idx="9">
                  <c:v>13.5</c:v>
                </c:pt>
                <c:pt idx="10">
                  <c:v>16.5</c:v>
                </c:pt>
                <c:pt idx="11">
                  <c:v>27.5</c:v>
                </c:pt>
                <c:pt idx="12">
                  <c:v>27.5</c:v>
                </c:pt>
                <c:pt idx="13">
                  <c:v>24</c:v>
                </c:pt>
                <c:pt idx="14">
                  <c:v>20.8</c:v>
                </c:pt>
                <c:pt idx="15">
                  <c:v>17.600000000000001</c:v>
                </c:pt>
                <c:pt idx="16">
                  <c:v>21.1</c:v>
                </c:pt>
                <c:pt idx="17">
                  <c:v>16.5</c:v>
                </c:pt>
                <c:pt idx="18">
                  <c:v>28.5</c:v>
                </c:pt>
                <c:pt idx="19">
                  <c:v>19.5</c:v>
                </c:pt>
                <c:pt idx="20">
                  <c:v>19.5</c:v>
                </c:pt>
                <c:pt idx="21">
                  <c:v>24.6</c:v>
                </c:pt>
                <c:pt idx="22">
                  <c:v>32.25</c:v>
                </c:pt>
                <c:pt idx="23">
                  <c:v>32.25</c:v>
                </c:pt>
                <c:pt idx="24">
                  <c:v>30.1</c:v>
                </c:pt>
                <c:pt idx="25">
                  <c:v>55.400000000000006</c:v>
                </c:pt>
                <c:pt idx="26">
                  <c:v>61</c:v>
                </c:pt>
                <c:pt idx="27">
                  <c:v>61</c:v>
                </c:pt>
                <c:pt idx="28">
                  <c:v>27.5</c:v>
                </c:pt>
                <c:pt idx="29">
                  <c:v>27.5</c:v>
                </c:pt>
                <c:pt idx="30">
                  <c:v>28.5</c:v>
                </c:pt>
                <c:pt idx="31">
                  <c:v>37.349999999999994</c:v>
                </c:pt>
                <c:pt idx="32">
                  <c:v>27.5</c:v>
                </c:pt>
                <c:pt idx="33">
                  <c:v>21.4</c:v>
                </c:pt>
                <c:pt idx="34">
                  <c:v>17.600000000000001</c:v>
                </c:pt>
                <c:pt idx="35">
                  <c:v>19.7</c:v>
                </c:pt>
                <c:pt idx="36">
                  <c:v>28.340000000000003</c:v>
                </c:pt>
                <c:pt idx="37">
                  <c:v>33</c:v>
                </c:pt>
                <c:pt idx="38">
                  <c:v>27.5</c:v>
                </c:pt>
                <c:pt idx="39">
                  <c:v>28.5</c:v>
                </c:pt>
                <c:pt idx="40">
                  <c:v>29.7</c:v>
                </c:pt>
                <c:pt idx="41">
                  <c:v>45</c:v>
                </c:pt>
                <c:pt idx="42">
                  <c:v>45</c:v>
                </c:pt>
                <c:pt idx="43">
                  <c:v>28.5</c:v>
                </c:pt>
                <c:pt idx="44">
                  <c:v>25.75</c:v>
                </c:pt>
                <c:pt idx="45">
                  <c:v>18.5</c:v>
                </c:pt>
              </c:numCache>
            </c:numRef>
          </c:xVal>
          <c:yVal>
            <c:numRef>
              <c:f>raw_data!$N$2:$N$47</c:f>
              <c:numCache>
                <c:formatCode>General</c:formatCode>
                <c:ptCount val="46"/>
                <c:pt idx="0">
                  <c:v>32</c:v>
                </c:pt>
                <c:pt idx="1">
                  <c:v>95</c:v>
                </c:pt>
                <c:pt idx="2">
                  <c:v>507</c:v>
                </c:pt>
                <c:pt idx="3">
                  <c:v>122</c:v>
                </c:pt>
                <c:pt idx="4">
                  <c:v>0</c:v>
                </c:pt>
                <c:pt idx="5">
                  <c:v>176</c:v>
                </c:pt>
                <c:pt idx="6">
                  <c:v>32</c:v>
                </c:pt>
                <c:pt idx="7">
                  <c:v>224</c:v>
                </c:pt>
                <c:pt idx="8">
                  <c:v>56</c:v>
                </c:pt>
                <c:pt idx="9">
                  <c:v>0</c:v>
                </c:pt>
                <c:pt idx="10">
                  <c:v>32</c:v>
                </c:pt>
                <c:pt idx="11">
                  <c:v>96</c:v>
                </c:pt>
                <c:pt idx="12">
                  <c:v>37</c:v>
                </c:pt>
                <c:pt idx="13">
                  <c:v>32</c:v>
                </c:pt>
                <c:pt idx="14">
                  <c:v>16</c:v>
                </c:pt>
                <c:pt idx="15">
                  <c:v>32</c:v>
                </c:pt>
                <c:pt idx="16">
                  <c:v>8</c:v>
                </c:pt>
                <c:pt idx="17">
                  <c:v>118</c:v>
                </c:pt>
                <c:pt idx="18">
                  <c:v>210</c:v>
                </c:pt>
                <c:pt idx="19">
                  <c:v>80</c:v>
                </c:pt>
                <c:pt idx="20">
                  <c:v>96</c:v>
                </c:pt>
                <c:pt idx="21">
                  <c:v>582</c:v>
                </c:pt>
                <c:pt idx="22">
                  <c:v>64</c:v>
                </c:pt>
                <c:pt idx="23">
                  <c:v>80</c:v>
                </c:pt>
                <c:pt idx="24">
                  <c:v>148</c:v>
                </c:pt>
                <c:pt idx="25">
                  <c:v>112</c:v>
                </c:pt>
                <c:pt idx="26">
                  <c:v>212</c:v>
                </c:pt>
                <c:pt idx="27">
                  <c:v>324</c:v>
                </c:pt>
                <c:pt idx="28">
                  <c:v>96</c:v>
                </c:pt>
                <c:pt idx="29">
                  <c:v>93</c:v>
                </c:pt>
                <c:pt idx="30">
                  <c:v>1176</c:v>
                </c:pt>
                <c:pt idx="31">
                  <c:v>16</c:v>
                </c:pt>
                <c:pt idx="32">
                  <c:v>48</c:v>
                </c:pt>
                <c:pt idx="33">
                  <c:v>32</c:v>
                </c:pt>
                <c:pt idx="34">
                  <c:v>27</c:v>
                </c:pt>
                <c:pt idx="35">
                  <c:v>51</c:v>
                </c:pt>
                <c:pt idx="36">
                  <c:v>144</c:v>
                </c:pt>
                <c:pt idx="37">
                  <c:v>128</c:v>
                </c:pt>
                <c:pt idx="38">
                  <c:v>112</c:v>
                </c:pt>
                <c:pt idx="39">
                  <c:v>296</c:v>
                </c:pt>
                <c:pt idx="40">
                  <c:v>152</c:v>
                </c:pt>
                <c:pt idx="41">
                  <c:v>336</c:v>
                </c:pt>
                <c:pt idx="42">
                  <c:v>336</c:v>
                </c:pt>
                <c:pt idx="43">
                  <c:v>360</c:v>
                </c:pt>
                <c:pt idx="44">
                  <c:v>96</c:v>
                </c:pt>
                <c:pt idx="45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496"/>
        <c:axId val="83361792"/>
      </c:scatterChart>
      <c:valAx>
        <c:axId val="49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61792"/>
        <c:crosses val="autoZero"/>
        <c:crossBetween val="midCat"/>
      </c:valAx>
      <c:valAx>
        <c:axId val="833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3363520"/>
        <c:axId val="83364096"/>
      </c:scatterChart>
      <c:valAx>
        <c:axId val="833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3364096"/>
        <c:crosses val="autoZero"/>
        <c:crossBetween val="midCat"/>
      </c:valAx>
      <c:valAx>
        <c:axId val="833640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336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324256342957129"/>
                  <c:y val="-0.26468503937007876"/>
                </c:manualLayout>
              </c:layout>
              <c:numFmt formatCode="General" sourceLinked="0"/>
            </c:trendlineLbl>
          </c:trendline>
          <c:xVal>
            <c:numRef>
              <c:f>filterd_data!$R$2:$R$37</c:f>
              <c:numCache>
                <c:formatCode>General</c:formatCode>
                <c:ptCount val="36"/>
                <c:pt idx="0">
                  <c:v>4.7619047619047616E-2</c:v>
                </c:pt>
                <c:pt idx="1">
                  <c:v>3.896103896103896E-2</c:v>
                </c:pt>
                <c:pt idx="2">
                  <c:v>1.016260162601626E-2</c:v>
                </c:pt>
                <c:pt idx="3">
                  <c:v>0.19791666666666666</c:v>
                </c:pt>
                <c:pt idx="4">
                  <c:v>0</c:v>
                </c:pt>
                <c:pt idx="5">
                  <c:v>4.7619047619047616E-2</c:v>
                </c:pt>
                <c:pt idx="6">
                  <c:v>5.9417040358744393E-2</c:v>
                </c:pt>
                <c:pt idx="7">
                  <c:v>3.0303030303030304E-2</c:v>
                </c:pt>
                <c:pt idx="8">
                  <c:v>0</c:v>
                </c:pt>
                <c:pt idx="9">
                  <c:v>0.1662836322869955</c:v>
                </c:pt>
                <c:pt idx="10">
                  <c:v>6.0975609756097554E-3</c:v>
                </c:pt>
                <c:pt idx="11">
                  <c:v>0.44444444444444442</c:v>
                </c:pt>
                <c:pt idx="12">
                  <c:v>0</c:v>
                </c:pt>
                <c:pt idx="13">
                  <c:v>0.44444444444444442</c:v>
                </c:pt>
                <c:pt idx="14">
                  <c:v>0.50557575757575757</c:v>
                </c:pt>
                <c:pt idx="15">
                  <c:v>4.7619047619047616E-2</c:v>
                </c:pt>
                <c:pt idx="16">
                  <c:v>0.50557575757575757</c:v>
                </c:pt>
                <c:pt idx="17">
                  <c:v>0</c:v>
                </c:pt>
                <c:pt idx="18">
                  <c:v>0.50557575757575757</c:v>
                </c:pt>
                <c:pt idx="19">
                  <c:v>0.33838383838383834</c:v>
                </c:pt>
                <c:pt idx="20">
                  <c:v>0</c:v>
                </c:pt>
                <c:pt idx="21">
                  <c:v>0.46266666666666662</c:v>
                </c:pt>
                <c:pt idx="22">
                  <c:v>0.67676767676767668</c:v>
                </c:pt>
                <c:pt idx="23">
                  <c:v>0.25517803968336061</c:v>
                </c:pt>
                <c:pt idx="24">
                  <c:v>0.54141414141414135</c:v>
                </c:pt>
                <c:pt idx="25">
                  <c:v>0.35555555555555557</c:v>
                </c:pt>
                <c:pt idx="26">
                  <c:v>0.50557575757575757</c:v>
                </c:pt>
                <c:pt idx="27">
                  <c:v>0.73684210526315785</c:v>
                </c:pt>
                <c:pt idx="28">
                  <c:v>0.66120218579234968</c:v>
                </c:pt>
                <c:pt idx="29">
                  <c:v>0.58356940509915023</c:v>
                </c:pt>
                <c:pt idx="30">
                  <c:v>0.73684210526315785</c:v>
                </c:pt>
                <c:pt idx="31">
                  <c:v>0.66120218579234968</c:v>
                </c:pt>
                <c:pt idx="32">
                  <c:v>0.88888888888888884</c:v>
                </c:pt>
                <c:pt idx="33">
                  <c:v>0.88888888888888884</c:v>
                </c:pt>
                <c:pt idx="34">
                  <c:v>0.41852272727272721</c:v>
                </c:pt>
                <c:pt idx="35">
                  <c:v>0.41852272727272721</c:v>
                </c:pt>
              </c:numCache>
            </c:numRef>
          </c:xVal>
          <c:yVal>
            <c:numRef>
              <c:f>filterd_data!$N$2:$N$37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64</c:v>
                </c:pt>
                <c:pt idx="12">
                  <c:v>16</c:v>
                </c:pt>
                <c:pt idx="13">
                  <c:v>80</c:v>
                </c:pt>
                <c:pt idx="14">
                  <c:v>93</c:v>
                </c:pt>
                <c:pt idx="15">
                  <c:v>64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112</c:v>
                </c:pt>
                <c:pt idx="22">
                  <c:v>144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176</c:v>
                </c:pt>
                <c:pt idx="27">
                  <c:v>210</c:v>
                </c:pt>
                <c:pt idx="28">
                  <c:v>212</c:v>
                </c:pt>
                <c:pt idx="29">
                  <c:v>224</c:v>
                </c:pt>
                <c:pt idx="30">
                  <c:v>296</c:v>
                </c:pt>
                <c:pt idx="31">
                  <c:v>324</c:v>
                </c:pt>
                <c:pt idx="32">
                  <c:v>336</c:v>
                </c:pt>
                <c:pt idx="33">
                  <c:v>336</c:v>
                </c:pt>
                <c:pt idx="34">
                  <c:v>88</c:v>
                </c:pt>
                <c:pt idx="35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824"/>
        <c:axId val="83366400"/>
      </c:scatterChart>
      <c:valAx>
        <c:axId val="83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66400"/>
        <c:crosses val="autoZero"/>
        <c:crossBetween val="midCat"/>
      </c:valAx>
      <c:valAx>
        <c:axId val="833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877274715660544"/>
                  <c:y val="-0.64584317585301843"/>
                </c:manualLayout>
              </c:layout>
              <c:numFmt formatCode="General" sourceLinked="0"/>
            </c:trendlineLbl>
          </c:trendline>
          <c:xVal>
            <c:numRef>
              <c:f>filterd_data!$Q$2:$Q$35</c:f>
              <c:numCache>
                <c:formatCode>General</c:formatCode>
                <c:ptCount val="34"/>
                <c:pt idx="0">
                  <c:v>17</c:v>
                </c:pt>
                <c:pt idx="1">
                  <c:v>17.524999999999999</c:v>
                </c:pt>
                <c:pt idx="2">
                  <c:v>9.0500000000000007</c:v>
                </c:pt>
                <c:pt idx="3">
                  <c:v>10.050000000000001</c:v>
                </c:pt>
                <c:pt idx="4">
                  <c:v>11.1</c:v>
                </c:pt>
                <c:pt idx="5">
                  <c:v>17</c:v>
                </c:pt>
                <c:pt idx="6">
                  <c:v>12.399999999999999</c:v>
                </c:pt>
                <c:pt idx="7">
                  <c:v>18.45</c:v>
                </c:pt>
                <c:pt idx="8">
                  <c:v>11.1</c:v>
                </c:pt>
                <c:pt idx="9">
                  <c:v>11.51</c:v>
                </c:pt>
                <c:pt idx="10">
                  <c:v>9.8699999999999992</c:v>
                </c:pt>
                <c:pt idx="11">
                  <c:v>9.75</c:v>
                </c:pt>
                <c:pt idx="12">
                  <c:v>15</c:v>
                </c:pt>
                <c:pt idx="13">
                  <c:v>9.75</c:v>
                </c:pt>
                <c:pt idx="14">
                  <c:v>9</c:v>
                </c:pt>
                <c:pt idx="15">
                  <c:v>17</c:v>
                </c:pt>
                <c:pt idx="16">
                  <c:v>9</c:v>
                </c:pt>
                <c:pt idx="17">
                  <c:v>15</c:v>
                </c:pt>
                <c:pt idx="18">
                  <c:v>9</c:v>
                </c:pt>
                <c:pt idx="19">
                  <c:v>18</c:v>
                </c:pt>
                <c:pt idx="20">
                  <c:v>16</c:v>
                </c:pt>
                <c:pt idx="21">
                  <c:v>9</c:v>
                </c:pt>
                <c:pt idx="22">
                  <c:v>20</c:v>
                </c:pt>
                <c:pt idx="23">
                  <c:v>9.8099999999999987</c:v>
                </c:pt>
                <c:pt idx="24">
                  <c:v>19.2</c:v>
                </c:pt>
                <c:pt idx="25">
                  <c:v>10.8</c:v>
                </c:pt>
                <c:pt idx="26">
                  <c:v>9</c:v>
                </c:pt>
                <c:pt idx="27">
                  <c:v>5.5</c:v>
                </c:pt>
                <c:pt idx="28">
                  <c:v>13</c:v>
                </c:pt>
                <c:pt idx="29">
                  <c:v>7.2</c:v>
                </c:pt>
                <c:pt idx="30">
                  <c:v>5.5</c:v>
                </c:pt>
                <c:pt idx="31">
                  <c:v>13</c:v>
                </c:pt>
                <c:pt idx="32">
                  <c:v>4.5</c:v>
                </c:pt>
                <c:pt idx="33">
                  <c:v>4.5</c:v>
                </c:pt>
              </c:numCache>
            </c:numRef>
          </c:xVal>
          <c:yVal>
            <c:numRef>
              <c:f>filterd_data!$N$2:$N$35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64</c:v>
                </c:pt>
                <c:pt idx="12">
                  <c:v>16</c:v>
                </c:pt>
                <c:pt idx="13">
                  <c:v>80</c:v>
                </c:pt>
                <c:pt idx="14">
                  <c:v>93</c:v>
                </c:pt>
                <c:pt idx="15">
                  <c:v>64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112</c:v>
                </c:pt>
                <c:pt idx="22">
                  <c:v>144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176</c:v>
                </c:pt>
                <c:pt idx="27">
                  <c:v>210</c:v>
                </c:pt>
                <c:pt idx="28">
                  <c:v>212</c:v>
                </c:pt>
                <c:pt idx="29">
                  <c:v>224</c:v>
                </c:pt>
                <c:pt idx="30">
                  <c:v>296</c:v>
                </c:pt>
                <c:pt idx="31">
                  <c:v>324</c:v>
                </c:pt>
                <c:pt idx="32">
                  <c:v>336</c:v>
                </c:pt>
                <c:pt idx="33">
                  <c:v>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8128"/>
        <c:axId val="83368704"/>
      </c:scatterChart>
      <c:valAx>
        <c:axId val="833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68704"/>
        <c:crosses val="autoZero"/>
        <c:crossBetween val="midCat"/>
      </c:valAx>
      <c:valAx>
        <c:axId val="833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6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79133858267715"/>
                  <c:y val="-0.14235382035578886"/>
                </c:manualLayout>
              </c:layout>
              <c:numFmt formatCode="General" sourceLinked="0"/>
            </c:trendlineLbl>
          </c:trendline>
          <c:xVal>
            <c:numRef>
              <c:f>filterd_data!$O$2:$O$35</c:f>
              <c:numCache>
                <c:formatCode>General</c:formatCode>
                <c:ptCount val="34"/>
                <c:pt idx="0">
                  <c:v>12.6</c:v>
                </c:pt>
                <c:pt idx="1">
                  <c:v>13.5</c:v>
                </c:pt>
                <c:pt idx="2">
                  <c:v>21.1</c:v>
                </c:pt>
                <c:pt idx="3">
                  <c:v>20.8</c:v>
                </c:pt>
                <c:pt idx="4">
                  <c:v>17.600000000000001</c:v>
                </c:pt>
                <c:pt idx="5">
                  <c:v>12.6</c:v>
                </c:pt>
                <c:pt idx="6">
                  <c:v>19.950000000000003</c:v>
                </c:pt>
                <c:pt idx="7">
                  <c:v>16.5</c:v>
                </c:pt>
                <c:pt idx="8">
                  <c:v>17.600000000000001</c:v>
                </c:pt>
                <c:pt idx="9">
                  <c:v>21.4</c:v>
                </c:pt>
                <c:pt idx="10">
                  <c:v>19.7</c:v>
                </c:pt>
                <c:pt idx="11">
                  <c:v>32.25</c:v>
                </c:pt>
                <c:pt idx="12">
                  <c:v>19.5</c:v>
                </c:pt>
                <c:pt idx="13">
                  <c:v>32.25</c:v>
                </c:pt>
                <c:pt idx="14">
                  <c:v>27.5</c:v>
                </c:pt>
                <c:pt idx="15">
                  <c:v>12.6</c:v>
                </c:pt>
                <c:pt idx="16">
                  <c:v>27.5</c:v>
                </c:pt>
                <c:pt idx="17">
                  <c:v>19.5</c:v>
                </c:pt>
                <c:pt idx="18">
                  <c:v>27.5</c:v>
                </c:pt>
                <c:pt idx="19">
                  <c:v>25.75</c:v>
                </c:pt>
                <c:pt idx="20">
                  <c:v>18.5</c:v>
                </c:pt>
                <c:pt idx="21">
                  <c:v>27.5</c:v>
                </c:pt>
                <c:pt idx="22">
                  <c:v>33</c:v>
                </c:pt>
                <c:pt idx="23">
                  <c:v>28.340000000000003</c:v>
                </c:pt>
                <c:pt idx="24">
                  <c:v>30.1</c:v>
                </c:pt>
                <c:pt idx="25">
                  <c:v>29.7</c:v>
                </c:pt>
                <c:pt idx="26">
                  <c:v>27.5</c:v>
                </c:pt>
                <c:pt idx="27">
                  <c:v>28.5</c:v>
                </c:pt>
                <c:pt idx="28">
                  <c:v>61</c:v>
                </c:pt>
                <c:pt idx="29">
                  <c:v>35.299999999999997</c:v>
                </c:pt>
                <c:pt idx="30">
                  <c:v>28.5</c:v>
                </c:pt>
                <c:pt idx="31">
                  <c:v>61</c:v>
                </c:pt>
                <c:pt idx="32">
                  <c:v>45</c:v>
                </c:pt>
                <c:pt idx="33">
                  <c:v>45</c:v>
                </c:pt>
              </c:numCache>
            </c:numRef>
          </c:xVal>
          <c:yVal>
            <c:numRef>
              <c:f>filterd_data!$N$2:$N$35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64</c:v>
                </c:pt>
                <c:pt idx="12">
                  <c:v>16</c:v>
                </c:pt>
                <c:pt idx="13">
                  <c:v>80</c:v>
                </c:pt>
                <c:pt idx="14">
                  <c:v>93</c:v>
                </c:pt>
                <c:pt idx="15">
                  <c:v>64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112</c:v>
                </c:pt>
                <c:pt idx="22">
                  <c:v>144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176</c:v>
                </c:pt>
                <c:pt idx="27">
                  <c:v>210</c:v>
                </c:pt>
                <c:pt idx="28">
                  <c:v>212</c:v>
                </c:pt>
                <c:pt idx="29">
                  <c:v>224</c:v>
                </c:pt>
                <c:pt idx="30">
                  <c:v>296</c:v>
                </c:pt>
                <c:pt idx="31">
                  <c:v>324</c:v>
                </c:pt>
                <c:pt idx="32">
                  <c:v>336</c:v>
                </c:pt>
                <c:pt idx="33">
                  <c:v>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9792"/>
        <c:axId val="71050368"/>
      </c:scatterChart>
      <c:valAx>
        <c:axId val="710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50368"/>
        <c:crosses val="autoZero"/>
        <c:crossBetween val="midCat"/>
      </c:valAx>
      <c:valAx>
        <c:axId val="710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4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76793525809272"/>
                  <c:y val="7.5663458734324665E-3"/>
                </c:manualLayout>
              </c:layout>
              <c:numFmt formatCode="General" sourceLinked="0"/>
            </c:trendlineLbl>
          </c:trendline>
          <c:xVal>
            <c:numRef>
              <c:f>filterd_data!$P$2:$P$35</c:f>
              <c:numCache>
                <c:formatCode>General</c:formatCode>
                <c:ptCount val="34"/>
                <c:pt idx="0">
                  <c:v>0.20655737704918031</c:v>
                </c:pt>
                <c:pt idx="1">
                  <c:v>0.22131147540983606</c:v>
                </c:pt>
                <c:pt idx="2">
                  <c:v>0.34590163934426232</c:v>
                </c:pt>
                <c:pt idx="3">
                  <c:v>0.34098360655737708</c:v>
                </c:pt>
                <c:pt idx="4">
                  <c:v>0.28852459016393445</c:v>
                </c:pt>
                <c:pt idx="5">
                  <c:v>0.20655737704918031</c:v>
                </c:pt>
                <c:pt idx="6">
                  <c:v>0.32704918032786889</c:v>
                </c:pt>
                <c:pt idx="7">
                  <c:v>0.27049180327868855</c:v>
                </c:pt>
                <c:pt idx="8">
                  <c:v>0.28852459016393445</c:v>
                </c:pt>
                <c:pt idx="9">
                  <c:v>0.35081967213114751</c:v>
                </c:pt>
                <c:pt idx="10">
                  <c:v>0.32295081967213113</c:v>
                </c:pt>
                <c:pt idx="11">
                  <c:v>0.52868852459016391</c:v>
                </c:pt>
                <c:pt idx="12">
                  <c:v>0.31967213114754101</c:v>
                </c:pt>
                <c:pt idx="13">
                  <c:v>0.52868852459016391</c:v>
                </c:pt>
                <c:pt idx="14">
                  <c:v>0.45081967213114754</c:v>
                </c:pt>
                <c:pt idx="15">
                  <c:v>0.20655737704918031</c:v>
                </c:pt>
                <c:pt idx="16">
                  <c:v>0.45081967213114754</c:v>
                </c:pt>
                <c:pt idx="17">
                  <c:v>0.31967213114754101</c:v>
                </c:pt>
                <c:pt idx="18">
                  <c:v>0.45081967213114754</c:v>
                </c:pt>
                <c:pt idx="19">
                  <c:v>0.42213114754098363</c:v>
                </c:pt>
                <c:pt idx="20">
                  <c:v>0.30327868852459017</c:v>
                </c:pt>
                <c:pt idx="21">
                  <c:v>0.45081967213114754</c:v>
                </c:pt>
                <c:pt idx="22">
                  <c:v>0.54098360655737709</c:v>
                </c:pt>
                <c:pt idx="23">
                  <c:v>0.46459016393442626</c:v>
                </c:pt>
                <c:pt idx="24">
                  <c:v>0.4934426229508197</c:v>
                </c:pt>
                <c:pt idx="25">
                  <c:v>0.48688524590163934</c:v>
                </c:pt>
                <c:pt idx="26">
                  <c:v>0.45081967213114754</c:v>
                </c:pt>
                <c:pt idx="27">
                  <c:v>0.46721311475409838</c:v>
                </c:pt>
                <c:pt idx="28">
                  <c:v>1</c:v>
                </c:pt>
                <c:pt idx="29">
                  <c:v>0.57868852459016384</c:v>
                </c:pt>
                <c:pt idx="30">
                  <c:v>0.46721311475409838</c:v>
                </c:pt>
                <c:pt idx="31">
                  <c:v>1</c:v>
                </c:pt>
                <c:pt idx="32">
                  <c:v>0.73770491803278693</c:v>
                </c:pt>
                <c:pt idx="33">
                  <c:v>0.73770491803278693</c:v>
                </c:pt>
              </c:numCache>
            </c:numRef>
          </c:xVal>
          <c:yVal>
            <c:numRef>
              <c:f>filterd_data!$N$2:$N$35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64</c:v>
                </c:pt>
                <c:pt idx="12">
                  <c:v>16</c:v>
                </c:pt>
                <c:pt idx="13">
                  <c:v>80</c:v>
                </c:pt>
                <c:pt idx="14">
                  <c:v>93</c:v>
                </c:pt>
                <c:pt idx="15">
                  <c:v>64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112</c:v>
                </c:pt>
                <c:pt idx="22">
                  <c:v>144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176</c:v>
                </c:pt>
                <c:pt idx="27">
                  <c:v>210</c:v>
                </c:pt>
                <c:pt idx="28">
                  <c:v>212</c:v>
                </c:pt>
                <c:pt idx="29">
                  <c:v>224</c:v>
                </c:pt>
                <c:pt idx="30">
                  <c:v>296</c:v>
                </c:pt>
                <c:pt idx="31">
                  <c:v>324</c:v>
                </c:pt>
                <c:pt idx="32">
                  <c:v>336</c:v>
                </c:pt>
                <c:pt idx="33">
                  <c:v>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2096"/>
        <c:axId val="71052672"/>
      </c:scatterChart>
      <c:valAx>
        <c:axId val="710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52672"/>
        <c:crosses val="autoZero"/>
        <c:crossBetween val="midCat"/>
      </c:valAx>
      <c:valAx>
        <c:axId val="710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52</xdr:row>
      <xdr:rowOff>23812</xdr:rowOff>
    </xdr:from>
    <xdr:to>
      <xdr:col>8</xdr:col>
      <xdr:colOff>904875</xdr:colOff>
      <xdr:row>66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1285875</xdr:colOff>
      <xdr:row>53</xdr:row>
      <xdr:rowOff>90487</xdr:rowOff>
    </xdr:from>
    <xdr:to>
      <xdr:col>13</xdr:col>
      <xdr:colOff>676275</xdr:colOff>
      <xdr:row>67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68</xdr:row>
      <xdr:rowOff>138112</xdr:rowOff>
    </xdr:from>
    <xdr:to>
      <xdr:col>9</xdr:col>
      <xdr:colOff>1114425</xdr:colOff>
      <xdr:row>83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71</xdr:row>
      <xdr:rowOff>157162</xdr:rowOff>
    </xdr:from>
    <xdr:to>
      <xdr:col>14</xdr:col>
      <xdr:colOff>1266825</xdr:colOff>
      <xdr:row>86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674914</xdr:colOff>
      <xdr:row>57</xdr:row>
      <xdr:rowOff>159884</xdr:rowOff>
    </xdr:from>
    <xdr:to>
      <xdr:col>9</xdr:col>
      <xdr:colOff>1160689</xdr:colOff>
      <xdr:row>72</xdr:row>
      <xdr:rowOff>45584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1250497</xdr:colOff>
      <xdr:row>55</xdr:row>
      <xdr:rowOff>142194</xdr:rowOff>
    </xdr:from>
    <xdr:to>
      <xdr:col>13</xdr:col>
      <xdr:colOff>643618</xdr:colOff>
      <xdr:row>70</xdr:row>
      <xdr:rowOff>27894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942975</xdr:colOff>
      <xdr:row>55</xdr:row>
      <xdr:rowOff>7484</xdr:rowOff>
    </xdr:from>
    <xdr:to>
      <xdr:col>22</xdr:col>
      <xdr:colOff>564696</xdr:colOff>
      <xdr:row>69</xdr:row>
      <xdr:rowOff>83684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896471</xdr:colOff>
      <xdr:row>54</xdr:row>
      <xdr:rowOff>186018</xdr:rowOff>
    </xdr:from>
    <xdr:to>
      <xdr:col>17</xdr:col>
      <xdr:colOff>268941</xdr:colOff>
      <xdr:row>69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E1" workbookViewId="0">
      <selection activeCell="O32" sqref="O32"/>
    </sheetView>
  </sheetViews>
  <sheetFormatPr defaultRowHeight="15" x14ac:dyDescent="0.25"/>
  <cols>
    <col min="1" max="1" width="33.85546875" customWidth="1"/>
    <col min="2" max="2" width="17.7109375" customWidth="1"/>
    <col min="3" max="3" width="19.140625" customWidth="1"/>
    <col min="4" max="4" width="17.7109375" customWidth="1"/>
    <col min="5" max="5" width="13" customWidth="1"/>
    <col min="6" max="9" width="20.42578125" customWidth="1"/>
    <col min="10" max="17" width="19.42578125" customWidth="1"/>
    <col min="18" max="18" width="33.42578125" customWidth="1"/>
    <col min="19" max="20" width="15.7109375" customWidth="1"/>
  </cols>
  <sheetData>
    <row r="1" spans="1:21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67</v>
      </c>
      <c r="G1" t="s">
        <v>101</v>
      </c>
      <c r="H1" t="s">
        <v>102</v>
      </c>
      <c r="I1" t="s">
        <v>103</v>
      </c>
      <c r="J1" t="s">
        <v>68</v>
      </c>
      <c r="K1" t="s">
        <v>104</v>
      </c>
      <c r="L1" t="s">
        <v>105</v>
      </c>
      <c r="M1" t="s">
        <v>106</v>
      </c>
      <c r="N1" t="s">
        <v>107</v>
      </c>
      <c r="O1" t="s">
        <v>110</v>
      </c>
      <c r="P1" t="s">
        <v>111</v>
      </c>
      <c r="Q1" t="s">
        <v>120</v>
      </c>
      <c r="R1" t="s">
        <v>188</v>
      </c>
      <c r="S1" t="s">
        <v>186</v>
      </c>
      <c r="T1" t="s">
        <v>187</v>
      </c>
      <c r="U1" t="s">
        <v>51</v>
      </c>
    </row>
    <row r="2" spans="1:21" x14ac:dyDescent="0.25">
      <c r="A2" t="s">
        <v>3</v>
      </c>
      <c r="B2">
        <v>238793.9221</v>
      </c>
      <c r="C2">
        <v>585364.13100000005</v>
      </c>
      <c r="D2">
        <v>31.380254999999998</v>
      </c>
      <c r="E2">
        <v>35.396783999999997</v>
      </c>
      <c r="F2" t="s">
        <v>6</v>
      </c>
      <c r="G2" s="4">
        <f>DATE(2014,6,17)</f>
        <v>41807</v>
      </c>
      <c r="H2" s="4">
        <f>DATE(2014,7,3)</f>
        <v>41823</v>
      </c>
      <c r="I2" s="4">
        <f t="shared" ref="I2:I22" si="0">SUM(G2:H2)/2</f>
        <v>41815</v>
      </c>
      <c r="J2" t="s">
        <v>7</v>
      </c>
      <c r="K2" s="4">
        <f>DATE(2014,7,19)</f>
        <v>41839</v>
      </c>
      <c r="L2" s="4">
        <f>DATE(2014,8,4)</f>
        <v>41855</v>
      </c>
      <c r="M2" s="4">
        <f>SUM(K2:L2)/2</f>
        <v>41847</v>
      </c>
      <c r="N2" s="7">
        <f t="shared" ref="N2:N47" si="1">DATEDIF(I2,M2,"d")</f>
        <v>32</v>
      </c>
      <c r="O2" s="7">
        <f>drill_holes!D19</f>
        <v>12.6</v>
      </c>
      <c r="P2" s="7">
        <f>drill_holes!E19</f>
        <v>17</v>
      </c>
      <c r="Q2" s="7">
        <f>drill_holes!O19</f>
        <v>4.7619047619047616E-2</v>
      </c>
      <c r="R2" s="7" t="str">
        <f>drill_holes!C19</f>
        <v>BHLA-01</v>
      </c>
      <c r="S2">
        <v>1</v>
      </c>
      <c r="T2">
        <v>1</v>
      </c>
    </row>
    <row r="3" spans="1:21" x14ac:dyDescent="0.25">
      <c r="A3" t="s">
        <v>20</v>
      </c>
      <c r="B3">
        <v>238809.5325</v>
      </c>
      <c r="C3">
        <v>585415.19559999998</v>
      </c>
      <c r="D3">
        <v>31.36046</v>
      </c>
      <c r="E3">
        <v>35.407919999999997</v>
      </c>
      <c r="F3" t="s">
        <v>6</v>
      </c>
      <c r="G3" s="4">
        <f>DATE(2014,6,17)</f>
        <v>41807</v>
      </c>
      <c r="H3" s="4">
        <f>DATE(2014,7,3)</f>
        <v>41823</v>
      </c>
      <c r="I3" s="4">
        <f t="shared" si="0"/>
        <v>41815</v>
      </c>
      <c r="J3">
        <v>14928</v>
      </c>
      <c r="K3" s="4">
        <f>DATE(2014,9,28)</f>
        <v>41910</v>
      </c>
      <c r="M3" s="4">
        <f>K3</f>
        <v>41910</v>
      </c>
      <c r="N3" s="7">
        <f t="shared" si="1"/>
        <v>95</v>
      </c>
      <c r="O3" s="7">
        <f>drill_holes!D19</f>
        <v>12.6</v>
      </c>
      <c r="P3" s="7">
        <f>drill_holes!E19</f>
        <v>17</v>
      </c>
      <c r="Q3" s="7">
        <f>drill_holes!O19</f>
        <v>4.7619047619047616E-2</v>
      </c>
      <c r="R3" s="7" t="str">
        <f>drill_holes!C19</f>
        <v>BHLA-01</v>
      </c>
      <c r="S3">
        <v>1</v>
      </c>
      <c r="T3">
        <v>1</v>
      </c>
    </row>
    <row r="4" spans="1:21" x14ac:dyDescent="0.25">
      <c r="A4" t="s">
        <v>21</v>
      </c>
      <c r="B4">
        <v>238809.5325</v>
      </c>
      <c r="C4">
        <v>585415.19559999998</v>
      </c>
      <c r="D4">
        <v>31.36046</v>
      </c>
      <c r="E4">
        <v>35.407919999999997</v>
      </c>
      <c r="F4" t="s">
        <v>6</v>
      </c>
      <c r="G4" s="4">
        <f>DATE(2014,6,17)</f>
        <v>41807</v>
      </c>
      <c r="H4" s="4">
        <f>DATE(2014,7,3)</f>
        <v>41823</v>
      </c>
      <c r="I4" s="4">
        <f t="shared" si="0"/>
        <v>41815</v>
      </c>
      <c r="J4">
        <v>151114</v>
      </c>
      <c r="K4" s="4">
        <f>DATE(2015,11,14)</f>
        <v>42322</v>
      </c>
      <c r="M4" s="4">
        <f>K4</f>
        <v>42322</v>
      </c>
      <c r="N4" s="7">
        <f t="shared" si="1"/>
        <v>507</v>
      </c>
      <c r="O4" s="7">
        <f>drill_holes!D19</f>
        <v>12.6</v>
      </c>
      <c r="P4" s="7">
        <f>drill_holes!E19</f>
        <v>17</v>
      </c>
      <c r="Q4" s="7">
        <f>drill_holes!O19</f>
        <v>4.7619047619047616E-2</v>
      </c>
      <c r="R4" s="7" t="str">
        <f>drill_holes!C19</f>
        <v>BHLA-01</v>
      </c>
      <c r="S4">
        <v>1</v>
      </c>
      <c r="T4">
        <v>1</v>
      </c>
    </row>
    <row r="5" spans="1:21" x14ac:dyDescent="0.25">
      <c r="A5" t="s">
        <v>22</v>
      </c>
      <c r="B5">
        <v>238809.5325</v>
      </c>
      <c r="C5">
        <v>585415.19559999998</v>
      </c>
      <c r="D5">
        <v>31.36046</v>
      </c>
      <c r="E5">
        <v>35.407919999999997</v>
      </c>
      <c r="F5" t="s">
        <v>6</v>
      </c>
      <c r="G5" s="4">
        <f>DATE(2014,6,17)</f>
        <v>41807</v>
      </c>
      <c r="H5" s="4">
        <f>DATE(2014,7,3)</f>
        <v>41823</v>
      </c>
      <c r="I5" s="4">
        <f t="shared" si="0"/>
        <v>41815</v>
      </c>
      <c r="J5">
        <v>141025</v>
      </c>
      <c r="K5" s="4">
        <f>DATE(2014,10,25)</f>
        <v>41937</v>
      </c>
      <c r="M5" s="4">
        <f>K5</f>
        <v>41937</v>
      </c>
      <c r="N5" s="7">
        <f t="shared" si="1"/>
        <v>122</v>
      </c>
      <c r="O5" s="7">
        <f>drill_holes!D19</f>
        <v>12.6</v>
      </c>
      <c r="P5" s="7">
        <f>drill_holes!E19</f>
        <v>17</v>
      </c>
      <c r="Q5" s="7">
        <f>drill_holes!O19</f>
        <v>4.7619047619047616E-2</v>
      </c>
      <c r="R5" s="7" t="str">
        <f>drill_holes!C19</f>
        <v>BHLA-01</v>
      </c>
      <c r="S5">
        <v>1</v>
      </c>
      <c r="T5">
        <v>1</v>
      </c>
    </row>
    <row r="6" spans="1:21" x14ac:dyDescent="0.25">
      <c r="A6" t="s">
        <v>8</v>
      </c>
      <c r="B6">
        <v>238748.6783</v>
      </c>
      <c r="C6">
        <v>585410.43319999997</v>
      </c>
      <c r="D6">
        <v>31.360417000000002</v>
      </c>
      <c r="E6">
        <v>35.40728</v>
      </c>
      <c r="F6" t="s">
        <v>9</v>
      </c>
      <c r="G6" s="4">
        <f>DATE(2014,10,23)</f>
        <v>41935</v>
      </c>
      <c r="H6" s="4">
        <f>DATE(2014,11,8)</f>
        <v>41951</v>
      </c>
      <c r="I6" s="4">
        <f t="shared" si="0"/>
        <v>41943</v>
      </c>
      <c r="J6" t="s">
        <v>9</v>
      </c>
      <c r="K6" s="4">
        <f>DATE(2014,10,23)</f>
        <v>41935</v>
      </c>
      <c r="L6" s="4">
        <f>DATE(2014,11,8)</f>
        <v>41951</v>
      </c>
      <c r="M6" s="4">
        <f t="shared" ref="M6:M47" si="2">SUM(K6:L6)/2</f>
        <v>41943</v>
      </c>
      <c r="N6" s="7">
        <f t="shared" si="1"/>
        <v>0</v>
      </c>
      <c r="O6" s="7">
        <f>drill_holes!D19</f>
        <v>12.6</v>
      </c>
      <c r="P6" s="7">
        <f>drill_holes!E19</f>
        <v>17</v>
      </c>
      <c r="Q6" s="7">
        <f>drill_holes!O19</f>
        <v>4.7619047619047616E-2</v>
      </c>
      <c r="R6" s="7" t="str">
        <f>drill_holes!C19</f>
        <v>BHLA-01</v>
      </c>
      <c r="S6">
        <v>1</v>
      </c>
      <c r="T6">
        <v>1</v>
      </c>
    </row>
    <row r="7" spans="1:21" x14ac:dyDescent="0.25">
      <c r="A7" t="s">
        <v>49</v>
      </c>
      <c r="B7">
        <v>237701</v>
      </c>
      <c r="C7">
        <v>577973</v>
      </c>
      <c r="D7">
        <v>31.29336</v>
      </c>
      <c r="E7">
        <v>35.396129999999999</v>
      </c>
      <c r="F7" t="s">
        <v>10</v>
      </c>
      <c r="G7" s="4">
        <f>DATE(2015,4,1)</f>
        <v>42095</v>
      </c>
      <c r="H7" s="4">
        <f>DATE(2015,4,7)</f>
        <v>42101</v>
      </c>
      <c r="I7" s="4">
        <f t="shared" si="0"/>
        <v>42098</v>
      </c>
      <c r="J7" t="s">
        <v>11</v>
      </c>
      <c r="K7" s="4">
        <f>DATE(2015,9,11)</f>
        <v>42258</v>
      </c>
      <c r="L7" s="4">
        <f>DATE(2015,10,13)</f>
        <v>42290</v>
      </c>
      <c r="M7" s="4">
        <f t="shared" si="2"/>
        <v>42274</v>
      </c>
      <c r="N7" s="7">
        <f t="shared" si="1"/>
        <v>176</v>
      </c>
      <c r="O7" s="7">
        <f>drill_holes!D22</f>
        <v>27.5</v>
      </c>
      <c r="P7" s="7">
        <f>drill_holes!E22</f>
        <v>9</v>
      </c>
      <c r="Q7" s="7">
        <f>0.7*drill_holes!O22+0.3*drill_holes!O57</f>
        <v>0.50557575757575757</v>
      </c>
      <c r="R7" s="7" t="str">
        <f>CONCATENATE("0.7*",drill_holes!C22,"+0.3*",drill_holes!C57)</f>
        <v>0.7*BHLA-23+0.3*Rahaf1</v>
      </c>
      <c r="S7">
        <v>2</v>
      </c>
      <c r="T7">
        <v>2</v>
      </c>
    </row>
    <row r="8" spans="1:21" x14ac:dyDescent="0.25">
      <c r="A8" t="s">
        <v>12</v>
      </c>
      <c r="B8">
        <v>238750</v>
      </c>
      <c r="C8">
        <v>5828723</v>
      </c>
      <c r="D8">
        <v>31.337499999999999</v>
      </c>
      <c r="E8">
        <v>35.407240000000002</v>
      </c>
      <c r="F8" t="s">
        <v>13</v>
      </c>
      <c r="G8" s="4">
        <f>DATE(2015,6,4)</f>
        <v>42159</v>
      </c>
      <c r="H8" s="4">
        <f>DATE(2015,6,20)</f>
        <v>42175</v>
      </c>
      <c r="I8" s="4">
        <f t="shared" si="0"/>
        <v>42167</v>
      </c>
      <c r="J8" t="s">
        <v>14</v>
      </c>
      <c r="K8" s="4">
        <f>DATE(2015,7,6)</f>
        <v>42191</v>
      </c>
      <c r="L8" s="4">
        <f>DATE(2015,7,22)</f>
        <v>42207</v>
      </c>
      <c r="M8" s="4">
        <f t="shared" si="2"/>
        <v>42199</v>
      </c>
      <c r="N8" s="7">
        <f t="shared" si="1"/>
        <v>32</v>
      </c>
      <c r="O8" s="7">
        <f>0.5*drill_holes!D17 + 0.5*drill_holes!D5</f>
        <v>19.950000000000003</v>
      </c>
      <c r="P8" s="7">
        <f>0.5*drill_holes!E17 + 0.5*drill_holes!E5</f>
        <v>12.399999999999999</v>
      </c>
      <c r="Q8" s="7">
        <f>0.5*drill_holes!O17 + 0.5*drill_holes!O5</f>
        <v>5.9417040358744393E-2</v>
      </c>
      <c r="R8" s="7" t="str">
        <f>CONCATENATE("0.5*",drill_holes!C17,"+0.5*",drill_holes!C5)</f>
        <v>0.5*BH-5+0.5*BH.L-21</v>
      </c>
      <c r="S8">
        <v>1</v>
      </c>
      <c r="T8">
        <v>1</v>
      </c>
    </row>
    <row r="9" spans="1:21" x14ac:dyDescent="0.25">
      <c r="A9" t="s">
        <v>15</v>
      </c>
      <c r="B9">
        <v>237767</v>
      </c>
      <c r="C9">
        <v>590050</v>
      </c>
      <c r="D9">
        <v>31.402280000000001</v>
      </c>
      <c r="E9">
        <v>35.397500000000001</v>
      </c>
      <c r="F9" t="s">
        <v>16</v>
      </c>
      <c r="G9" s="4">
        <f>DATE(2015,11,14)</f>
        <v>42322</v>
      </c>
      <c r="H9" s="4">
        <f>DATE(2015,11,30)</f>
        <v>42338</v>
      </c>
      <c r="I9" s="4">
        <f t="shared" si="0"/>
        <v>42330</v>
      </c>
      <c r="J9" t="s">
        <v>93</v>
      </c>
      <c r="K9" s="4">
        <f>DATE(2016,11,17)</f>
        <v>42691</v>
      </c>
      <c r="L9" s="4">
        <f>DATE(2016,2,18)</f>
        <v>42418</v>
      </c>
      <c r="M9" s="4">
        <f t="shared" si="2"/>
        <v>42554.5</v>
      </c>
      <c r="N9" s="7">
        <f t="shared" si="1"/>
        <v>224</v>
      </c>
      <c r="O9" s="7">
        <f>drill_holes!D44</f>
        <v>35.299999999999997</v>
      </c>
      <c r="P9" s="7">
        <f>drill_holes!E44</f>
        <v>7.2</v>
      </c>
      <c r="Q9" s="7">
        <f>drill_holes!O44</f>
        <v>0.58356940509915023</v>
      </c>
      <c r="R9" s="7" t="str">
        <f>drill_holes!C44</f>
        <v>Hever5</v>
      </c>
      <c r="S9">
        <v>2</v>
      </c>
      <c r="T9">
        <v>2</v>
      </c>
    </row>
    <row r="10" spans="1:21" x14ac:dyDescent="0.25">
      <c r="A10" t="s">
        <v>17</v>
      </c>
      <c r="B10">
        <v>237606</v>
      </c>
      <c r="C10">
        <v>595372</v>
      </c>
      <c r="D10">
        <v>31.450279999999999</v>
      </c>
      <c r="E10">
        <v>35.395449999999997</v>
      </c>
      <c r="F10" t="s">
        <v>11</v>
      </c>
      <c r="G10" s="4">
        <f>DATE(2015,9,11)</f>
        <v>42258</v>
      </c>
      <c r="H10" s="4">
        <f>DATE(2015,10,13)</f>
        <v>42290</v>
      </c>
      <c r="I10" s="4">
        <f t="shared" si="0"/>
        <v>42274</v>
      </c>
      <c r="J10" t="s">
        <v>16</v>
      </c>
      <c r="K10" s="4">
        <f>DATE(2015,11,14)</f>
        <v>42322</v>
      </c>
      <c r="L10" s="4">
        <f>DATE(2015,11,30)</f>
        <v>42338</v>
      </c>
      <c r="M10" s="4">
        <f t="shared" si="2"/>
        <v>42330</v>
      </c>
      <c r="N10" s="7">
        <f t="shared" si="1"/>
        <v>56</v>
      </c>
      <c r="O10" s="7">
        <f>0.5*drill_holes!D51+0.5*drill_holes!D38</f>
        <v>32.25</v>
      </c>
      <c r="P10" s="7">
        <f>0.5*drill_holes!E51+0.5*drill_holes!E38</f>
        <v>11</v>
      </c>
      <c r="Q10" s="7">
        <f>0.5*drill_holes!O51+0.5*drill_holes!O38</f>
        <v>0.44444444444444442</v>
      </c>
      <c r="R10" s="7" t="str">
        <f>CONCATENATE("0.5*",drill_holes!C51,"+0.5*",drill_holes!C38)</f>
        <v>0.5*MAZOR1+0.5*EG20</v>
      </c>
      <c r="S10">
        <v>1</v>
      </c>
      <c r="T10">
        <v>2</v>
      </c>
    </row>
    <row r="11" spans="1:21" x14ac:dyDescent="0.25">
      <c r="A11" t="s">
        <v>18</v>
      </c>
      <c r="B11">
        <v>238336.8751</v>
      </c>
      <c r="C11">
        <v>584363.43099999998</v>
      </c>
      <c r="D11">
        <v>31.350546000000001</v>
      </c>
      <c r="E11">
        <v>35.402168000000003</v>
      </c>
      <c r="F11" t="s">
        <v>19</v>
      </c>
      <c r="G11" s="4">
        <f>DATE(2015,1,11)</f>
        <v>42015</v>
      </c>
      <c r="H11" s="4">
        <f>DATE(2015,1,27)</f>
        <v>42031</v>
      </c>
      <c r="I11" s="4">
        <f t="shared" si="0"/>
        <v>42023</v>
      </c>
      <c r="J11" t="s">
        <v>19</v>
      </c>
      <c r="K11" s="4">
        <f>DATE(2015,1,11)</f>
        <v>42015</v>
      </c>
      <c r="L11" s="4">
        <f>DATE(2015,1,27)</f>
        <v>42031</v>
      </c>
      <c r="M11" s="4">
        <f t="shared" si="2"/>
        <v>42023</v>
      </c>
      <c r="N11" s="7">
        <f t="shared" si="1"/>
        <v>0</v>
      </c>
      <c r="O11" s="7">
        <f>0.5*drill_holes!D8+0.5*drill_holes!D7</f>
        <v>13.5</v>
      </c>
      <c r="P11" s="7">
        <f>0.5*drill_holes!E8+0.5*drill_holes!E7</f>
        <v>17.524999999999999</v>
      </c>
      <c r="Q11" s="7">
        <f>0.5*drill_holes!O8+0.5*drill_holes!O7</f>
        <v>3.896103896103896E-2</v>
      </c>
      <c r="R11" s="7" t="str">
        <f>CONCATENATE("0.5*",drill_holes!C7,"+0.5*",drill_holes!C8)</f>
        <v>0.5*BH-18+0.5*BH-21</v>
      </c>
      <c r="S11">
        <v>2</v>
      </c>
      <c r="T11">
        <v>1</v>
      </c>
    </row>
    <row r="12" spans="1:21" x14ac:dyDescent="0.25">
      <c r="A12" t="s">
        <v>12</v>
      </c>
      <c r="B12">
        <v>239138.92240000001</v>
      </c>
      <c r="C12">
        <v>584421.55379999999</v>
      </c>
      <c r="D12">
        <v>31.351057000000001</v>
      </c>
      <c r="E12">
        <v>35.410598</v>
      </c>
      <c r="F12" t="s">
        <v>23</v>
      </c>
      <c r="G12" s="4">
        <f>DATE(2015,1,27)</f>
        <v>42031</v>
      </c>
      <c r="H12" s="4">
        <f>DATE(2015,2,12)</f>
        <v>42047</v>
      </c>
      <c r="I12" s="4">
        <f t="shared" si="0"/>
        <v>42039</v>
      </c>
      <c r="J12" t="s">
        <v>24</v>
      </c>
      <c r="K12" s="4">
        <f>DATE(2015,2,28)</f>
        <v>42063</v>
      </c>
      <c r="L12" s="4">
        <f>DATE(2015,3,16)</f>
        <v>42079</v>
      </c>
      <c r="M12" s="4">
        <f t="shared" si="2"/>
        <v>42071</v>
      </c>
      <c r="N12" s="7">
        <f t="shared" si="1"/>
        <v>32</v>
      </c>
      <c r="O12" s="7">
        <f>drill_holes!D7</f>
        <v>16.5</v>
      </c>
      <c r="P12" s="7">
        <f>drill_holes!E7</f>
        <v>18.45</v>
      </c>
      <c r="Q12" s="7">
        <f>drill_holes!O7</f>
        <v>3.0303030303030304E-2</v>
      </c>
      <c r="R12" s="7" t="str">
        <f>drill_holes!C7</f>
        <v>BH-18</v>
      </c>
      <c r="S12">
        <v>2</v>
      </c>
      <c r="T12">
        <v>1</v>
      </c>
    </row>
    <row r="13" spans="1:21" x14ac:dyDescent="0.25">
      <c r="A13" t="s">
        <v>25</v>
      </c>
      <c r="B13">
        <v>237286.28150000001</v>
      </c>
      <c r="C13">
        <v>579214.54940000002</v>
      </c>
      <c r="D13">
        <v>31.304124999999999</v>
      </c>
      <c r="E13">
        <v>35.391036</v>
      </c>
      <c r="F13" t="s">
        <v>7</v>
      </c>
      <c r="G13" s="4">
        <f>DATE(2014,7,19)</f>
        <v>41839</v>
      </c>
      <c r="H13" s="4">
        <f>DATE(2014,8,4)</f>
        <v>41855</v>
      </c>
      <c r="I13" s="4">
        <f t="shared" si="0"/>
        <v>41847</v>
      </c>
      <c r="J13" t="s">
        <v>9</v>
      </c>
      <c r="K13" s="4">
        <f>DATE(2014,10,23)</f>
        <v>41935</v>
      </c>
      <c r="L13" s="4">
        <f>DATE(2014,11,8)</f>
        <v>41951</v>
      </c>
      <c r="M13" s="4">
        <f t="shared" si="2"/>
        <v>41943</v>
      </c>
      <c r="N13" s="7">
        <f t="shared" si="1"/>
        <v>96</v>
      </c>
      <c r="O13" s="7">
        <f>drill_holes!D22</f>
        <v>27.5</v>
      </c>
      <c r="P13" s="7">
        <f>drill_holes!E22</f>
        <v>9</v>
      </c>
      <c r="Q13" s="7">
        <f>0.7*drill_holes!O22+0.3*drill_holes!O57</f>
        <v>0.50557575757575757</v>
      </c>
      <c r="R13" s="7" t="str">
        <f>CONCATENATE("0.7*",drill_holes!C22,"+0.3*",drill_holes!C57)</f>
        <v>0.7*BHLA-23+0.3*Rahaf1</v>
      </c>
      <c r="S13">
        <v>2</v>
      </c>
      <c r="T13">
        <v>2</v>
      </c>
    </row>
    <row r="14" spans="1:21" x14ac:dyDescent="0.25">
      <c r="A14" t="s">
        <v>26</v>
      </c>
      <c r="B14">
        <v>237283.80540000001</v>
      </c>
      <c r="C14">
        <v>579687.84970000002</v>
      </c>
      <c r="D14">
        <v>31.308394</v>
      </c>
      <c r="E14">
        <v>35.391018000000003</v>
      </c>
      <c r="F14" t="s">
        <v>27</v>
      </c>
      <c r="G14" s="4">
        <f>DATE(2015,3,6)</f>
        <v>42069</v>
      </c>
      <c r="H14" s="4">
        <f>DATE(2015,4,1)</f>
        <v>42095</v>
      </c>
      <c r="I14" s="4">
        <f t="shared" si="0"/>
        <v>42082</v>
      </c>
      <c r="J14" s="2" t="s">
        <v>28</v>
      </c>
      <c r="K14" s="6">
        <f>DATE(2015,4,17)</f>
        <v>42111</v>
      </c>
      <c r="L14" s="6">
        <f>DATE(2015,5,3)</f>
        <v>42127</v>
      </c>
      <c r="M14" s="4">
        <f t="shared" si="2"/>
        <v>42119</v>
      </c>
      <c r="N14" s="7">
        <f t="shared" si="1"/>
        <v>37</v>
      </c>
      <c r="O14" s="7">
        <f>drill_holes!D22</f>
        <v>27.5</v>
      </c>
      <c r="P14" s="7">
        <f>drill_holes!E22</f>
        <v>9</v>
      </c>
      <c r="Q14" s="7">
        <f>0.8*drill_holes!O22+0.2*drill_holes!O57</f>
        <v>0.48412121212121206</v>
      </c>
      <c r="R14" s="7" t="str">
        <f>CONCATENATE("0.8*",drill_holes!C22,"+0.2*",drill_holes!C57)</f>
        <v>0.8*BHLA-23+0.2*Rahaf1</v>
      </c>
      <c r="S14">
        <v>1</v>
      </c>
      <c r="T14">
        <v>2</v>
      </c>
    </row>
    <row r="15" spans="1:21" x14ac:dyDescent="0.25">
      <c r="A15" t="s">
        <v>29</v>
      </c>
      <c r="B15">
        <v>238112.52840000001</v>
      </c>
      <c r="C15">
        <v>582545.09369999997</v>
      </c>
      <c r="D15">
        <v>31.334150000000001</v>
      </c>
      <c r="E15">
        <v>35.399777</v>
      </c>
      <c r="F15" t="s">
        <v>6</v>
      </c>
      <c r="G15" s="4">
        <f>DATE(2014,6,17)</f>
        <v>41807</v>
      </c>
      <c r="H15" s="4">
        <f>DATE(2014,7,3)</f>
        <v>41823</v>
      </c>
      <c r="I15" s="4">
        <f t="shared" si="0"/>
        <v>41815</v>
      </c>
      <c r="J15" t="s">
        <v>7</v>
      </c>
      <c r="K15" s="4">
        <f>DATE(2014,7,19)</f>
        <v>41839</v>
      </c>
      <c r="L15" s="4">
        <f>DATE(2014,8,4)</f>
        <v>41855</v>
      </c>
      <c r="M15" s="4">
        <f t="shared" si="2"/>
        <v>41847</v>
      </c>
      <c r="N15" s="7">
        <f t="shared" si="1"/>
        <v>32</v>
      </c>
      <c r="O15" s="7">
        <f>drill_holes!D58</f>
        <v>24</v>
      </c>
      <c r="P15" s="7">
        <f>drill_holes!E58</f>
        <v>9</v>
      </c>
      <c r="Q15" s="7">
        <f>drill_holes!O58</f>
        <v>0.39583333333333331</v>
      </c>
      <c r="R15" s="7" t="str">
        <f>drill_holes!C58</f>
        <v>ZEELIM6</v>
      </c>
      <c r="S15">
        <v>2</v>
      </c>
    </row>
    <row r="16" spans="1:21" x14ac:dyDescent="0.25">
      <c r="A16" t="s">
        <v>30</v>
      </c>
      <c r="B16">
        <v>238590.19769999999</v>
      </c>
      <c r="C16">
        <v>582792.49380000005</v>
      </c>
      <c r="D16">
        <v>31.336373999999999</v>
      </c>
      <c r="E16">
        <v>35.404800999999999</v>
      </c>
      <c r="F16" t="s">
        <v>6</v>
      </c>
      <c r="G16" s="4">
        <f>DATE(2014,6,17)</f>
        <v>41807</v>
      </c>
      <c r="H16" s="4">
        <f>DATE(2014,7,3)</f>
        <v>41823</v>
      </c>
      <c r="I16" s="4">
        <f t="shared" si="0"/>
        <v>41815</v>
      </c>
      <c r="J16" t="s">
        <v>31</v>
      </c>
      <c r="K16" s="4">
        <f>DATE(2014,7,3)</f>
        <v>41823</v>
      </c>
      <c r="L16" s="4">
        <f>DATE(2014,7,19)</f>
        <v>41839</v>
      </c>
      <c r="M16" s="4">
        <f t="shared" si="2"/>
        <v>41831</v>
      </c>
      <c r="N16" s="7">
        <f t="shared" si="1"/>
        <v>16</v>
      </c>
      <c r="O16" s="7">
        <f>0.5*drill_holes!D58+0.5*drill_holes!D17</f>
        <v>20.8</v>
      </c>
      <c r="P16" s="7">
        <f>0.5*drill_holes!E58+0.5*drill_holes!E17</f>
        <v>10.050000000000001</v>
      </c>
      <c r="Q16" s="7">
        <f>0.5*drill_holes!O58+0.5*drill_holes!O17</f>
        <v>0.19791666666666666</v>
      </c>
      <c r="R16" s="7" t="str">
        <f>CONCATENATE("0.5*",drill_holes!C17,"+0.5*",drill_holes!C58)</f>
        <v>0.5*BH-5+0.5*ZEELIM6</v>
      </c>
      <c r="S16">
        <v>2</v>
      </c>
    </row>
    <row r="17" spans="1:21" x14ac:dyDescent="0.25">
      <c r="A17" t="s">
        <v>32</v>
      </c>
      <c r="B17">
        <v>238704.6765</v>
      </c>
      <c r="C17">
        <v>583130.72349999996</v>
      </c>
      <c r="D17">
        <v>31.339421999999999</v>
      </c>
      <c r="E17">
        <v>35.406010000000002</v>
      </c>
      <c r="F17" t="s">
        <v>23</v>
      </c>
      <c r="G17" s="4">
        <f>DATE(2015,1,27)</f>
        <v>42031</v>
      </c>
      <c r="H17" s="4">
        <f>DATE(2015,2,12)</f>
        <v>42047</v>
      </c>
      <c r="I17" s="4">
        <f t="shared" si="0"/>
        <v>42039</v>
      </c>
      <c r="J17" t="s">
        <v>24</v>
      </c>
      <c r="K17" s="4">
        <f>DATE(2015,2,28)</f>
        <v>42063</v>
      </c>
      <c r="L17" s="4">
        <f>DATE(2015,3,16)</f>
        <v>42079</v>
      </c>
      <c r="M17" s="4">
        <f t="shared" si="2"/>
        <v>42071</v>
      </c>
      <c r="N17" s="7">
        <f t="shared" si="1"/>
        <v>32</v>
      </c>
      <c r="O17" s="7">
        <f>drill_holes!D17</f>
        <v>17.600000000000001</v>
      </c>
      <c r="P17" s="7">
        <f>drill_holes!E17</f>
        <v>11.1</v>
      </c>
      <c r="Q17" s="7">
        <f>drill_holes!O17</f>
        <v>0</v>
      </c>
      <c r="R17" s="7" t="str">
        <f>drill_holes!C17</f>
        <v>BH-5</v>
      </c>
      <c r="S17">
        <v>1</v>
      </c>
    </row>
    <row r="18" spans="1:21" x14ac:dyDescent="0.25">
      <c r="A18" t="s">
        <v>33</v>
      </c>
      <c r="B18">
        <v>239004.7898</v>
      </c>
      <c r="C18">
        <v>583429.22959999996</v>
      </c>
      <c r="D18">
        <v>31.342110000000002</v>
      </c>
      <c r="E18">
        <v>35.409168999999999</v>
      </c>
      <c r="F18" t="s">
        <v>24</v>
      </c>
      <c r="G18" s="4">
        <f>DATE(2015,2,28)</f>
        <v>42063</v>
      </c>
      <c r="H18" s="4">
        <f>DATE(2015,3,16)</f>
        <v>42079</v>
      </c>
      <c r="I18" s="4">
        <f t="shared" si="0"/>
        <v>42071</v>
      </c>
      <c r="J18" t="s">
        <v>27</v>
      </c>
      <c r="K18" s="4">
        <f>DATE(2015,3,16)</f>
        <v>42079</v>
      </c>
      <c r="L18" s="4">
        <f>DATE(2015,3,16)</f>
        <v>42079</v>
      </c>
      <c r="M18" s="4">
        <f t="shared" si="2"/>
        <v>42079</v>
      </c>
      <c r="N18" s="7">
        <f t="shared" si="1"/>
        <v>8</v>
      </c>
      <c r="O18" s="7">
        <f>0.5*drill_holes!D17+0.5*drill_holes!D18</f>
        <v>21.1</v>
      </c>
      <c r="P18" s="7">
        <f>0.5*drill_holes!E17+0.5*drill_holes!E18</f>
        <v>9.0500000000000007</v>
      </c>
      <c r="Q18" s="7">
        <f>0.5*drill_holes!O17+0.5*drill_holes!O18</f>
        <v>1.016260162601626E-2</v>
      </c>
      <c r="R18" s="7" t="str">
        <f>CONCATENATE("0.5*",drill_holes!C17,"+0.5*",drill_holes!C18)</f>
        <v>0.5*BH-5+0.5*BH-8</v>
      </c>
      <c r="S18">
        <v>1</v>
      </c>
    </row>
    <row r="19" spans="1:21" x14ac:dyDescent="0.25">
      <c r="A19" t="s">
        <v>34</v>
      </c>
      <c r="B19">
        <v>239377.20180000001</v>
      </c>
      <c r="C19">
        <v>584282.67359999998</v>
      </c>
      <c r="D19">
        <v>31.349800999999999</v>
      </c>
      <c r="E19">
        <v>35.4131</v>
      </c>
      <c r="F19" t="s">
        <v>35</v>
      </c>
      <c r="G19" s="4">
        <f>DATE(2014,8,4)</f>
        <v>41855</v>
      </c>
      <c r="H19" s="4">
        <f>DATE(2014,9,21)</f>
        <v>41903</v>
      </c>
      <c r="I19" s="4">
        <f t="shared" si="0"/>
        <v>41879</v>
      </c>
      <c r="J19" t="s">
        <v>36</v>
      </c>
      <c r="K19" s="4">
        <f>DATE(2014,12,6)</f>
        <v>41979</v>
      </c>
      <c r="L19" s="4">
        <f>DATE(2015,1,11)</f>
        <v>42015</v>
      </c>
      <c r="M19" s="4">
        <f t="shared" si="2"/>
        <v>41997</v>
      </c>
      <c r="N19" s="7">
        <f t="shared" si="1"/>
        <v>118</v>
      </c>
      <c r="O19" s="7">
        <f>drill_holes!D7</f>
        <v>16.5</v>
      </c>
      <c r="P19" s="7">
        <f>drill_holes!E7</f>
        <v>18.45</v>
      </c>
      <c r="Q19" s="7">
        <f>drill_holes!O7</f>
        <v>3.0303030303030304E-2</v>
      </c>
      <c r="R19" s="7" t="str">
        <f>drill_holes!C7</f>
        <v>BH-18</v>
      </c>
      <c r="S19">
        <v>2</v>
      </c>
    </row>
    <row r="20" spans="1:21" x14ac:dyDescent="0.25">
      <c r="A20" t="s">
        <v>37</v>
      </c>
      <c r="B20">
        <v>237310.20250000001</v>
      </c>
      <c r="C20">
        <v>588403.79350000003</v>
      </c>
      <c r="D20">
        <v>31.387001999999999</v>
      </c>
      <c r="E20">
        <v>35.391451000000004</v>
      </c>
      <c r="F20" t="s">
        <v>38</v>
      </c>
      <c r="G20" s="4">
        <f>DATE(2014,6,14)</f>
        <v>41804</v>
      </c>
      <c r="H20" s="4">
        <f>DATE(2014,7,3)</f>
        <v>41823</v>
      </c>
      <c r="I20" s="4">
        <f t="shared" si="0"/>
        <v>41813.5</v>
      </c>
      <c r="J20" t="s">
        <v>19</v>
      </c>
      <c r="K20" s="4">
        <f>DATE(2015,1,11)</f>
        <v>42015</v>
      </c>
      <c r="L20" s="4">
        <f>DATE(2015,1,27)</f>
        <v>42031</v>
      </c>
      <c r="M20" s="4">
        <f t="shared" si="2"/>
        <v>42023</v>
      </c>
      <c r="N20" s="7">
        <f t="shared" si="1"/>
        <v>210</v>
      </c>
      <c r="O20" s="7">
        <f>drill_holes!D47</f>
        <v>28.5</v>
      </c>
      <c r="P20" s="7">
        <f>drill_holes!E47</f>
        <v>5.5</v>
      </c>
      <c r="Q20" s="7">
        <f>drill_holes!O47</f>
        <v>0.73684210526315785</v>
      </c>
      <c r="R20" s="7" t="str">
        <f>drill_holes!C47</f>
        <v>hs3</v>
      </c>
      <c r="S20">
        <v>1</v>
      </c>
    </row>
    <row r="21" spans="1:21" x14ac:dyDescent="0.25">
      <c r="A21" t="s">
        <v>39</v>
      </c>
      <c r="B21">
        <v>236639.3089</v>
      </c>
      <c r="C21">
        <v>592560.0858</v>
      </c>
      <c r="D21">
        <v>31.424498</v>
      </c>
      <c r="E21">
        <v>35.384469000000003</v>
      </c>
      <c r="F21" t="s">
        <v>40</v>
      </c>
      <c r="G21" s="4">
        <f>DATE(2014,11,8)</f>
        <v>41951</v>
      </c>
      <c r="H21" s="4">
        <f>DATE(2014,11,24)</f>
        <v>41967</v>
      </c>
      <c r="I21" s="4">
        <f t="shared" si="0"/>
        <v>41959</v>
      </c>
      <c r="J21" t="s">
        <v>23</v>
      </c>
      <c r="K21" s="4">
        <f>DATE(2015,1,27)</f>
        <v>42031</v>
      </c>
      <c r="L21" s="4">
        <f>DATE(2015,2,12)</f>
        <v>42047</v>
      </c>
      <c r="M21" s="4">
        <f t="shared" si="2"/>
        <v>42039</v>
      </c>
      <c r="N21" s="7">
        <f t="shared" si="1"/>
        <v>80</v>
      </c>
      <c r="O21" s="7">
        <f>drill_holes!D52</f>
        <v>19.5</v>
      </c>
      <c r="P21" s="7">
        <f>drill_holes!E52</f>
        <v>15</v>
      </c>
      <c r="Q21" s="7">
        <f>drill_holes!O52</f>
        <v>0</v>
      </c>
      <c r="R21" s="7" t="str">
        <f>drill_holes!C52</f>
        <v>Mazor4</v>
      </c>
      <c r="S21">
        <v>1</v>
      </c>
    </row>
    <row r="22" spans="1:21" x14ac:dyDescent="0.25">
      <c r="A22" t="s">
        <v>41</v>
      </c>
      <c r="B22">
        <v>236569.8702</v>
      </c>
      <c r="C22">
        <v>592613.86690000002</v>
      </c>
      <c r="D22">
        <v>31.424983999999998</v>
      </c>
      <c r="E22">
        <v>35.383740000000003</v>
      </c>
      <c r="F22" t="s">
        <v>45</v>
      </c>
      <c r="G22" s="4">
        <f>DATE(2014,12,10)</f>
        <v>41983</v>
      </c>
      <c r="H22" s="4">
        <f>DATE(2014,12,26)</f>
        <v>41999</v>
      </c>
      <c r="I22" s="4">
        <f t="shared" si="0"/>
        <v>41991</v>
      </c>
      <c r="J22" t="s">
        <v>27</v>
      </c>
      <c r="K22" s="4">
        <f>DATE(2015,3,16)</f>
        <v>42079</v>
      </c>
      <c r="L22" s="4">
        <f>DATE(2015,4,1)</f>
        <v>42095</v>
      </c>
      <c r="M22" s="4">
        <f t="shared" si="2"/>
        <v>42087</v>
      </c>
      <c r="N22" s="7">
        <f t="shared" si="1"/>
        <v>96</v>
      </c>
      <c r="O22" s="7">
        <f>drill_holes!D52</f>
        <v>19.5</v>
      </c>
      <c r="P22" s="7">
        <f>drill_holes!E52</f>
        <v>15</v>
      </c>
      <c r="Q22" s="7">
        <f>drill_holes!O52</f>
        <v>0</v>
      </c>
      <c r="R22" s="7" t="str">
        <f>drill_holes!C52</f>
        <v>Mazor4</v>
      </c>
      <c r="S22">
        <v>2</v>
      </c>
    </row>
    <row r="23" spans="1:21" x14ac:dyDescent="0.25">
      <c r="A23" t="s">
        <v>17</v>
      </c>
      <c r="B23">
        <v>236818.29790000001</v>
      </c>
      <c r="C23">
        <v>593660.16989999998</v>
      </c>
      <c r="D23">
        <v>31.434417</v>
      </c>
      <c r="E23">
        <v>35.386370999999997</v>
      </c>
      <c r="F23" t="s">
        <v>52</v>
      </c>
      <c r="G23" s="4">
        <f>DATE(2013,3,22)</f>
        <v>41355</v>
      </c>
      <c r="I23" s="4">
        <f>G23</f>
        <v>41355</v>
      </c>
      <c r="J23" t="s">
        <v>50</v>
      </c>
      <c r="K23" s="4">
        <f>DATE(2014,10,27)</f>
        <v>41939</v>
      </c>
      <c r="L23" s="4">
        <f>DATE(2014,10,23)</f>
        <v>41935</v>
      </c>
      <c r="M23" s="4">
        <f t="shared" si="2"/>
        <v>41937</v>
      </c>
      <c r="N23" s="7">
        <f t="shared" si="1"/>
        <v>582</v>
      </c>
      <c r="O23" s="7">
        <f>0.8*drill_holes!D52+0.2*drill_holes!D38</f>
        <v>24.6</v>
      </c>
      <c r="P23" s="7">
        <f>0.8*drill_holes!E52+0.2*drill_holes!E38</f>
        <v>12.9</v>
      </c>
      <c r="Q23" s="7">
        <f>0.8*drill_holes!O52+0.2*drill_holes!O38</f>
        <v>0.17777777777777778</v>
      </c>
      <c r="R23" s="7" t="str">
        <f>CONCATENATE("0.8*",drill_holes!C52,"+0.2*",drill_holes!C38)</f>
        <v>0.8*Mazor4+0.2*EG20</v>
      </c>
      <c r="S23">
        <v>1</v>
      </c>
      <c r="U23" t="s">
        <v>53</v>
      </c>
    </row>
    <row r="24" spans="1:21" x14ac:dyDescent="0.25">
      <c r="A24" t="s">
        <v>42</v>
      </c>
      <c r="B24">
        <v>237440.13250000001</v>
      </c>
      <c r="C24">
        <v>595057.23529999994</v>
      </c>
      <c r="D24">
        <v>31.447006999999999</v>
      </c>
      <c r="E24">
        <v>35.392937000000003</v>
      </c>
      <c r="F24" t="s">
        <v>6</v>
      </c>
      <c r="G24" s="4">
        <f>DATE(2014,6,17)</f>
        <v>41807</v>
      </c>
      <c r="H24" s="4">
        <f>DATE(2014,7,3)</f>
        <v>41823</v>
      </c>
      <c r="I24" s="4">
        <f t="shared" ref="I24:I47" si="3">SUM(G24:H24)/2</f>
        <v>41815</v>
      </c>
      <c r="J24" t="s">
        <v>35</v>
      </c>
      <c r="K24" s="4">
        <f>DATE(2014,8,4)</f>
        <v>41855</v>
      </c>
      <c r="L24" s="4">
        <f>DATE(2014,9,21)</f>
        <v>41903</v>
      </c>
      <c r="M24" s="4">
        <f t="shared" si="2"/>
        <v>41879</v>
      </c>
      <c r="N24" s="7">
        <f t="shared" si="1"/>
        <v>64</v>
      </c>
      <c r="O24" s="7">
        <f>0.5*drill_holes!D52+0.5*drill_holes!D38</f>
        <v>32.25</v>
      </c>
      <c r="P24" s="7">
        <f>0.5*drill_holes!E52+0.5*drill_holes!E38</f>
        <v>9.75</v>
      </c>
      <c r="Q24" s="7">
        <f>0.5*drill_holes!O52+0.5*drill_holes!O38</f>
        <v>0.44444444444444442</v>
      </c>
      <c r="R24" s="7" t="str">
        <f>CONCATENATE("0.5*",drill_holes!C52,"+0.5*",drill_holes!C38)</f>
        <v>0.5*Mazor4+0.5*EG20</v>
      </c>
      <c r="S24">
        <v>1</v>
      </c>
    </row>
    <row r="25" spans="1:21" x14ac:dyDescent="0.25">
      <c r="A25" t="s">
        <v>43</v>
      </c>
      <c r="B25">
        <v>237505.4032</v>
      </c>
      <c r="C25">
        <v>594882.41929999995</v>
      </c>
      <c r="D25">
        <v>31.445430000000002</v>
      </c>
      <c r="E25">
        <v>35.393619999999999</v>
      </c>
      <c r="F25" t="s">
        <v>44</v>
      </c>
      <c r="G25" s="4">
        <f>DATE(2014,9,21)</f>
        <v>41903</v>
      </c>
      <c r="H25" s="4">
        <f>DATE(2014,10,7)</f>
        <v>41919</v>
      </c>
      <c r="I25" s="4">
        <f t="shared" si="3"/>
        <v>41911</v>
      </c>
      <c r="J25" t="s">
        <v>45</v>
      </c>
      <c r="K25" s="4">
        <f>DATE(2014,12,10)</f>
        <v>41983</v>
      </c>
      <c r="L25" s="4">
        <f>DATE(2014,12,26)</f>
        <v>41999</v>
      </c>
      <c r="M25" s="4">
        <f t="shared" si="2"/>
        <v>41991</v>
      </c>
      <c r="N25" s="7">
        <f t="shared" si="1"/>
        <v>80</v>
      </c>
      <c r="O25" s="7">
        <f>0.5*drill_holes!D52+0.5*drill_holes!D38</f>
        <v>32.25</v>
      </c>
      <c r="P25" s="7">
        <f>0.5*drill_holes!E52+0.5*drill_holes!E38</f>
        <v>9.75</v>
      </c>
      <c r="Q25" s="7">
        <f>0.5*drill_holes!O52+0.5*drill_holes!O38</f>
        <v>0.44444444444444442</v>
      </c>
      <c r="R25" s="7" t="str">
        <f>CONCATENATE("0.5*",drill_holes!C52,"+0.5*",drill_holes!C38)</f>
        <v>0.5*Mazor4+0.5*EG20</v>
      </c>
      <c r="S25">
        <v>1</v>
      </c>
    </row>
    <row r="26" spans="1:21" x14ac:dyDescent="0.25">
      <c r="A26" t="s">
        <v>46</v>
      </c>
      <c r="B26">
        <v>237922.0214</v>
      </c>
      <c r="C26">
        <v>606644.47219999996</v>
      </c>
      <c r="D26">
        <v>31.551503</v>
      </c>
      <c r="E26">
        <v>35.398221999999997</v>
      </c>
      <c r="F26" t="s">
        <v>56</v>
      </c>
      <c r="G26" s="4">
        <f>DATE(2014,3,25)</f>
        <v>41723</v>
      </c>
      <c r="H26" s="4">
        <f>DATE(2014,4,10)</f>
        <v>41739</v>
      </c>
      <c r="I26" s="4">
        <f t="shared" si="3"/>
        <v>41731</v>
      </c>
      <c r="J26" t="s">
        <v>35</v>
      </c>
      <c r="K26" s="4">
        <f>DATE(2014,8,4)</f>
        <v>41855</v>
      </c>
      <c r="L26" s="4">
        <f>DATE(2014,9,21)</f>
        <v>41903</v>
      </c>
      <c r="M26" s="4">
        <f t="shared" si="2"/>
        <v>41879</v>
      </c>
      <c r="N26" s="7">
        <f t="shared" si="1"/>
        <v>148</v>
      </c>
      <c r="O26" s="7">
        <f>0.2*drill_holes!D54+0.8*drill_holes!D53</f>
        <v>30.1</v>
      </c>
      <c r="P26" s="7">
        <f>0.2*drill_holes!E54+0.8*drill_holes!E53</f>
        <v>19.2</v>
      </c>
      <c r="Q26" s="7">
        <f>0.2*drill_holes!O54+0.8*drill_holes!O53</f>
        <v>0.54141414141414135</v>
      </c>
      <c r="R26" s="7" t="str">
        <f>CONCATENATE("0.8*",drill_holes!C53,"+0.2*",drill_holes!C54)</f>
        <v>0.8*MIN4+0.2*MINERAL2</v>
      </c>
      <c r="S26">
        <v>1</v>
      </c>
    </row>
    <row r="27" spans="1:21" x14ac:dyDescent="0.25">
      <c r="A27" t="s">
        <v>47</v>
      </c>
      <c r="B27">
        <v>239223.11929999999</v>
      </c>
      <c r="C27">
        <v>607686.77159999998</v>
      </c>
      <c r="D27">
        <v>31.560880999999998</v>
      </c>
      <c r="E27">
        <v>35.411945000000003</v>
      </c>
      <c r="F27" t="s">
        <v>7</v>
      </c>
      <c r="G27" s="4">
        <f>DATE(2014,7,19)</f>
        <v>41839</v>
      </c>
      <c r="H27" s="4">
        <f>DATE(2014,8,4)</f>
        <v>41855</v>
      </c>
      <c r="I27" s="4">
        <f t="shared" si="3"/>
        <v>41847</v>
      </c>
      <c r="J27" t="s">
        <v>40</v>
      </c>
      <c r="K27" s="4">
        <f>DATE(2014,11,8)</f>
        <v>41951</v>
      </c>
      <c r="L27" s="4">
        <f>DATE(2014,11,24)</f>
        <v>41967</v>
      </c>
      <c r="M27" s="4">
        <f t="shared" si="2"/>
        <v>41959</v>
      </c>
      <c r="N27" s="7">
        <f t="shared" si="1"/>
        <v>112</v>
      </c>
      <c r="O27" s="7">
        <f>0.8*drill_holes!D27+0.2*drill_holes!D53</f>
        <v>55.400000000000006</v>
      </c>
      <c r="P27" s="7">
        <f>0.8*drill_holes!E27+0.2*drill_holes!E53</f>
        <v>14.4</v>
      </c>
      <c r="Q27" s="7">
        <f>0.8*drill_holes!O27+0.2*drill_holes!O53</f>
        <v>0.66431528398741513</v>
      </c>
      <c r="R27" s="7" t="str">
        <f>CONCATENATE("0.8*",drill_holes!C27,"+0.2*",drill_holes!C53)</f>
        <v>0.8*DR4+0.2*MIN4</v>
      </c>
      <c r="S27">
        <v>1</v>
      </c>
    </row>
    <row r="28" spans="1:21" x14ac:dyDescent="0.25">
      <c r="A28" t="s">
        <v>48</v>
      </c>
      <c r="B28">
        <v>239433.8818</v>
      </c>
      <c r="C28">
        <v>607910.40800000005</v>
      </c>
      <c r="D28">
        <v>31.562895000000001</v>
      </c>
      <c r="E28">
        <v>35.414169999999999</v>
      </c>
      <c r="F28" t="s">
        <v>54</v>
      </c>
      <c r="G28" s="4">
        <f>DATE(2014,2,21)</f>
        <v>41691</v>
      </c>
      <c r="H28" s="4">
        <f>DATE(2014,3,9)</f>
        <v>41707</v>
      </c>
      <c r="I28" s="4">
        <f t="shared" si="3"/>
        <v>41699</v>
      </c>
      <c r="J28" t="s">
        <v>44</v>
      </c>
      <c r="K28" s="4">
        <f>DATE(2014,9,21)</f>
        <v>41903</v>
      </c>
      <c r="L28" s="4">
        <f>DATE(2014,10,7)</f>
        <v>41919</v>
      </c>
      <c r="M28" s="4">
        <f t="shared" si="2"/>
        <v>41911</v>
      </c>
      <c r="N28" s="7">
        <f t="shared" si="1"/>
        <v>212</v>
      </c>
      <c r="O28" s="7">
        <f>drill_holes!D27</f>
        <v>61</v>
      </c>
      <c r="P28" s="7">
        <f>drill_holes!E27</f>
        <v>13</v>
      </c>
      <c r="Q28" s="7">
        <f>drill_holes!O27</f>
        <v>0.66120218579234968</v>
      </c>
      <c r="R28" s="7" t="str">
        <f>drill_holes!C27</f>
        <v>DR4</v>
      </c>
      <c r="S28">
        <v>2</v>
      </c>
      <c r="U28" t="s">
        <v>55</v>
      </c>
    </row>
    <row r="29" spans="1:21" x14ac:dyDescent="0.25">
      <c r="A29" t="s">
        <v>57</v>
      </c>
      <c r="B29">
        <v>239399.0172</v>
      </c>
      <c r="C29">
        <v>608275.56070000003</v>
      </c>
      <c r="D29">
        <v>31.566189000000001</v>
      </c>
      <c r="E29">
        <v>35.413809999999998</v>
      </c>
      <c r="F29" t="s">
        <v>58</v>
      </c>
      <c r="G29" s="4">
        <f>DATE(2014,2,5)</f>
        <v>41675</v>
      </c>
      <c r="H29" s="4">
        <f>DATE(2014,2,21)</f>
        <v>41691</v>
      </c>
      <c r="I29" s="4">
        <f t="shared" si="3"/>
        <v>41683</v>
      </c>
      <c r="J29" t="s">
        <v>36</v>
      </c>
      <c r="K29" s="4">
        <f>DATE(2014,12,26)</f>
        <v>41999</v>
      </c>
      <c r="L29" s="4">
        <f>DATE(2015,1,11)</f>
        <v>42015</v>
      </c>
      <c r="M29" s="4">
        <f t="shared" si="2"/>
        <v>42007</v>
      </c>
      <c r="N29" s="7">
        <f t="shared" si="1"/>
        <v>324</v>
      </c>
      <c r="O29" s="7">
        <f>drill_holes!D27</f>
        <v>61</v>
      </c>
      <c r="P29" s="7">
        <f>drill_holes!E27</f>
        <v>13</v>
      </c>
      <c r="Q29" s="7">
        <f>drill_holes!O27</f>
        <v>0.66120218579234968</v>
      </c>
      <c r="R29" s="7" t="str">
        <f>drill_holes!C27</f>
        <v>DR4</v>
      </c>
      <c r="S29">
        <v>2</v>
      </c>
    </row>
    <row r="30" spans="1:21" x14ac:dyDescent="0.25">
      <c r="A30" t="s">
        <v>59</v>
      </c>
      <c r="B30">
        <v>237646.48069999999</v>
      </c>
      <c r="C30">
        <v>577751.52049999998</v>
      </c>
      <c r="D30">
        <v>31.290924</v>
      </c>
      <c r="E30">
        <v>35.394793</v>
      </c>
      <c r="F30" t="s">
        <v>60</v>
      </c>
      <c r="G30" s="4">
        <f>DATE(2015,7,25)</f>
        <v>42210</v>
      </c>
      <c r="H30" s="4">
        <f>DATE(2015,9,11)</f>
        <v>42258</v>
      </c>
      <c r="I30" s="4">
        <f t="shared" si="3"/>
        <v>42234</v>
      </c>
      <c r="J30" t="s">
        <v>16</v>
      </c>
      <c r="K30" s="4">
        <f>DATE(2015,11,14)</f>
        <v>42322</v>
      </c>
      <c r="L30" s="4">
        <f>DATE(2015,11,30)</f>
        <v>42338</v>
      </c>
      <c r="M30" s="4">
        <f t="shared" si="2"/>
        <v>42330</v>
      </c>
      <c r="N30" s="7">
        <f t="shared" si="1"/>
        <v>96</v>
      </c>
      <c r="O30" s="7">
        <f>drill_holes!D22</f>
        <v>27.5</v>
      </c>
      <c r="P30" s="7">
        <f>drill_holes!E22</f>
        <v>9</v>
      </c>
      <c r="Q30" s="7">
        <f>0.7*drill_holes!O22+0.3*drill_holes!O57</f>
        <v>0.50557575757575757</v>
      </c>
      <c r="R30" s="7" t="str">
        <f>CONCATENATE("0.7*",drill_holes!C22,"+0.3*",drill_holes!C57)</f>
        <v>0.7*BHLA-23+0.3*Rahaf1</v>
      </c>
      <c r="S30">
        <v>2</v>
      </c>
      <c r="U30" t="s">
        <v>61</v>
      </c>
    </row>
    <row r="31" spans="1:21" x14ac:dyDescent="0.25">
      <c r="A31" t="s">
        <v>62</v>
      </c>
      <c r="B31">
        <v>237702.31169999999</v>
      </c>
      <c r="C31">
        <v>577977.37549999997</v>
      </c>
      <c r="D31">
        <v>31.292960000000001</v>
      </c>
      <c r="E31">
        <v>35.395383000000002</v>
      </c>
      <c r="F31" t="s">
        <v>63</v>
      </c>
      <c r="G31" s="4">
        <f>DATE(2015,1,1)</f>
        <v>42005</v>
      </c>
      <c r="H31" s="4">
        <f>DATE(2015,4,17)</f>
        <v>42111</v>
      </c>
      <c r="I31" s="4">
        <f t="shared" si="3"/>
        <v>42058</v>
      </c>
      <c r="J31" t="s">
        <v>64</v>
      </c>
      <c r="K31" s="4">
        <f>DATE(2015,5,19)</f>
        <v>42143</v>
      </c>
      <c r="L31" s="4">
        <f>DATE(2015,6,4)</f>
        <v>42159</v>
      </c>
      <c r="M31" s="4">
        <f t="shared" si="2"/>
        <v>42151</v>
      </c>
      <c r="N31" s="7">
        <f t="shared" si="1"/>
        <v>93</v>
      </c>
      <c r="O31" s="7">
        <f>drill_holes!D22</f>
        <v>27.5</v>
      </c>
      <c r="P31" s="7">
        <f>drill_holes!E22</f>
        <v>9</v>
      </c>
      <c r="Q31" s="7">
        <f>0.7*drill_holes!O22+0.3*drill_holes!O57</f>
        <v>0.50557575757575757</v>
      </c>
      <c r="R31" s="7" t="str">
        <f>CONCATENATE("0.7*",drill_holes!C22,"+0.3*",drill_holes!C57)</f>
        <v>0.7*BHLA-23+0.3*Rahaf1</v>
      </c>
      <c r="S31">
        <v>1</v>
      </c>
    </row>
    <row r="32" spans="1:21" x14ac:dyDescent="0.25">
      <c r="A32" t="s">
        <v>65</v>
      </c>
      <c r="B32">
        <v>237251.70730000001</v>
      </c>
      <c r="C32">
        <v>589575.36930000002</v>
      </c>
      <c r="D32">
        <v>31.397570000000002</v>
      </c>
      <c r="E32">
        <v>35.390856999999997</v>
      </c>
      <c r="F32" t="s">
        <v>70</v>
      </c>
      <c r="G32" s="4">
        <f>DATE(2012,10,30)</f>
        <v>41212</v>
      </c>
      <c r="H32" s="4">
        <f>DATE(2013,1,1)</f>
        <v>41275</v>
      </c>
      <c r="I32" s="4">
        <f t="shared" si="3"/>
        <v>41243.5</v>
      </c>
      <c r="J32" t="s">
        <v>66</v>
      </c>
      <c r="K32" s="4">
        <f>DATE(2016,2,18)</f>
        <v>42418</v>
      </c>
      <c r="L32" s="4">
        <f>DATE(2016,2,21)</f>
        <v>42421</v>
      </c>
      <c r="M32" s="4">
        <f t="shared" si="2"/>
        <v>42419.5</v>
      </c>
      <c r="N32" s="7">
        <f t="shared" si="1"/>
        <v>1176</v>
      </c>
      <c r="O32" s="7">
        <f>drill_holes!D47</f>
        <v>28.5</v>
      </c>
      <c r="P32" s="7">
        <f>drill_holes!E47</f>
        <v>5.5</v>
      </c>
      <c r="Q32" s="7">
        <f>drill_holes!O47</f>
        <v>0.73684210526315785</v>
      </c>
      <c r="R32" s="7" t="str">
        <f>drill_holes!C47</f>
        <v>hs3</v>
      </c>
      <c r="S32">
        <v>1</v>
      </c>
    </row>
    <row r="33" spans="1:21" x14ac:dyDescent="0.25">
      <c r="A33" t="s">
        <v>69</v>
      </c>
      <c r="B33">
        <v>237609.67790000001</v>
      </c>
      <c r="C33">
        <v>595367.73789999995</v>
      </c>
      <c r="D33">
        <v>31.449805000000001</v>
      </c>
      <c r="E33">
        <v>35.394725999999999</v>
      </c>
      <c r="F33" t="s">
        <v>71</v>
      </c>
      <c r="G33" s="4">
        <f>DATE(2015,10,29)</f>
        <v>42306</v>
      </c>
      <c r="H33" s="4">
        <f>DATE(2015,11,14)</f>
        <v>42322</v>
      </c>
      <c r="I33" s="4">
        <f t="shared" si="3"/>
        <v>42314</v>
      </c>
      <c r="J33" t="s">
        <v>16</v>
      </c>
      <c r="K33" s="4">
        <f>DATE(2015,11,14)</f>
        <v>42322</v>
      </c>
      <c r="L33" s="4">
        <f>DATE(2015,11,30)</f>
        <v>42338</v>
      </c>
      <c r="M33" s="4">
        <f t="shared" si="2"/>
        <v>42330</v>
      </c>
      <c r="N33" s="7">
        <f t="shared" si="1"/>
        <v>16</v>
      </c>
      <c r="O33" s="7">
        <f>0.3*drill_holes!D52+0.7*drill_holes!D38</f>
        <v>37.349999999999994</v>
      </c>
      <c r="P33" s="7">
        <f>0.3*drill_holes!E52+0.7*drill_holes!E38</f>
        <v>7.65</v>
      </c>
      <c r="Q33" s="7">
        <f>0.3*drill_holes!O52+0.7*drill_holes!O38</f>
        <v>0.62222222222222212</v>
      </c>
      <c r="R33" s="7" t="str">
        <f>CONCATENATE("0.7*",drill_holes!C38,"+0.3*",drill_holes!C52)</f>
        <v>0.7*EG20+0.3*Mazor4</v>
      </c>
      <c r="S33">
        <v>1</v>
      </c>
    </row>
    <row r="34" spans="1:21" x14ac:dyDescent="0.25">
      <c r="A34" t="s">
        <v>72</v>
      </c>
      <c r="B34">
        <v>237736.0943</v>
      </c>
      <c r="C34">
        <v>581855.65229999996</v>
      </c>
      <c r="D34">
        <v>31.327938</v>
      </c>
      <c r="E34">
        <v>35.395809</v>
      </c>
      <c r="F34" t="s">
        <v>73</v>
      </c>
      <c r="G34" s="4">
        <f>DATE(2014,9,21)</f>
        <v>41903</v>
      </c>
      <c r="H34" s="4">
        <f>DATE(2014,10,7)</f>
        <v>41919</v>
      </c>
      <c r="I34" s="4">
        <f t="shared" si="3"/>
        <v>41911</v>
      </c>
      <c r="J34" t="s">
        <v>40</v>
      </c>
      <c r="K34" s="4">
        <f>DATE(2014,11,8)</f>
        <v>41951</v>
      </c>
      <c r="L34" s="4">
        <f>DATE(2014,11,24)</f>
        <v>41967</v>
      </c>
      <c r="M34" s="4">
        <f t="shared" si="2"/>
        <v>41959</v>
      </c>
      <c r="N34" s="7">
        <f t="shared" si="1"/>
        <v>48</v>
      </c>
      <c r="O34" s="7">
        <f>drill_holes!D22</f>
        <v>27.5</v>
      </c>
      <c r="P34" s="7">
        <f>drill_holes!E22</f>
        <v>9</v>
      </c>
      <c r="Q34" s="7">
        <f>drill_holes!O22</f>
        <v>0.44121212121212117</v>
      </c>
      <c r="R34" s="7" t="str">
        <f>drill_holes!C22</f>
        <v>BHLA-23</v>
      </c>
      <c r="S34">
        <v>2</v>
      </c>
      <c r="U34" t="s">
        <v>74</v>
      </c>
    </row>
    <row r="35" spans="1:21" x14ac:dyDescent="0.25">
      <c r="A35" t="s">
        <v>76</v>
      </c>
      <c r="B35">
        <v>238497.7095</v>
      </c>
      <c r="C35">
        <v>582776.06709999999</v>
      </c>
      <c r="D35">
        <v>31.336227000000001</v>
      </c>
      <c r="E35">
        <v>35.403827999999997</v>
      </c>
      <c r="F35" t="s">
        <v>10</v>
      </c>
      <c r="G35" s="4">
        <f>DATE(2015,4,1)</f>
        <v>42095</v>
      </c>
      <c r="H35" s="4">
        <f>DATE(2015,4,17)</f>
        <v>42111</v>
      </c>
      <c r="I35" s="4">
        <f t="shared" si="3"/>
        <v>42103</v>
      </c>
      <c r="J35" t="s">
        <v>75</v>
      </c>
      <c r="K35" s="4">
        <f>DATE(2015,5,3)</f>
        <v>42127</v>
      </c>
      <c r="L35" s="4">
        <f>DATE(2015,5,19)</f>
        <v>42143</v>
      </c>
      <c r="M35" s="4">
        <f t="shared" si="2"/>
        <v>42135</v>
      </c>
      <c r="N35" s="7">
        <f t="shared" si="1"/>
        <v>32</v>
      </c>
      <c r="O35" s="7">
        <f>0.3*drill_holes!D58+0.4*drill_holes!D5+0.3*drill_holes!D17</f>
        <v>21.4</v>
      </c>
      <c r="P35" s="7">
        <f>0.3*drill_holes!E58+0.4*drill_holes!E5+0.3*drill_holes!E17</f>
        <v>11.51</v>
      </c>
      <c r="Q35" s="7">
        <f>0.3*drill_holes!O58+0.4*drill_holes!O5+0.3*drill_holes!O17</f>
        <v>0.1662836322869955</v>
      </c>
      <c r="R35" s="7" t="str">
        <f>CONCATENATE("0.3*",drill_holes!C58,"+0.4*",drill_holes!C5,"+0.3",drill_holes!C17)</f>
        <v>0.3*ZEELIM6+0.4*BH.L-21+0.3BH-5</v>
      </c>
      <c r="S35">
        <v>1</v>
      </c>
    </row>
    <row r="36" spans="1:21" x14ac:dyDescent="0.25">
      <c r="A36" t="s">
        <v>77</v>
      </c>
      <c r="B36">
        <v>238752.76310000001</v>
      </c>
      <c r="C36">
        <v>582880.22589999996</v>
      </c>
      <c r="D36">
        <v>31.337161999999999</v>
      </c>
      <c r="E36">
        <v>35.406509999999997</v>
      </c>
      <c r="F36" t="s">
        <v>78</v>
      </c>
      <c r="G36" s="4">
        <f>DATE(2015,6,17)</f>
        <v>42172</v>
      </c>
      <c r="H36" s="4">
        <f>DATE(2015,6,23)</f>
        <v>42178</v>
      </c>
      <c r="I36" s="4">
        <f t="shared" si="3"/>
        <v>42175</v>
      </c>
      <c r="J36" t="s">
        <v>79</v>
      </c>
      <c r="K36" s="4">
        <f>DATE(2015,7,9)</f>
        <v>42194</v>
      </c>
      <c r="L36" s="4">
        <f>DATE(2015,7,25)</f>
        <v>42210</v>
      </c>
      <c r="M36" s="4">
        <f t="shared" si="2"/>
        <v>42202</v>
      </c>
      <c r="N36" s="7">
        <f t="shared" si="1"/>
        <v>27</v>
      </c>
      <c r="O36" s="7">
        <f>drill_holes!D17</f>
        <v>17.600000000000001</v>
      </c>
      <c r="P36" s="7">
        <f>drill_holes!E17</f>
        <v>11.1</v>
      </c>
      <c r="Q36" s="7">
        <f>drill_holes!O17</f>
        <v>0</v>
      </c>
      <c r="R36" s="7" t="str">
        <f>drill_holes!C17</f>
        <v>BH-5</v>
      </c>
      <c r="S36">
        <v>1</v>
      </c>
    </row>
    <row r="37" spans="1:21" x14ac:dyDescent="0.25">
      <c r="A37" t="s">
        <v>80</v>
      </c>
      <c r="B37">
        <v>238719.23149999999</v>
      </c>
      <c r="C37">
        <v>583129.55330000003</v>
      </c>
      <c r="D37">
        <v>31.339411999999999</v>
      </c>
      <c r="E37">
        <v>35.406162999999999</v>
      </c>
      <c r="F37" t="s">
        <v>64</v>
      </c>
      <c r="G37" s="4">
        <f>DATE(2015,5,19)</f>
        <v>42143</v>
      </c>
      <c r="H37" s="4">
        <f>DATE(2015,6,4)</f>
        <v>42159</v>
      </c>
      <c r="I37" s="4">
        <f t="shared" si="3"/>
        <v>42151</v>
      </c>
      <c r="J37" t="s">
        <v>79</v>
      </c>
      <c r="K37" s="4">
        <f>DATE(2015,7,9)</f>
        <v>42194</v>
      </c>
      <c r="L37" s="4">
        <f>DATE(2015,7,25)</f>
        <v>42210</v>
      </c>
      <c r="M37" s="4">
        <f t="shared" si="2"/>
        <v>42202</v>
      </c>
      <c r="N37" s="7">
        <f t="shared" si="1"/>
        <v>51</v>
      </c>
      <c r="O37" s="7">
        <f>0.7*drill_holes!D17+0.3*drill_holes!D18</f>
        <v>19.7</v>
      </c>
      <c r="P37" s="7">
        <f>0.7*drill_holes!E17+0.3*drill_holes!E18</f>
        <v>9.8699999999999992</v>
      </c>
      <c r="Q37" s="7">
        <f>0.7*drill_holes!O17+0.3*drill_holes!O18</f>
        <v>6.0975609756097554E-3</v>
      </c>
      <c r="R37" s="7" t="str">
        <f>CONCATENATE("0.7*",drill_holes!C17,"+0.3*",drill_holes!C18)</f>
        <v>0.7*BH-5+0.3*BH-8</v>
      </c>
      <c r="S37">
        <v>2</v>
      </c>
    </row>
    <row r="38" spans="1:21" x14ac:dyDescent="0.25">
      <c r="A38" t="s">
        <v>81</v>
      </c>
      <c r="B38">
        <v>237969.1771</v>
      </c>
      <c r="C38">
        <v>582215.49509999994</v>
      </c>
      <c r="D38">
        <v>31.33118</v>
      </c>
      <c r="E38">
        <v>35.398263999999998</v>
      </c>
      <c r="F38" t="s">
        <v>78</v>
      </c>
      <c r="G38" s="4">
        <f>DATE(2015,6,7)</f>
        <v>42162</v>
      </c>
      <c r="H38" s="4">
        <f>DATE(2015,6,23)</f>
        <v>42178</v>
      </c>
      <c r="I38" s="4">
        <f t="shared" si="3"/>
        <v>42170</v>
      </c>
      <c r="J38" t="s">
        <v>71</v>
      </c>
      <c r="K38" s="4">
        <f>DATE(2015,10,29)</f>
        <v>42306</v>
      </c>
      <c r="L38" s="4">
        <f>DATE(2015,11,14)</f>
        <v>42322</v>
      </c>
      <c r="M38" s="4">
        <f t="shared" si="2"/>
        <v>42314</v>
      </c>
      <c r="N38" s="7">
        <f t="shared" si="1"/>
        <v>144</v>
      </c>
      <c r="O38" s="7">
        <f>0.3*drill_holes!D5+0.3*drill_holes!D22+0.4*drill_holes!D6</f>
        <v>28.340000000000003</v>
      </c>
      <c r="P38" s="7">
        <f>0.3*drill_holes!E5+0.3*drill_holes!E22+0.4*drill_holes!E6</f>
        <v>9.8099999999999987</v>
      </c>
      <c r="Q38" s="7">
        <f>0.3*drill_holes!O5+0.3*drill_holes!O22+0.4*drill_holes!O6</f>
        <v>0.25517803968336061</v>
      </c>
      <c r="R38" s="7" t="str">
        <f>CONCATENATE("0.3*",drill_holes!C5,"+0.4*",drill_holes!C6,"+0.3",drill_holes!C22)</f>
        <v>0.3*BH.L-21+0.4*BH.L-25+0.3BHLA-23</v>
      </c>
      <c r="S38">
        <v>1</v>
      </c>
    </row>
    <row r="39" spans="1:21" x14ac:dyDescent="0.25">
      <c r="A39" t="s">
        <v>57</v>
      </c>
      <c r="B39">
        <v>238288.049</v>
      </c>
      <c r="C39">
        <v>606886.15460000001</v>
      </c>
      <c r="D39">
        <v>31.553675999999999</v>
      </c>
      <c r="E39">
        <v>35.402081000000003</v>
      </c>
      <c r="F39" t="s">
        <v>19</v>
      </c>
      <c r="G39" s="4">
        <f>DATE(2015,1,11)</f>
        <v>42015</v>
      </c>
      <c r="H39" s="4">
        <f>DATE(2015,1,27)</f>
        <v>42031</v>
      </c>
      <c r="I39" s="4">
        <f t="shared" si="3"/>
        <v>42023</v>
      </c>
      <c r="J39" t="s">
        <v>64</v>
      </c>
      <c r="K39" s="4">
        <f>DATE(2015,5,19)</f>
        <v>42143</v>
      </c>
      <c r="L39" s="4">
        <f>DATE(2015,6,4)</f>
        <v>42159</v>
      </c>
      <c r="M39" s="4">
        <f t="shared" si="2"/>
        <v>42151</v>
      </c>
      <c r="N39" s="7">
        <f t="shared" si="1"/>
        <v>128</v>
      </c>
      <c r="O39" s="7">
        <f>drill_holes!D53</f>
        <v>33</v>
      </c>
      <c r="P39" s="7">
        <f>drill_holes!E53</f>
        <v>20</v>
      </c>
      <c r="Q39" s="7">
        <f>drill_holes!O53</f>
        <v>0.67676767676767668</v>
      </c>
      <c r="R39" s="7" t="str">
        <f>drill_holes!C53</f>
        <v>MIN4</v>
      </c>
      <c r="S39">
        <v>1</v>
      </c>
      <c r="U39" s="1" t="s">
        <v>82</v>
      </c>
    </row>
    <row r="40" spans="1:21" x14ac:dyDescent="0.25">
      <c r="A40" t="s">
        <v>83</v>
      </c>
      <c r="B40">
        <v>237685.20269999999</v>
      </c>
      <c r="C40">
        <v>580368.95070000004</v>
      </c>
      <c r="D40">
        <v>31.314530000000001</v>
      </c>
      <c r="E40">
        <v>35.395246999999998</v>
      </c>
      <c r="F40" t="s">
        <v>85</v>
      </c>
      <c r="G40" s="4">
        <f>DATE(2013,5,9)</f>
        <v>41403</v>
      </c>
      <c r="H40" s="4">
        <f>DATE(2013,5,25)</f>
        <v>41419</v>
      </c>
      <c r="I40" s="4">
        <f t="shared" si="3"/>
        <v>41411</v>
      </c>
      <c r="J40" t="s">
        <v>84</v>
      </c>
      <c r="K40" s="4">
        <f>DATE(2013,8,29)</f>
        <v>41515</v>
      </c>
      <c r="L40" s="4">
        <f>DATE(2013,9,14)</f>
        <v>41531</v>
      </c>
      <c r="M40" s="4">
        <f t="shared" si="2"/>
        <v>41523</v>
      </c>
      <c r="N40" s="7">
        <f t="shared" si="1"/>
        <v>112</v>
      </c>
      <c r="O40" s="7">
        <f>drill_holes!D22</f>
        <v>27.5</v>
      </c>
      <c r="P40" s="7">
        <f>drill_holes!E22</f>
        <v>9</v>
      </c>
      <c r="Q40" s="7">
        <f>0.1*drill_holes!O57+0.9*drill_holes!O22</f>
        <v>0.46266666666666662</v>
      </c>
      <c r="R40" s="7" t="str">
        <f>CONCATENATE("0.9*",drill_holes!C22,"+0.1*",drill_holes!C57)</f>
        <v>0.9*BHLA-23+0.1*Rahaf1</v>
      </c>
      <c r="S40">
        <v>1</v>
      </c>
    </row>
    <row r="41" spans="1:21" x14ac:dyDescent="0.25">
      <c r="A41" t="s">
        <v>86</v>
      </c>
      <c r="B41">
        <v>237348.59570000001</v>
      </c>
      <c r="C41">
        <v>589325.39119999995</v>
      </c>
      <c r="D41">
        <v>31.395313999999999</v>
      </c>
      <c r="E41">
        <v>35.391871000000002</v>
      </c>
      <c r="F41" t="s">
        <v>87</v>
      </c>
      <c r="G41" s="4">
        <f>DATE(2013,3,22)</f>
        <v>41355</v>
      </c>
      <c r="H41" s="4">
        <f>DATE(2013,4,23)</f>
        <v>41387</v>
      </c>
      <c r="I41" s="4">
        <f t="shared" si="3"/>
        <v>41371</v>
      </c>
      <c r="J41" t="s">
        <v>88</v>
      </c>
      <c r="K41" s="4">
        <f>DATE(2014,1,20)</f>
        <v>41659</v>
      </c>
      <c r="L41" s="4">
        <f>DATE(2014,2,5)</f>
        <v>41675</v>
      </c>
      <c r="M41" s="4">
        <f t="shared" si="2"/>
        <v>41667</v>
      </c>
      <c r="N41" s="7">
        <f t="shared" si="1"/>
        <v>296</v>
      </c>
      <c r="O41" s="7">
        <f>drill_holes!D47</f>
        <v>28.5</v>
      </c>
      <c r="P41" s="7">
        <f>drill_holes!E47</f>
        <v>5.5</v>
      </c>
      <c r="Q41" s="7">
        <f>drill_holes!O47</f>
        <v>0.73684210526315785</v>
      </c>
      <c r="R41" s="7" t="str">
        <f>drill_holes!C47</f>
        <v>hs3</v>
      </c>
      <c r="S41">
        <v>1</v>
      </c>
    </row>
    <row r="42" spans="1:21" s="3" customFormat="1" x14ac:dyDescent="0.25">
      <c r="A42" s="3" t="s">
        <v>89</v>
      </c>
      <c r="B42" s="3">
        <v>237439.76749999999</v>
      </c>
      <c r="C42" s="3">
        <v>594381.68090000004</v>
      </c>
      <c r="D42" s="3">
        <v>31.440915</v>
      </c>
      <c r="E42" s="3">
        <v>35.392921000000001</v>
      </c>
      <c r="F42" s="3" t="s">
        <v>87</v>
      </c>
      <c r="G42" s="5">
        <f>DATE(2013,3,22)</f>
        <v>41355</v>
      </c>
      <c r="H42" s="5">
        <f>DATE(2013,4,23)</f>
        <v>41387</v>
      </c>
      <c r="I42" s="4">
        <f t="shared" si="3"/>
        <v>41371</v>
      </c>
      <c r="J42" s="3" t="s">
        <v>84</v>
      </c>
      <c r="K42" s="4">
        <f>DATE(2013,8,29)</f>
        <v>41515</v>
      </c>
      <c r="L42" s="4">
        <f>DATE(2013,9,14)</f>
        <v>41531</v>
      </c>
      <c r="M42" s="4">
        <f t="shared" si="2"/>
        <v>41523</v>
      </c>
      <c r="N42" s="7">
        <f t="shared" si="1"/>
        <v>152</v>
      </c>
      <c r="O42" s="7">
        <f>0.6*drill_holes!D52+0.4*drill_holes!D38</f>
        <v>29.7</v>
      </c>
      <c r="P42" s="7">
        <f>0.6*drill_holes!E52+0.4*drill_holes!E38</f>
        <v>10.8</v>
      </c>
      <c r="Q42" s="7">
        <f>0.6*drill_holes!O52+0.4*drill_holes!O38</f>
        <v>0.35555555555555557</v>
      </c>
      <c r="R42" s="7" t="str">
        <f>CONCATENATE("0.6*",drill_holes!C52,"+0.4*",drill_holes!C38)</f>
        <v>0.6*Mazor4+0.4*EG20</v>
      </c>
      <c r="S42" s="3">
        <v>1</v>
      </c>
    </row>
    <row r="43" spans="1:21" s="3" customFormat="1" x14ac:dyDescent="0.25">
      <c r="A43" s="3" t="s">
        <v>69</v>
      </c>
      <c r="B43" s="3">
        <v>237809.85680000001</v>
      </c>
      <c r="C43" s="3">
        <v>596024.20310000004</v>
      </c>
      <c r="D43" s="3">
        <v>31.455722000000002</v>
      </c>
      <c r="E43" s="3">
        <v>35.396844000000002</v>
      </c>
      <c r="F43" s="3" t="s">
        <v>90</v>
      </c>
      <c r="G43" s="5">
        <f>DATE(2012,10,29)</f>
        <v>41211</v>
      </c>
      <c r="H43" s="5">
        <f>DATE(2012,11,14)</f>
        <v>41227</v>
      </c>
      <c r="I43" s="4">
        <f t="shared" si="3"/>
        <v>41219</v>
      </c>
      <c r="J43" s="3" t="s">
        <v>91</v>
      </c>
      <c r="K43" s="5">
        <f>DATE(2013,9,30)</f>
        <v>41547</v>
      </c>
      <c r="L43" s="5">
        <f>DATE(2013,10,16)</f>
        <v>41563</v>
      </c>
      <c r="M43" s="4">
        <f t="shared" si="2"/>
        <v>41555</v>
      </c>
      <c r="N43" s="7">
        <f t="shared" si="1"/>
        <v>336</v>
      </c>
      <c r="O43" s="7">
        <f>drill_holes!D38</f>
        <v>45</v>
      </c>
      <c r="P43" s="7">
        <f>drill_holes!E38</f>
        <v>4.5</v>
      </c>
      <c r="Q43" s="7">
        <f>drill_holes!O38</f>
        <v>0.88888888888888884</v>
      </c>
      <c r="R43" s="7" t="str">
        <f>drill_holes!C38</f>
        <v>EG20</v>
      </c>
      <c r="S43" s="3">
        <v>1</v>
      </c>
    </row>
    <row r="44" spans="1:21" s="3" customFormat="1" x14ac:dyDescent="0.25">
      <c r="A44" s="3" t="s">
        <v>92</v>
      </c>
      <c r="B44" s="3">
        <v>237756.07930000001</v>
      </c>
      <c r="C44" s="3">
        <v>596018.25780000002</v>
      </c>
      <c r="D44" s="3">
        <v>31.455670000000001</v>
      </c>
      <c r="E44" s="3">
        <v>35.396278000000002</v>
      </c>
      <c r="F44" s="3" t="s">
        <v>90</v>
      </c>
      <c r="G44" s="5">
        <f>DATE(2012,10,29)</f>
        <v>41211</v>
      </c>
      <c r="H44" s="5">
        <f>DATE(2012,11,14)</f>
        <v>41227</v>
      </c>
      <c r="I44" s="4">
        <f t="shared" si="3"/>
        <v>41219</v>
      </c>
      <c r="J44" s="3" t="s">
        <v>91</v>
      </c>
      <c r="K44" s="5">
        <f>DATE(2013,9,30)</f>
        <v>41547</v>
      </c>
      <c r="L44" s="5">
        <f>DATE(2013,10,16)</f>
        <v>41563</v>
      </c>
      <c r="M44" s="4">
        <f t="shared" si="2"/>
        <v>41555</v>
      </c>
      <c r="N44" s="7">
        <f t="shared" si="1"/>
        <v>336</v>
      </c>
      <c r="O44" s="7">
        <f>drill_holes!D38</f>
        <v>45</v>
      </c>
      <c r="P44" s="7">
        <f>drill_holes!E38</f>
        <v>4.5</v>
      </c>
      <c r="Q44" s="7">
        <f>drill_holes!O38</f>
        <v>0.88888888888888884</v>
      </c>
      <c r="R44" s="7" t="str">
        <f>drill_holes!C38</f>
        <v>EG20</v>
      </c>
      <c r="S44" s="3">
        <v>1</v>
      </c>
    </row>
    <row r="45" spans="1:21" x14ac:dyDescent="0.25">
      <c r="A45" s="3" t="s">
        <v>98</v>
      </c>
      <c r="B45">
        <v>237213.14379999999</v>
      </c>
      <c r="C45">
        <v>589603.76249999995</v>
      </c>
      <c r="D45">
        <v>31.397825999999998</v>
      </c>
      <c r="E45">
        <v>35.390452000000003</v>
      </c>
      <c r="F45" s="3" t="s">
        <v>78</v>
      </c>
      <c r="G45" s="5">
        <f>DATE(2015,6,7)</f>
        <v>42162</v>
      </c>
      <c r="H45" s="5">
        <f>DATE(2015,6,23)</f>
        <v>42178</v>
      </c>
      <c r="I45" s="4">
        <f t="shared" si="3"/>
        <v>42170</v>
      </c>
      <c r="J45" s="3" t="s">
        <v>94</v>
      </c>
      <c r="K45" s="5">
        <f>DATE(2016,1,1)</f>
        <v>42370</v>
      </c>
      <c r="L45" s="4">
        <f>DATE(2016,11,17)</f>
        <v>42691</v>
      </c>
      <c r="M45" s="4">
        <f t="shared" si="2"/>
        <v>42530.5</v>
      </c>
      <c r="N45" s="7">
        <f t="shared" si="1"/>
        <v>360</v>
      </c>
      <c r="O45" s="7">
        <f>drill_holes!D47</f>
        <v>28.5</v>
      </c>
      <c r="P45" s="7">
        <f>drill_holes!E47</f>
        <v>5.5</v>
      </c>
      <c r="Q45" s="7">
        <f>drill_holes!O47</f>
        <v>0.73684210526315785</v>
      </c>
      <c r="R45" s="7" t="str">
        <f>drill_holes!C47</f>
        <v>hs3</v>
      </c>
      <c r="S45" s="3">
        <v>1</v>
      </c>
      <c r="T45" s="3"/>
      <c r="U45" t="s">
        <v>95</v>
      </c>
    </row>
    <row r="46" spans="1:21" x14ac:dyDescent="0.25">
      <c r="A46" s="3" t="s">
        <v>97</v>
      </c>
      <c r="B46">
        <v>237829.54550000001</v>
      </c>
      <c r="C46">
        <v>602801.53969999996</v>
      </c>
      <c r="D46">
        <v>31.516846000000001</v>
      </c>
      <c r="E46">
        <v>35.397176999999999</v>
      </c>
      <c r="F46" s="3" t="s">
        <v>96</v>
      </c>
      <c r="G46" s="5">
        <f>DATE(2013,6,26)</f>
        <v>41451</v>
      </c>
      <c r="H46" s="5">
        <f>DATE(2013,7,12)</f>
        <v>41467</v>
      </c>
      <c r="I46" s="4">
        <f t="shared" si="3"/>
        <v>41459</v>
      </c>
      <c r="J46" s="3" t="s">
        <v>91</v>
      </c>
      <c r="K46" s="5">
        <f>DATE(2013,9,30)</f>
        <v>41547</v>
      </c>
      <c r="L46" s="5">
        <f>DATE(2013,10,16)</f>
        <v>41563</v>
      </c>
      <c r="M46" s="4">
        <f t="shared" si="2"/>
        <v>41555</v>
      </c>
      <c r="N46" s="7">
        <f t="shared" si="1"/>
        <v>96</v>
      </c>
      <c r="O46" s="7">
        <f>0.5*drill_holes!D54+0.5*drill_holes!D53</f>
        <v>25.75</v>
      </c>
      <c r="P46" s="7">
        <f>0.5*drill_holes!E54+0.5*drill_holes!E53</f>
        <v>18</v>
      </c>
      <c r="Q46" s="7">
        <f>0.5*drill_holes!O54+0.5*drill_holes!O53</f>
        <v>0.33838383838383834</v>
      </c>
      <c r="R46" s="7" t="str">
        <f>CONCATENATE("0.5*",drill_holes!C52,"+0.5*",drill_holes!C53)</f>
        <v>0.5*Mazor4+0.5*MIN4</v>
      </c>
      <c r="S46" s="3">
        <v>1</v>
      </c>
      <c r="T46" s="3"/>
    </row>
    <row r="47" spans="1:21" s="3" customFormat="1" x14ac:dyDescent="0.25">
      <c r="A47" s="3" t="s">
        <v>100</v>
      </c>
      <c r="B47" s="3">
        <v>237932.01949999999</v>
      </c>
      <c r="C47" s="3">
        <v>606156.83499999996</v>
      </c>
      <c r="D47" s="3">
        <v>31.547104999999998</v>
      </c>
      <c r="E47" s="3">
        <v>35.398318000000003</v>
      </c>
      <c r="F47" s="3" t="s">
        <v>99</v>
      </c>
      <c r="G47" s="5">
        <f>DATE(2013,10,16)</f>
        <v>41563</v>
      </c>
      <c r="H47" s="5">
        <f>DATE(2013,11,1)</f>
        <v>41579</v>
      </c>
      <c r="I47" s="4">
        <f t="shared" si="3"/>
        <v>41571</v>
      </c>
      <c r="J47" s="3" t="s">
        <v>88</v>
      </c>
      <c r="K47" s="5">
        <f>DATE(2014,1,20)</f>
        <v>41659</v>
      </c>
      <c r="L47" s="5">
        <f>DATE(2014,2,5)</f>
        <v>41675</v>
      </c>
      <c r="M47" s="4">
        <f t="shared" si="2"/>
        <v>41667</v>
      </c>
      <c r="N47" s="7">
        <f t="shared" si="1"/>
        <v>96</v>
      </c>
      <c r="O47" s="7">
        <f>drill_holes!D54</f>
        <v>18.5</v>
      </c>
      <c r="P47" s="7">
        <f>drill_holes!E54</f>
        <v>16</v>
      </c>
      <c r="Q47" s="7">
        <f>drill_holes!O54</f>
        <v>0</v>
      </c>
      <c r="R47" s="7" t="str">
        <f>drill_holes!C54</f>
        <v>MINERAL2</v>
      </c>
      <c r="S47" s="3">
        <v>2</v>
      </c>
    </row>
    <row r="48" spans="1:21" x14ac:dyDescent="0.25">
      <c r="I4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B1" workbookViewId="0">
      <selection activeCell="L8" sqref="L8"/>
    </sheetView>
  </sheetViews>
  <sheetFormatPr defaultColWidth="20.7109375" defaultRowHeight="15" x14ac:dyDescent="0.25"/>
  <sheetData>
    <row r="1" spans="1:21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67</v>
      </c>
      <c r="G1" t="s">
        <v>101</v>
      </c>
      <c r="H1" t="s">
        <v>102</v>
      </c>
      <c r="I1" t="s">
        <v>103</v>
      </c>
      <c r="J1" t="s">
        <v>68</v>
      </c>
      <c r="K1" t="s">
        <v>104</v>
      </c>
      <c r="L1" t="s">
        <v>105</v>
      </c>
      <c r="M1" t="s">
        <v>106</v>
      </c>
      <c r="N1" t="s">
        <v>107</v>
      </c>
      <c r="O1" t="s">
        <v>110</v>
      </c>
      <c r="P1" t="s">
        <v>111</v>
      </c>
      <c r="Q1" t="s">
        <v>120</v>
      </c>
      <c r="R1" t="s">
        <v>188</v>
      </c>
      <c r="S1" t="s">
        <v>186</v>
      </c>
      <c r="T1" t="s">
        <v>187</v>
      </c>
      <c r="U1" t="s">
        <v>51</v>
      </c>
    </row>
    <row r="2" spans="1:21" x14ac:dyDescent="0.25">
      <c r="A2" t="s">
        <v>195</v>
      </c>
      <c r="B2">
        <v>238697.2047</v>
      </c>
      <c r="C2">
        <v>582952.804</v>
      </c>
      <c r="G2" s="4">
        <f>DATE(2012,3,3)</f>
        <v>40971</v>
      </c>
      <c r="H2" s="4">
        <f>DATE(2012,3,19)</f>
        <v>40987</v>
      </c>
      <c r="J2" s="4"/>
      <c r="K2" s="4">
        <f>DATE(2012,4,20)</f>
        <v>41019</v>
      </c>
      <c r="L2" s="4">
        <f>DATE(2012,5,6)</f>
        <v>41035</v>
      </c>
      <c r="S2">
        <v>1</v>
      </c>
    </row>
    <row r="3" spans="1:21" x14ac:dyDescent="0.25">
      <c r="A3" t="s">
        <v>196</v>
      </c>
      <c r="B3">
        <v>238392.2776</v>
      </c>
      <c r="C3">
        <v>582711.19369999995</v>
      </c>
      <c r="G3" s="4">
        <f>DATE(2013,3,22)</f>
        <v>41355</v>
      </c>
      <c r="H3" s="4">
        <f>DATE(2013,4,23)</f>
        <v>41387</v>
      </c>
      <c r="K3" s="4">
        <f>DATE(2013,3,22)</f>
        <v>41355</v>
      </c>
      <c r="L3" s="4">
        <f>DATE(2013,4,23)</f>
        <v>41387</v>
      </c>
      <c r="S3">
        <v>1</v>
      </c>
    </row>
    <row r="4" spans="1:21" x14ac:dyDescent="0.25">
      <c r="A4" t="s">
        <v>198</v>
      </c>
      <c r="B4">
        <v>237564.7628</v>
      </c>
      <c r="C4">
        <v>595186.28209999902</v>
      </c>
      <c r="G4" s="4">
        <f>DATE(2011,12,14)</f>
        <v>40891</v>
      </c>
      <c r="H4" s="4">
        <f>DATE(2011,12,30)</f>
        <v>40907</v>
      </c>
      <c r="K4" s="4">
        <f>DATE(2012,6,23)</f>
        <v>41083</v>
      </c>
      <c r="L4" s="4">
        <f>DATE(2012,7,9)</f>
        <v>41099</v>
      </c>
      <c r="S4">
        <v>2</v>
      </c>
      <c r="U4" t="s">
        <v>197</v>
      </c>
    </row>
    <row r="5" spans="1:21" x14ac:dyDescent="0.25">
      <c r="A5" t="s">
        <v>199</v>
      </c>
      <c r="B5">
        <v>237564.7628</v>
      </c>
      <c r="C5">
        <v>595345.03240000003</v>
      </c>
      <c r="G5" s="4">
        <f>DATE(2011,12,14)</f>
        <v>40891</v>
      </c>
      <c r="H5" s="4">
        <f>DATE(2011,12,30)</f>
        <v>40907</v>
      </c>
      <c r="K5" s="4">
        <f>DATE(2012,4,20)</f>
        <v>41019</v>
      </c>
      <c r="L5" s="4">
        <f>DATE(2012,5,6)</f>
        <v>41035</v>
      </c>
      <c r="S5">
        <v>2</v>
      </c>
      <c r="U5" t="s">
        <v>197</v>
      </c>
    </row>
    <row r="6" spans="1:21" x14ac:dyDescent="0.25">
      <c r="A6" t="s">
        <v>200</v>
      </c>
      <c r="B6">
        <v>239136.969553</v>
      </c>
      <c r="C6">
        <v>582926.110277</v>
      </c>
      <c r="G6" s="4">
        <f>DATE(2016,3,5)</f>
        <v>42434</v>
      </c>
      <c r="H6" s="4">
        <f>DATE(2016,3,21)</f>
        <v>42450</v>
      </c>
      <c r="K6" s="4">
        <f>DATE(2017,1,11)</f>
        <v>42746</v>
      </c>
      <c r="L6" s="4">
        <f>DATE(2017,1,11)</f>
        <v>42746</v>
      </c>
    </row>
    <row r="7" spans="1:21" x14ac:dyDescent="0.25">
      <c r="A7" t="s">
        <v>201</v>
      </c>
      <c r="B7">
        <v>238945.69197499999</v>
      </c>
      <c r="C7">
        <v>582765.87528000004</v>
      </c>
      <c r="G7" s="4">
        <f>DATE(2016,3,5)</f>
        <v>42434</v>
      </c>
      <c r="H7" s="4">
        <f>DATE(2016,3,21)</f>
        <v>42450</v>
      </c>
      <c r="K7" s="4">
        <f>DATE(2016,5,8)</f>
        <v>42498</v>
      </c>
      <c r="L7" s="4">
        <f>DATE(2016,6,9)</f>
        <v>42530</v>
      </c>
    </row>
    <row r="8" spans="1:21" x14ac:dyDescent="0.25">
      <c r="A8" t="s">
        <v>203</v>
      </c>
      <c r="G8" s="4">
        <f>DATE(2017,1,11)</f>
        <v>42746</v>
      </c>
      <c r="H8" s="4">
        <f>DATE(2017,1,20)</f>
        <v>42755</v>
      </c>
      <c r="K8" s="4">
        <f>DATE(2017,1,27)</f>
        <v>42762</v>
      </c>
      <c r="L8" s="4">
        <f>DATE(2017,1,27)</f>
        <v>42762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E1" workbookViewId="0">
      <pane ySplit="1" topLeftCell="A19" activePane="bottomLeft" state="frozen"/>
      <selection pane="bottomLeft" activeCell="O22" sqref="O22"/>
    </sheetView>
  </sheetViews>
  <sheetFormatPr defaultColWidth="15.7109375" defaultRowHeight="15" x14ac:dyDescent="0.25"/>
  <sheetData>
    <row r="1" spans="1:15" x14ac:dyDescent="0.25">
      <c r="A1" t="s">
        <v>108</v>
      </c>
      <c r="B1" t="s">
        <v>109</v>
      </c>
      <c r="C1" t="s">
        <v>0</v>
      </c>
      <c r="D1" t="s">
        <v>208</v>
      </c>
      <c r="E1" t="s">
        <v>211</v>
      </c>
      <c r="F1" t="s">
        <v>112</v>
      </c>
      <c r="G1" t="s">
        <v>212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</row>
    <row r="2" spans="1:15" x14ac:dyDescent="0.25">
      <c r="A2">
        <v>19</v>
      </c>
      <c r="B2" t="s">
        <v>121</v>
      </c>
      <c r="C2" t="s">
        <v>138</v>
      </c>
      <c r="D2" t="s">
        <v>123</v>
      </c>
      <c r="E2" t="s">
        <v>123</v>
      </c>
      <c r="F2" t="s">
        <v>123</v>
      </c>
      <c r="G2" t="s">
        <v>123</v>
      </c>
      <c r="H2" t="s">
        <v>123</v>
      </c>
      <c r="I2" t="s">
        <v>123</v>
      </c>
      <c r="J2" t="s">
        <v>123</v>
      </c>
      <c r="K2" t="s">
        <v>123</v>
      </c>
      <c r="L2" t="s">
        <v>123</v>
      </c>
      <c r="M2">
        <v>0</v>
      </c>
      <c r="N2" t="s">
        <v>123</v>
      </c>
      <c r="O2" t="e">
        <f>(H2/D2)+(I2/D2)+(J2/D2)*(1/3)</f>
        <v>#VALUE!</v>
      </c>
    </row>
    <row r="3" spans="1:15" x14ac:dyDescent="0.25">
      <c r="A3">
        <v>18</v>
      </c>
      <c r="B3" t="s">
        <v>121</v>
      </c>
      <c r="C3" t="s">
        <v>137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 t="s">
        <v>123</v>
      </c>
      <c r="J3" t="s">
        <v>123</v>
      </c>
      <c r="K3" t="s">
        <v>123</v>
      </c>
      <c r="L3" t="s">
        <v>123</v>
      </c>
      <c r="M3">
        <v>0</v>
      </c>
      <c r="N3" t="s">
        <v>123</v>
      </c>
      <c r="O3" t="e">
        <f t="shared" ref="O3:O58" si="0">(H3/D3)+(I3/D3)+(J3/D3)*(1/3)</f>
        <v>#VALUE!</v>
      </c>
    </row>
    <row r="4" spans="1:15" x14ac:dyDescent="0.25">
      <c r="A4">
        <v>45</v>
      </c>
      <c r="B4" t="s">
        <v>121</v>
      </c>
      <c r="C4" t="s">
        <v>159</v>
      </c>
      <c r="D4">
        <v>11.8</v>
      </c>
      <c r="E4">
        <v>5</v>
      </c>
      <c r="F4" t="s">
        <v>123</v>
      </c>
      <c r="G4" t="s">
        <v>123</v>
      </c>
      <c r="H4">
        <v>0</v>
      </c>
      <c r="I4">
        <v>0.5</v>
      </c>
      <c r="J4">
        <v>0</v>
      </c>
      <c r="K4">
        <v>11.3</v>
      </c>
      <c r="L4" t="s">
        <v>123</v>
      </c>
      <c r="M4">
        <v>1</v>
      </c>
      <c r="N4" t="s">
        <v>123</v>
      </c>
      <c r="O4">
        <f t="shared" si="0"/>
        <v>4.2372881355932202E-2</v>
      </c>
    </row>
    <row r="5" spans="1:15" x14ac:dyDescent="0.25">
      <c r="A5">
        <v>46</v>
      </c>
      <c r="B5" t="s">
        <v>121</v>
      </c>
      <c r="C5" t="s">
        <v>160</v>
      </c>
      <c r="D5">
        <v>22.3</v>
      </c>
      <c r="E5">
        <v>13.7</v>
      </c>
      <c r="F5" t="s">
        <v>123</v>
      </c>
      <c r="G5" t="s">
        <v>123</v>
      </c>
      <c r="H5">
        <v>0.5</v>
      </c>
      <c r="I5">
        <v>0</v>
      </c>
      <c r="J5">
        <v>6.45</v>
      </c>
      <c r="K5">
        <v>22.15</v>
      </c>
      <c r="L5" t="s">
        <v>123</v>
      </c>
      <c r="M5">
        <v>1</v>
      </c>
      <c r="N5" t="s">
        <v>123</v>
      </c>
      <c r="O5">
        <f t="shared" si="0"/>
        <v>0.11883408071748879</v>
      </c>
    </row>
    <row r="6" spans="1:15" x14ac:dyDescent="0.25">
      <c r="A6">
        <v>47</v>
      </c>
      <c r="B6" t="s">
        <v>121</v>
      </c>
      <c r="C6" t="s">
        <v>161</v>
      </c>
      <c r="D6">
        <v>33.5</v>
      </c>
      <c r="E6">
        <v>7.5</v>
      </c>
      <c r="F6" t="s">
        <v>123</v>
      </c>
      <c r="G6" t="s">
        <v>123</v>
      </c>
      <c r="H6">
        <v>0</v>
      </c>
      <c r="I6">
        <v>0</v>
      </c>
      <c r="J6">
        <v>21.9</v>
      </c>
      <c r="K6">
        <v>11.6</v>
      </c>
      <c r="L6" t="s">
        <v>162</v>
      </c>
      <c r="M6">
        <v>1</v>
      </c>
      <c r="N6" t="s">
        <v>123</v>
      </c>
      <c r="O6">
        <f t="shared" si="0"/>
        <v>0.217910447761194</v>
      </c>
    </row>
    <row r="7" spans="1:15" x14ac:dyDescent="0.25">
      <c r="A7">
        <v>61</v>
      </c>
      <c r="B7" t="s">
        <v>121</v>
      </c>
      <c r="C7" t="s">
        <v>175</v>
      </c>
      <c r="D7">
        <v>16.5</v>
      </c>
      <c r="E7">
        <v>18.45</v>
      </c>
      <c r="F7" t="s">
        <v>123</v>
      </c>
      <c r="G7" t="s">
        <v>123</v>
      </c>
      <c r="H7">
        <v>0</v>
      </c>
      <c r="I7">
        <v>0.5</v>
      </c>
      <c r="J7">
        <v>0</v>
      </c>
      <c r="K7">
        <v>16</v>
      </c>
      <c r="L7" t="s">
        <v>123</v>
      </c>
      <c r="M7">
        <v>1</v>
      </c>
      <c r="N7">
        <v>10.5</v>
      </c>
      <c r="O7">
        <f t="shared" si="0"/>
        <v>3.0303030303030304E-2</v>
      </c>
    </row>
    <row r="8" spans="1:15" x14ac:dyDescent="0.25">
      <c r="A8">
        <v>62</v>
      </c>
      <c r="B8" t="s">
        <v>121</v>
      </c>
      <c r="C8" t="s">
        <v>176</v>
      </c>
      <c r="D8">
        <v>10.5</v>
      </c>
      <c r="E8">
        <v>16.600000000000001</v>
      </c>
      <c r="F8" t="s">
        <v>123</v>
      </c>
      <c r="G8" t="s">
        <v>123</v>
      </c>
      <c r="H8">
        <v>0</v>
      </c>
      <c r="I8">
        <v>0.5</v>
      </c>
      <c r="J8">
        <v>0</v>
      </c>
      <c r="K8">
        <v>10</v>
      </c>
      <c r="L8" t="s">
        <v>123</v>
      </c>
      <c r="M8">
        <v>1</v>
      </c>
      <c r="N8">
        <v>7.9</v>
      </c>
      <c r="O8">
        <f t="shared" si="0"/>
        <v>4.7619047619047616E-2</v>
      </c>
    </row>
    <row r="9" spans="1:15" x14ac:dyDescent="0.25">
      <c r="A9">
        <v>63</v>
      </c>
      <c r="B9" t="s">
        <v>121</v>
      </c>
      <c r="C9" t="s">
        <v>177</v>
      </c>
      <c r="D9">
        <v>13</v>
      </c>
      <c r="E9">
        <v>2</v>
      </c>
      <c r="F9" t="s">
        <v>123</v>
      </c>
      <c r="G9" t="s">
        <v>123</v>
      </c>
      <c r="H9">
        <v>0</v>
      </c>
      <c r="I9">
        <v>0</v>
      </c>
      <c r="J9">
        <v>0</v>
      </c>
      <c r="K9">
        <v>13</v>
      </c>
      <c r="L9" t="s">
        <v>123</v>
      </c>
      <c r="M9">
        <v>1</v>
      </c>
      <c r="N9" t="s">
        <v>123</v>
      </c>
      <c r="O9">
        <f t="shared" si="0"/>
        <v>0</v>
      </c>
    </row>
    <row r="10" spans="1:15" x14ac:dyDescent="0.25">
      <c r="A10">
        <v>64</v>
      </c>
      <c r="B10" t="s">
        <v>121</v>
      </c>
      <c r="C10" t="s">
        <v>178</v>
      </c>
      <c r="D10">
        <v>21</v>
      </c>
      <c r="E10">
        <v>9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>
        <v>20</v>
      </c>
      <c r="L10" t="s">
        <v>179</v>
      </c>
      <c r="M10" t="s">
        <v>123</v>
      </c>
      <c r="N10">
        <v>10.6</v>
      </c>
      <c r="O10" t="e">
        <f t="shared" si="0"/>
        <v>#VALUE!</v>
      </c>
    </row>
    <row r="11" spans="1:15" x14ac:dyDescent="0.25">
      <c r="A11">
        <v>58</v>
      </c>
      <c r="B11" t="s">
        <v>121</v>
      </c>
      <c r="C11" t="s">
        <v>171</v>
      </c>
      <c r="D11" t="s">
        <v>123</v>
      </c>
      <c r="E11" t="s">
        <v>123</v>
      </c>
      <c r="F11" t="s">
        <v>123</v>
      </c>
      <c r="G11" t="s">
        <v>123</v>
      </c>
      <c r="H11" t="s">
        <v>123</v>
      </c>
      <c r="I11" t="s">
        <v>123</v>
      </c>
      <c r="J11" t="s">
        <v>123</v>
      </c>
      <c r="K11" t="s">
        <v>123</v>
      </c>
      <c r="L11" t="s">
        <v>123</v>
      </c>
      <c r="M11">
        <v>0</v>
      </c>
      <c r="N11" t="s">
        <v>123</v>
      </c>
      <c r="O11" t="e">
        <f t="shared" si="0"/>
        <v>#VALUE!</v>
      </c>
    </row>
    <row r="12" spans="1:15" x14ac:dyDescent="0.25">
      <c r="A12">
        <v>65</v>
      </c>
      <c r="B12" t="s">
        <v>121</v>
      </c>
      <c r="C12" t="s">
        <v>180</v>
      </c>
      <c r="D12" t="s">
        <v>123</v>
      </c>
      <c r="E12" t="s">
        <v>123</v>
      </c>
      <c r="F12" t="s">
        <v>123</v>
      </c>
      <c r="G12" t="s">
        <v>123</v>
      </c>
      <c r="H12" t="s">
        <v>123</v>
      </c>
      <c r="I12" t="s">
        <v>123</v>
      </c>
      <c r="J12" t="s">
        <v>123</v>
      </c>
      <c r="K12" t="s">
        <v>123</v>
      </c>
      <c r="L12" t="s">
        <v>123</v>
      </c>
      <c r="M12" t="s">
        <v>123</v>
      </c>
      <c r="N12">
        <v>18.95</v>
      </c>
      <c r="O12" t="e">
        <f t="shared" si="0"/>
        <v>#VALUE!</v>
      </c>
    </row>
    <row r="13" spans="1:15" x14ac:dyDescent="0.25">
      <c r="A13">
        <v>66</v>
      </c>
      <c r="B13" t="s">
        <v>121</v>
      </c>
      <c r="C13" t="s">
        <v>181</v>
      </c>
      <c r="D13" t="s">
        <v>123</v>
      </c>
      <c r="E13" t="s">
        <v>123</v>
      </c>
      <c r="F13" t="s">
        <v>123</v>
      </c>
      <c r="G13" t="s">
        <v>123</v>
      </c>
      <c r="H13" t="s">
        <v>123</v>
      </c>
      <c r="I13" t="s">
        <v>123</v>
      </c>
      <c r="J13" t="s">
        <v>123</v>
      </c>
      <c r="K13" t="s">
        <v>123</v>
      </c>
      <c r="L13" t="s">
        <v>123</v>
      </c>
      <c r="M13" t="s">
        <v>123</v>
      </c>
      <c r="N13">
        <v>5</v>
      </c>
      <c r="O13" t="e">
        <f t="shared" si="0"/>
        <v>#VALUE!</v>
      </c>
    </row>
    <row r="14" spans="1:15" x14ac:dyDescent="0.25">
      <c r="A14">
        <v>67</v>
      </c>
      <c r="B14" t="s">
        <v>121</v>
      </c>
      <c r="C14" t="s">
        <v>182</v>
      </c>
      <c r="D14" t="s">
        <v>123</v>
      </c>
      <c r="E14" t="s">
        <v>123</v>
      </c>
      <c r="F14" t="s">
        <v>123</v>
      </c>
      <c r="G14" t="s">
        <v>123</v>
      </c>
      <c r="H14" t="s">
        <v>123</v>
      </c>
      <c r="I14" t="s">
        <v>123</v>
      </c>
      <c r="J14" t="s">
        <v>123</v>
      </c>
      <c r="K14" t="s">
        <v>123</v>
      </c>
      <c r="L14" t="s">
        <v>123</v>
      </c>
      <c r="M14" t="s">
        <v>123</v>
      </c>
      <c r="N14">
        <v>7.15</v>
      </c>
      <c r="O14" t="e">
        <f t="shared" si="0"/>
        <v>#VALUE!</v>
      </c>
    </row>
    <row r="15" spans="1:15" x14ac:dyDescent="0.25">
      <c r="A15">
        <v>68</v>
      </c>
      <c r="B15" t="s">
        <v>121</v>
      </c>
      <c r="C15" t="s">
        <v>183</v>
      </c>
      <c r="D15" t="s">
        <v>123</v>
      </c>
      <c r="E15" t="s">
        <v>123</v>
      </c>
      <c r="F15" t="s">
        <v>123</v>
      </c>
      <c r="G15" t="s">
        <v>123</v>
      </c>
      <c r="H15" t="s">
        <v>123</v>
      </c>
      <c r="I15" t="s">
        <v>123</v>
      </c>
      <c r="J15" t="s">
        <v>123</v>
      </c>
      <c r="K15" t="s">
        <v>123</v>
      </c>
      <c r="L15" t="s">
        <v>123</v>
      </c>
      <c r="M15" t="s">
        <v>123</v>
      </c>
      <c r="N15">
        <v>6.5</v>
      </c>
      <c r="O15" t="e">
        <f t="shared" si="0"/>
        <v>#VALUE!</v>
      </c>
    </row>
    <row r="16" spans="1:15" x14ac:dyDescent="0.25">
      <c r="A16">
        <v>71</v>
      </c>
      <c r="B16" t="s">
        <v>121</v>
      </c>
      <c r="C16" t="s">
        <v>184</v>
      </c>
      <c r="D16">
        <v>31</v>
      </c>
      <c r="E16">
        <v>9</v>
      </c>
      <c r="F16" t="s">
        <v>123</v>
      </c>
      <c r="G16" t="s">
        <v>123</v>
      </c>
      <c r="H16">
        <v>0</v>
      </c>
      <c r="I16">
        <v>0.85</v>
      </c>
      <c r="J16">
        <v>4.7</v>
      </c>
      <c r="K16">
        <v>28.9</v>
      </c>
      <c r="L16" t="s">
        <v>185</v>
      </c>
      <c r="M16">
        <v>1</v>
      </c>
      <c r="N16">
        <v>1.9</v>
      </c>
      <c r="O16">
        <f t="shared" si="0"/>
        <v>7.7956989247311828E-2</v>
      </c>
    </row>
    <row r="17" spans="1:15" x14ac:dyDescent="0.25">
      <c r="A17">
        <v>59</v>
      </c>
      <c r="B17" t="s">
        <v>121</v>
      </c>
      <c r="C17" t="s">
        <v>172</v>
      </c>
      <c r="D17">
        <v>17.600000000000001</v>
      </c>
      <c r="E17">
        <v>11.1</v>
      </c>
      <c r="F17" t="s">
        <v>123</v>
      </c>
      <c r="G17" t="s">
        <v>123</v>
      </c>
      <c r="H17">
        <v>0</v>
      </c>
      <c r="I17">
        <v>0</v>
      </c>
      <c r="J17">
        <v>0</v>
      </c>
      <c r="K17">
        <v>17.600000000000001</v>
      </c>
      <c r="L17" t="s">
        <v>123</v>
      </c>
      <c r="M17">
        <v>1</v>
      </c>
      <c r="N17">
        <v>15.55</v>
      </c>
      <c r="O17">
        <f t="shared" si="0"/>
        <v>0</v>
      </c>
    </row>
    <row r="18" spans="1:15" x14ac:dyDescent="0.25">
      <c r="A18">
        <v>60</v>
      </c>
      <c r="B18" t="s">
        <v>121</v>
      </c>
      <c r="C18" t="s">
        <v>173</v>
      </c>
      <c r="D18">
        <v>24.6</v>
      </c>
      <c r="E18">
        <v>7</v>
      </c>
      <c r="F18" t="s">
        <v>123</v>
      </c>
      <c r="G18" t="s">
        <v>123</v>
      </c>
      <c r="H18">
        <v>0</v>
      </c>
      <c r="I18">
        <v>0.5</v>
      </c>
      <c r="J18">
        <v>0</v>
      </c>
      <c r="K18">
        <v>24.1</v>
      </c>
      <c r="L18" t="s">
        <v>174</v>
      </c>
      <c r="M18">
        <v>1</v>
      </c>
      <c r="N18">
        <v>12.5</v>
      </c>
      <c r="O18">
        <f t="shared" si="0"/>
        <v>2.032520325203252E-2</v>
      </c>
    </row>
    <row r="19" spans="1:15" x14ac:dyDescent="0.25">
      <c r="A19">
        <v>50</v>
      </c>
      <c r="B19" t="s">
        <v>121</v>
      </c>
      <c r="C19" t="s">
        <v>163</v>
      </c>
      <c r="D19">
        <v>12.6</v>
      </c>
      <c r="E19">
        <v>17</v>
      </c>
      <c r="F19" t="s">
        <v>123</v>
      </c>
      <c r="G19" t="s">
        <v>123</v>
      </c>
      <c r="H19">
        <v>0</v>
      </c>
      <c r="I19">
        <v>0.6</v>
      </c>
      <c r="J19">
        <v>0</v>
      </c>
      <c r="K19">
        <v>12</v>
      </c>
      <c r="L19" t="s">
        <v>123</v>
      </c>
      <c r="M19">
        <v>1</v>
      </c>
      <c r="N19" t="s">
        <v>123</v>
      </c>
      <c r="O19">
        <f t="shared" si="0"/>
        <v>4.7619047619047616E-2</v>
      </c>
    </row>
    <row r="20" spans="1:15" x14ac:dyDescent="0.25">
      <c r="A20">
        <v>52</v>
      </c>
      <c r="B20" t="s">
        <v>121</v>
      </c>
      <c r="C20" t="s">
        <v>164</v>
      </c>
      <c r="D20" t="s">
        <v>123</v>
      </c>
      <c r="E20" t="s">
        <v>123</v>
      </c>
      <c r="F20" t="s">
        <v>123</v>
      </c>
      <c r="G20" t="s">
        <v>123</v>
      </c>
      <c r="H20" t="s">
        <v>123</v>
      </c>
      <c r="I20" t="s">
        <v>123</v>
      </c>
      <c r="J20" t="s">
        <v>123</v>
      </c>
      <c r="K20" t="s">
        <v>123</v>
      </c>
      <c r="L20" t="s">
        <v>165</v>
      </c>
      <c r="M20">
        <v>0</v>
      </c>
      <c r="N20" t="s">
        <v>123</v>
      </c>
      <c r="O20" t="e">
        <f t="shared" si="0"/>
        <v>#VALUE!</v>
      </c>
    </row>
    <row r="21" spans="1:15" x14ac:dyDescent="0.25">
      <c r="A21">
        <v>53</v>
      </c>
      <c r="B21" t="s">
        <v>121</v>
      </c>
      <c r="C21" t="s">
        <v>166</v>
      </c>
      <c r="D21" t="s">
        <v>123</v>
      </c>
      <c r="E21" t="s">
        <v>123</v>
      </c>
      <c r="F21" t="s">
        <v>123</v>
      </c>
      <c r="G21" t="s">
        <v>123</v>
      </c>
      <c r="H21" t="s">
        <v>123</v>
      </c>
      <c r="I21" t="s">
        <v>123</v>
      </c>
      <c r="J21" t="s">
        <v>123</v>
      </c>
      <c r="K21" t="s">
        <v>123</v>
      </c>
      <c r="L21" t="s">
        <v>123</v>
      </c>
      <c r="M21">
        <v>0</v>
      </c>
      <c r="N21" t="s">
        <v>123</v>
      </c>
      <c r="O21" t="e">
        <f t="shared" si="0"/>
        <v>#VALUE!</v>
      </c>
    </row>
    <row r="22" spans="1:15" x14ac:dyDescent="0.25">
      <c r="A22">
        <v>55</v>
      </c>
      <c r="B22" t="s">
        <v>121</v>
      </c>
      <c r="C22" t="s">
        <v>167</v>
      </c>
      <c r="D22">
        <v>27.5</v>
      </c>
      <c r="E22">
        <v>9</v>
      </c>
      <c r="F22" t="s">
        <v>123</v>
      </c>
      <c r="G22" t="s">
        <v>123</v>
      </c>
      <c r="H22">
        <v>0</v>
      </c>
      <c r="I22">
        <v>10.45</v>
      </c>
      <c r="J22">
        <v>5.05</v>
      </c>
      <c r="K22">
        <v>12.25</v>
      </c>
      <c r="L22" t="s">
        <v>168</v>
      </c>
      <c r="M22">
        <v>1</v>
      </c>
      <c r="N22">
        <v>21.6</v>
      </c>
      <c r="O22">
        <f t="shared" si="0"/>
        <v>0.44121212121212117</v>
      </c>
    </row>
    <row r="23" spans="1:15" x14ac:dyDescent="0.25">
      <c r="A23">
        <v>56</v>
      </c>
      <c r="B23" t="s">
        <v>121</v>
      </c>
      <c r="C23" t="s">
        <v>169</v>
      </c>
      <c r="D23" t="s">
        <v>123</v>
      </c>
      <c r="E23" t="s">
        <v>123</v>
      </c>
      <c r="F23" t="s">
        <v>123</v>
      </c>
      <c r="G23" t="s">
        <v>123</v>
      </c>
      <c r="H23" t="s">
        <v>123</v>
      </c>
      <c r="I23" t="s">
        <v>123</v>
      </c>
      <c r="J23" t="s">
        <v>123</v>
      </c>
      <c r="K23" t="s">
        <v>123</v>
      </c>
      <c r="M23">
        <v>0</v>
      </c>
      <c r="N23">
        <v>23.9</v>
      </c>
      <c r="O23" t="e">
        <f t="shared" si="0"/>
        <v>#VALUE!</v>
      </c>
    </row>
    <row r="24" spans="1:15" x14ac:dyDescent="0.25">
      <c r="A24">
        <v>57</v>
      </c>
      <c r="B24" t="s">
        <v>121</v>
      </c>
      <c r="C24" t="s">
        <v>170</v>
      </c>
      <c r="D24" t="s">
        <v>123</v>
      </c>
      <c r="E24" t="s">
        <v>123</v>
      </c>
      <c r="F24" t="s">
        <v>123</v>
      </c>
      <c r="G24" t="s">
        <v>123</v>
      </c>
      <c r="H24" t="s">
        <v>123</v>
      </c>
      <c r="I24" t="s">
        <v>123</v>
      </c>
      <c r="J24" t="s">
        <v>123</v>
      </c>
      <c r="K24" t="s">
        <v>123</v>
      </c>
      <c r="L24" t="s">
        <v>123</v>
      </c>
      <c r="M24">
        <v>0</v>
      </c>
      <c r="N24" t="s">
        <v>123</v>
      </c>
      <c r="O24" t="e">
        <f t="shared" si="0"/>
        <v>#VALUE!</v>
      </c>
    </row>
    <row r="25" spans="1:15" x14ac:dyDescent="0.25">
      <c r="A25">
        <v>32</v>
      </c>
      <c r="B25" t="s">
        <v>121</v>
      </c>
      <c r="C25" t="s">
        <v>150</v>
      </c>
      <c r="D25" t="s">
        <v>123</v>
      </c>
      <c r="E25" t="s">
        <v>123</v>
      </c>
      <c r="F25" t="s">
        <v>123</v>
      </c>
      <c r="G25" t="s">
        <v>123</v>
      </c>
      <c r="H25" t="s">
        <v>123</v>
      </c>
      <c r="I25" t="s">
        <v>123</v>
      </c>
      <c r="J25" t="s">
        <v>123</v>
      </c>
      <c r="K25" t="s">
        <v>123</v>
      </c>
      <c r="L25" t="s">
        <v>123</v>
      </c>
      <c r="M25">
        <v>0</v>
      </c>
      <c r="N25" t="s">
        <v>123</v>
      </c>
      <c r="O25" t="e">
        <f t="shared" si="0"/>
        <v>#VALUE!</v>
      </c>
    </row>
    <row r="26" spans="1:15" x14ac:dyDescent="0.25">
      <c r="A26">
        <v>33</v>
      </c>
      <c r="B26" t="s">
        <v>121</v>
      </c>
      <c r="C26" t="s">
        <v>151</v>
      </c>
      <c r="D26" t="s">
        <v>123</v>
      </c>
      <c r="E26" t="s">
        <v>123</v>
      </c>
      <c r="F26" t="s">
        <v>123</v>
      </c>
      <c r="G26" t="s">
        <v>123</v>
      </c>
      <c r="H26" t="s">
        <v>123</v>
      </c>
      <c r="I26" t="s">
        <v>123</v>
      </c>
      <c r="J26" t="s">
        <v>123</v>
      </c>
      <c r="K26" t="s">
        <v>123</v>
      </c>
      <c r="L26" t="s">
        <v>123</v>
      </c>
      <c r="M26">
        <v>0</v>
      </c>
      <c r="N26" t="s">
        <v>123</v>
      </c>
      <c r="O26" t="e">
        <f t="shared" si="0"/>
        <v>#VALUE!</v>
      </c>
    </row>
    <row r="27" spans="1:15" x14ac:dyDescent="0.25">
      <c r="A27">
        <v>34</v>
      </c>
      <c r="B27" t="s">
        <v>121</v>
      </c>
      <c r="C27" t="s">
        <v>152</v>
      </c>
      <c r="D27">
        <v>61</v>
      </c>
      <c r="E27">
        <v>13</v>
      </c>
      <c r="F27" t="s">
        <v>123</v>
      </c>
      <c r="G27" t="s">
        <v>123</v>
      </c>
      <c r="H27">
        <v>17</v>
      </c>
      <c r="I27">
        <v>16</v>
      </c>
      <c r="J27">
        <v>22</v>
      </c>
      <c r="K27">
        <v>6</v>
      </c>
      <c r="L27" t="s">
        <v>123</v>
      </c>
      <c r="M27">
        <v>1</v>
      </c>
      <c r="N27" t="s">
        <v>123</v>
      </c>
      <c r="O27">
        <f t="shared" si="0"/>
        <v>0.66120218579234968</v>
      </c>
    </row>
    <row r="28" spans="1:15" x14ac:dyDescent="0.25">
      <c r="A28">
        <v>26</v>
      </c>
      <c r="B28" t="s">
        <v>121</v>
      </c>
      <c r="C28" t="s">
        <v>144</v>
      </c>
      <c r="D28">
        <v>38.299999999999997</v>
      </c>
      <c r="E28">
        <v>30</v>
      </c>
      <c r="F28" t="s">
        <v>123</v>
      </c>
      <c r="G28" t="s">
        <v>123</v>
      </c>
      <c r="H28">
        <v>6.2</v>
      </c>
      <c r="I28">
        <v>0</v>
      </c>
      <c r="J28">
        <v>27.05</v>
      </c>
      <c r="K28">
        <v>5.05</v>
      </c>
      <c r="L28" t="s">
        <v>123</v>
      </c>
      <c r="M28">
        <v>1</v>
      </c>
      <c r="N28" t="s">
        <v>123</v>
      </c>
      <c r="O28">
        <f t="shared" si="0"/>
        <v>0.39730200174064401</v>
      </c>
    </row>
    <row r="29" spans="1:15" x14ac:dyDescent="0.25">
      <c r="A29">
        <v>4</v>
      </c>
      <c r="B29" t="s">
        <v>121</v>
      </c>
      <c r="C29" t="s">
        <v>125</v>
      </c>
      <c r="D29" t="s">
        <v>123</v>
      </c>
      <c r="E29" t="s">
        <v>123</v>
      </c>
      <c r="F29" t="s">
        <v>123</v>
      </c>
      <c r="G29" t="s">
        <v>123</v>
      </c>
      <c r="H29" t="s">
        <v>123</v>
      </c>
      <c r="I29" t="s">
        <v>123</v>
      </c>
      <c r="J29" t="s">
        <v>123</v>
      </c>
      <c r="K29" t="s">
        <v>123</v>
      </c>
      <c r="L29" t="s">
        <v>123</v>
      </c>
      <c r="M29">
        <v>0</v>
      </c>
      <c r="N29" t="s">
        <v>123</v>
      </c>
      <c r="O29" t="e">
        <f t="shared" si="0"/>
        <v>#VALUE!</v>
      </c>
    </row>
    <row r="30" spans="1:15" x14ac:dyDescent="0.25">
      <c r="A30">
        <v>13</v>
      </c>
      <c r="B30" t="s">
        <v>121</v>
      </c>
      <c r="C30" t="s">
        <v>133</v>
      </c>
      <c r="D30" t="s">
        <v>123</v>
      </c>
      <c r="E30" t="s">
        <v>123</v>
      </c>
      <c r="F30" t="s">
        <v>123</v>
      </c>
      <c r="G30" t="s">
        <v>123</v>
      </c>
      <c r="H30" t="s">
        <v>123</v>
      </c>
      <c r="I30" t="s">
        <v>123</v>
      </c>
      <c r="J30" t="s">
        <v>123</v>
      </c>
      <c r="K30" t="s">
        <v>123</v>
      </c>
      <c r="L30" t="s">
        <v>123</v>
      </c>
      <c r="M30">
        <v>0</v>
      </c>
      <c r="N30" t="s">
        <v>123</v>
      </c>
      <c r="O30" t="e">
        <f t="shared" si="0"/>
        <v>#VALUE!</v>
      </c>
    </row>
    <row r="31" spans="1:15" x14ac:dyDescent="0.25">
      <c r="A31">
        <v>12</v>
      </c>
      <c r="B31" t="s">
        <v>121</v>
      </c>
      <c r="C31" t="s">
        <v>132</v>
      </c>
      <c r="D31" t="s">
        <v>123</v>
      </c>
      <c r="E31" t="s">
        <v>123</v>
      </c>
      <c r="F31" t="s">
        <v>123</v>
      </c>
      <c r="G31" t="s">
        <v>123</v>
      </c>
      <c r="H31" t="s">
        <v>123</v>
      </c>
      <c r="I31" t="s">
        <v>123</v>
      </c>
      <c r="J31" t="s">
        <v>123</v>
      </c>
      <c r="K31" t="s">
        <v>123</v>
      </c>
      <c r="L31" t="s">
        <v>123</v>
      </c>
      <c r="M31">
        <v>0</v>
      </c>
      <c r="N31" t="s">
        <v>123</v>
      </c>
      <c r="O31" t="e">
        <f t="shared" si="0"/>
        <v>#VALUE!</v>
      </c>
    </row>
    <row r="32" spans="1:15" x14ac:dyDescent="0.25">
      <c r="A32">
        <v>11</v>
      </c>
      <c r="B32" t="s">
        <v>121</v>
      </c>
      <c r="C32" t="s">
        <v>131</v>
      </c>
      <c r="D32" t="s">
        <v>123</v>
      </c>
      <c r="E32" t="s">
        <v>123</v>
      </c>
      <c r="F32" t="s">
        <v>123</v>
      </c>
      <c r="G32" t="s">
        <v>123</v>
      </c>
      <c r="H32" t="s">
        <v>123</v>
      </c>
      <c r="I32" t="s">
        <v>123</v>
      </c>
      <c r="J32" t="s">
        <v>123</v>
      </c>
      <c r="K32" t="s">
        <v>123</v>
      </c>
      <c r="L32" t="s">
        <v>123</v>
      </c>
      <c r="M32">
        <v>0</v>
      </c>
      <c r="N32" t="s">
        <v>123</v>
      </c>
      <c r="O32" t="e">
        <f t="shared" si="0"/>
        <v>#VALUE!</v>
      </c>
    </row>
    <row r="33" spans="1:15" x14ac:dyDescent="0.25">
      <c r="A33">
        <v>8</v>
      </c>
      <c r="B33" t="s">
        <v>121</v>
      </c>
      <c r="C33" t="s">
        <v>128</v>
      </c>
      <c r="D33">
        <v>52</v>
      </c>
      <c r="E33">
        <v>7.6</v>
      </c>
      <c r="F33" t="s">
        <v>123</v>
      </c>
      <c r="G33" t="s">
        <v>123</v>
      </c>
      <c r="H33">
        <v>31.8</v>
      </c>
      <c r="I33">
        <v>12.9</v>
      </c>
      <c r="J33">
        <v>4.75</v>
      </c>
      <c r="K33">
        <v>2.5499999999999998</v>
      </c>
      <c r="L33" t="s">
        <v>123</v>
      </c>
      <c r="M33">
        <v>1</v>
      </c>
      <c r="N33" t="s">
        <v>123</v>
      </c>
      <c r="O33">
        <f t="shared" si="0"/>
        <v>0.89006410256410262</v>
      </c>
    </row>
    <row r="34" spans="1:15" x14ac:dyDescent="0.25">
      <c r="A34">
        <v>28</v>
      </c>
      <c r="B34" t="s">
        <v>121</v>
      </c>
      <c r="C34" t="s">
        <v>146</v>
      </c>
      <c r="D34" t="s">
        <v>123</v>
      </c>
      <c r="E34" t="s">
        <v>123</v>
      </c>
      <c r="F34" t="s">
        <v>123</v>
      </c>
      <c r="G34" t="s">
        <v>123</v>
      </c>
      <c r="H34" t="s">
        <v>123</v>
      </c>
      <c r="I34" t="s">
        <v>123</v>
      </c>
      <c r="J34" t="s">
        <v>123</v>
      </c>
      <c r="K34" t="s">
        <v>123</v>
      </c>
      <c r="L34" t="s">
        <v>123</v>
      </c>
      <c r="M34">
        <v>0</v>
      </c>
      <c r="N34" t="s">
        <v>123</v>
      </c>
      <c r="O34" t="e">
        <f t="shared" si="0"/>
        <v>#VALUE!</v>
      </c>
    </row>
    <row r="35" spans="1:15" x14ac:dyDescent="0.25">
      <c r="A35">
        <v>29</v>
      </c>
      <c r="B35" t="s">
        <v>121</v>
      </c>
      <c r="C35" t="s">
        <v>147</v>
      </c>
      <c r="D35" t="s">
        <v>123</v>
      </c>
      <c r="E35" t="s">
        <v>123</v>
      </c>
      <c r="F35" t="s">
        <v>123</v>
      </c>
      <c r="G35" t="s">
        <v>123</v>
      </c>
      <c r="H35" t="s">
        <v>123</v>
      </c>
      <c r="I35" t="s">
        <v>123</v>
      </c>
      <c r="J35" t="s">
        <v>123</v>
      </c>
      <c r="K35" t="s">
        <v>123</v>
      </c>
      <c r="L35" t="s">
        <v>123</v>
      </c>
      <c r="M35">
        <v>0</v>
      </c>
      <c r="N35" t="s">
        <v>123</v>
      </c>
      <c r="O35" t="e">
        <f t="shared" si="0"/>
        <v>#VALUE!</v>
      </c>
    </row>
    <row r="36" spans="1:15" x14ac:dyDescent="0.25">
      <c r="A36">
        <v>30</v>
      </c>
      <c r="B36" t="s">
        <v>121</v>
      </c>
      <c r="C36" t="s">
        <v>148</v>
      </c>
      <c r="D36" t="s">
        <v>123</v>
      </c>
      <c r="E36" t="s">
        <v>123</v>
      </c>
      <c r="F36" t="s">
        <v>123</v>
      </c>
      <c r="G36" t="s">
        <v>123</v>
      </c>
      <c r="H36" t="s">
        <v>123</v>
      </c>
      <c r="I36" t="s">
        <v>123</v>
      </c>
      <c r="J36" t="s">
        <v>123</v>
      </c>
      <c r="K36" t="s">
        <v>123</v>
      </c>
      <c r="L36" t="s">
        <v>123</v>
      </c>
      <c r="M36">
        <v>0</v>
      </c>
      <c r="N36" t="s">
        <v>123</v>
      </c>
      <c r="O36" t="e">
        <f t="shared" si="0"/>
        <v>#VALUE!</v>
      </c>
    </row>
    <row r="37" spans="1:15" x14ac:dyDescent="0.25">
      <c r="A37">
        <v>5</v>
      </c>
      <c r="B37" t="s">
        <v>121</v>
      </c>
      <c r="C37" t="s">
        <v>126</v>
      </c>
      <c r="D37" t="s">
        <v>123</v>
      </c>
      <c r="E37" t="s">
        <v>123</v>
      </c>
      <c r="F37" t="s">
        <v>123</v>
      </c>
      <c r="G37" t="s">
        <v>123</v>
      </c>
      <c r="H37" t="s">
        <v>123</v>
      </c>
      <c r="I37" t="s">
        <v>123</v>
      </c>
      <c r="J37" t="s">
        <v>123</v>
      </c>
      <c r="K37" t="s">
        <v>123</v>
      </c>
      <c r="L37" t="s">
        <v>123</v>
      </c>
      <c r="M37">
        <v>0</v>
      </c>
      <c r="N37" t="s">
        <v>123</v>
      </c>
      <c r="O37" t="e">
        <f t="shared" si="0"/>
        <v>#VALUE!</v>
      </c>
    </row>
    <row r="38" spans="1:15" x14ac:dyDescent="0.25">
      <c r="A38">
        <v>35</v>
      </c>
      <c r="B38" t="s">
        <v>121</v>
      </c>
      <c r="C38" t="s">
        <v>153</v>
      </c>
      <c r="D38">
        <v>45</v>
      </c>
      <c r="E38">
        <v>4.5</v>
      </c>
      <c r="F38" t="s">
        <v>123</v>
      </c>
      <c r="G38" t="s">
        <v>123</v>
      </c>
      <c r="H38">
        <v>4.5</v>
      </c>
      <c r="I38">
        <v>34</v>
      </c>
      <c r="J38">
        <v>4.5</v>
      </c>
      <c r="K38">
        <v>2</v>
      </c>
      <c r="L38" t="s">
        <v>123</v>
      </c>
      <c r="M38">
        <v>1</v>
      </c>
      <c r="N38" t="s">
        <v>123</v>
      </c>
      <c r="O38">
        <f t="shared" si="0"/>
        <v>0.88888888888888884</v>
      </c>
    </row>
    <row r="39" spans="1:15" x14ac:dyDescent="0.25">
      <c r="A39">
        <v>17</v>
      </c>
      <c r="B39" t="s">
        <v>121</v>
      </c>
      <c r="C39" t="s">
        <v>136</v>
      </c>
      <c r="D39" t="s">
        <v>123</v>
      </c>
      <c r="E39" t="s">
        <v>123</v>
      </c>
      <c r="F39" t="s">
        <v>123</v>
      </c>
      <c r="G39" t="s">
        <v>123</v>
      </c>
      <c r="H39" t="s">
        <v>123</v>
      </c>
      <c r="I39" t="s">
        <v>123</v>
      </c>
      <c r="J39" t="s">
        <v>123</v>
      </c>
      <c r="K39" t="s">
        <v>123</v>
      </c>
      <c r="L39" t="s">
        <v>123</v>
      </c>
      <c r="M39">
        <v>0</v>
      </c>
      <c r="N39" t="s">
        <v>123</v>
      </c>
      <c r="O39" t="e">
        <f t="shared" si="0"/>
        <v>#VALUE!</v>
      </c>
    </row>
    <row r="40" spans="1:15" x14ac:dyDescent="0.25">
      <c r="A40">
        <v>7</v>
      </c>
      <c r="B40" t="s">
        <v>121</v>
      </c>
      <c r="C40" t="s">
        <v>127</v>
      </c>
      <c r="D40">
        <v>50</v>
      </c>
      <c r="E40">
        <v>2</v>
      </c>
      <c r="F40" t="s">
        <v>123</v>
      </c>
      <c r="G40" t="s">
        <v>123</v>
      </c>
      <c r="H40">
        <v>26.2</v>
      </c>
      <c r="I40">
        <v>17</v>
      </c>
      <c r="J40" t="s">
        <v>123</v>
      </c>
      <c r="K40">
        <v>6.8</v>
      </c>
      <c r="L40" t="s">
        <v>123</v>
      </c>
      <c r="M40">
        <v>1</v>
      </c>
      <c r="N40" t="s">
        <v>123</v>
      </c>
      <c r="O40" t="e">
        <f t="shared" si="0"/>
        <v>#VALUE!</v>
      </c>
    </row>
    <row r="41" spans="1:15" x14ac:dyDescent="0.25">
      <c r="A41">
        <v>16</v>
      </c>
      <c r="B41" t="s">
        <v>121</v>
      </c>
      <c r="C41" t="s">
        <v>135</v>
      </c>
      <c r="D41" t="s">
        <v>123</v>
      </c>
      <c r="E41" t="s">
        <v>123</v>
      </c>
      <c r="F41" t="s">
        <v>123</v>
      </c>
      <c r="G41" t="s">
        <v>123</v>
      </c>
      <c r="H41" t="s">
        <v>123</v>
      </c>
      <c r="I41" t="s">
        <v>123</v>
      </c>
      <c r="J41" t="s">
        <v>123</v>
      </c>
      <c r="K41" t="s">
        <v>123</v>
      </c>
      <c r="L41" t="s">
        <v>123</v>
      </c>
      <c r="M41">
        <v>0</v>
      </c>
      <c r="N41" t="s">
        <v>123</v>
      </c>
      <c r="O41" t="e">
        <f t="shared" si="0"/>
        <v>#VALUE!</v>
      </c>
    </row>
    <row r="42" spans="1:15" x14ac:dyDescent="0.25">
      <c r="A42">
        <v>14</v>
      </c>
      <c r="B42" t="s">
        <v>121</v>
      </c>
      <c r="C42" t="s">
        <v>134</v>
      </c>
      <c r="D42" t="s">
        <v>123</v>
      </c>
      <c r="E42" t="s">
        <v>123</v>
      </c>
      <c r="F42" t="s">
        <v>123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  <c r="L42" t="s">
        <v>123</v>
      </c>
      <c r="M42">
        <v>0</v>
      </c>
      <c r="N42" t="s">
        <v>123</v>
      </c>
      <c r="O42" t="e">
        <f t="shared" si="0"/>
        <v>#VALUE!</v>
      </c>
    </row>
    <row r="43" spans="1:15" x14ac:dyDescent="0.25">
      <c r="A43">
        <v>21</v>
      </c>
      <c r="B43" t="s">
        <v>121</v>
      </c>
      <c r="C43" t="s">
        <v>140</v>
      </c>
      <c r="D43" t="s">
        <v>123</v>
      </c>
      <c r="E43" t="s">
        <v>123</v>
      </c>
      <c r="F43" t="s">
        <v>123</v>
      </c>
      <c r="G43" t="s">
        <v>123</v>
      </c>
      <c r="H43" t="s">
        <v>123</v>
      </c>
      <c r="I43" t="s">
        <v>123</v>
      </c>
      <c r="J43" t="s">
        <v>123</v>
      </c>
      <c r="K43" t="s">
        <v>123</v>
      </c>
      <c r="L43" t="s">
        <v>123</v>
      </c>
      <c r="M43">
        <v>0</v>
      </c>
      <c r="N43" t="s">
        <v>123</v>
      </c>
      <c r="O43" t="e">
        <f t="shared" si="0"/>
        <v>#VALUE!</v>
      </c>
    </row>
    <row r="44" spans="1:15" x14ac:dyDescent="0.25">
      <c r="A44">
        <v>43</v>
      </c>
      <c r="B44" t="s">
        <v>121</v>
      </c>
      <c r="C44" t="s">
        <v>157</v>
      </c>
      <c r="D44">
        <v>35.299999999999997</v>
      </c>
      <c r="E44">
        <v>7.2</v>
      </c>
      <c r="F44" t="s">
        <v>123</v>
      </c>
      <c r="G44" t="s">
        <v>123</v>
      </c>
      <c r="H44">
        <v>18.3</v>
      </c>
      <c r="I44">
        <v>2.2999999999999998</v>
      </c>
      <c r="J44">
        <v>0</v>
      </c>
      <c r="K44">
        <v>14.7</v>
      </c>
      <c r="L44" t="s">
        <v>123</v>
      </c>
      <c r="M44">
        <v>1</v>
      </c>
      <c r="N44" t="s">
        <v>123</v>
      </c>
      <c r="O44">
        <f t="shared" si="0"/>
        <v>0.58356940509915023</v>
      </c>
    </row>
    <row r="45" spans="1:15" x14ac:dyDescent="0.25">
      <c r="A45">
        <v>44</v>
      </c>
      <c r="B45" t="s">
        <v>121</v>
      </c>
      <c r="C45" t="s">
        <v>158</v>
      </c>
      <c r="D45" t="s">
        <v>123</v>
      </c>
      <c r="E45" t="s">
        <v>123</v>
      </c>
      <c r="F45" t="s">
        <v>123</v>
      </c>
      <c r="G45" t="s">
        <v>123</v>
      </c>
      <c r="H45">
        <v>15.1</v>
      </c>
      <c r="I45">
        <v>16.2</v>
      </c>
      <c r="J45">
        <v>5.5</v>
      </c>
      <c r="K45">
        <v>3.7</v>
      </c>
      <c r="L45" t="s">
        <v>123</v>
      </c>
      <c r="M45">
        <v>1</v>
      </c>
      <c r="N45" t="s">
        <v>123</v>
      </c>
      <c r="O45" t="e">
        <f t="shared" si="0"/>
        <v>#VALUE!</v>
      </c>
    </row>
    <row r="46" spans="1:15" x14ac:dyDescent="0.25">
      <c r="A46">
        <v>2</v>
      </c>
      <c r="B46" t="s">
        <v>121</v>
      </c>
      <c r="C46" t="s">
        <v>122</v>
      </c>
      <c r="D46">
        <v>25</v>
      </c>
      <c r="E46">
        <v>10.5</v>
      </c>
      <c r="F46" t="s">
        <v>123</v>
      </c>
      <c r="G46" t="s">
        <v>123</v>
      </c>
      <c r="H46">
        <v>6</v>
      </c>
      <c r="I46">
        <v>7</v>
      </c>
      <c r="J46">
        <v>7</v>
      </c>
      <c r="K46">
        <v>5</v>
      </c>
      <c r="L46" t="s">
        <v>123</v>
      </c>
      <c r="M46">
        <v>1</v>
      </c>
      <c r="N46" t="s">
        <v>123</v>
      </c>
      <c r="O46">
        <f t="shared" si="0"/>
        <v>0.6133333333333334</v>
      </c>
    </row>
    <row r="47" spans="1:15" x14ac:dyDescent="0.25">
      <c r="A47">
        <v>3</v>
      </c>
      <c r="B47" t="s">
        <v>121</v>
      </c>
      <c r="C47" t="s">
        <v>124</v>
      </c>
      <c r="D47">
        <v>28.5</v>
      </c>
      <c r="E47">
        <v>5.5</v>
      </c>
      <c r="F47" t="s">
        <v>123</v>
      </c>
      <c r="G47" t="s">
        <v>123</v>
      </c>
      <c r="H47">
        <v>10</v>
      </c>
      <c r="I47">
        <v>11</v>
      </c>
      <c r="J47">
        <v>0</v>
      </c>
      <c r="K47">
        <v>2</v>
      </c>
      <c r="L47" t="s">
        <v>123</v>
      </c>
      <c r="M47">
        <v>1</v>
      </c>
      <c r="N47" t="s">
        <v>123</v>
      </c>
      <c r="O47">
        <f t="shared" si="0"/>
        <v>0.73684210526315785</v>
      </c>
    </row>
    <row r="48" spans="1:15" x14ac:dyDescent="0.25">
      <c r="A48">
        <v>41</v>
      </c>
      <c r="B48" t="s">
        <v>121</v>
      </c>
      <c r="C48" t="s">
        <v>156</v>
      </c>
      <c r="D48" t="s">
        <v>123</v>
      </c>
      <c r="E48" t="s">
        <v>123</v>
      </c>
      <c r="F48" t="s">
        <v>123</v>
      </c>
      <c r="G48" t="s">
        <v>123</v>
      </c>
      <c r="H48" t="s">
        <v>123</v>
      </c>
      <c r="I48" t="s">
        <v>123</v>
      </c>
      <c r="J48" t="s">
        <v>123</v>
      </c>
      <c r="K48" t="s">
        <v>123</v>
      </c>
      <c r="L48" t="s">
        <v>123</v>
      </c>
      <c r="M48">
        <v>0</v>
      </c>
      <c r="N48" t="s">
        <v>123</v>
      </c>
      <c r="O48" t="e">
        <f t="shared" si="0"/>
        <v>#VALUE!</v>
      </c>
    </row>
    <row r="49" spans="1:15" x14ac:dyDescent="0.25">
      <c r="A49">
        <v>10</v>
      </c>
      <c r="B49" t="s">
        <v>121</v>
      </c>
      <c r="C49" t="s">
        <v>130</v>
      </c>
      <c r="D49">
        <v>55.28</v>
      </c>
      <c r="E49">
        <v>22.8</v>
      </c>
      <c r="F49" t="s">
        <v>123</v>
      </c>
      <c r="G49" t="s">
        <v>123</v>
      </c>
      <c r="H49">
        <v>21.5</v>
      </c>
      <c r="I49">
        <v>13.2</v>
      </c>
      <c r="J49">
        <v>18.3</v>
      </c>
      <c r="K49">
        <v>2.2799999999999998</v>
      </c>
      <c r="L49" t="s">
        <v>123</v>
      </c>
      <c r="M49">
        <v>1</v>
      </c>
      <c r="N49" t="s">
        <v>123</v>
      </c>
      <c r="O49">
        <f t="shared" si="0"/>
        <v>0.73806078147612153</v>
      </c>
    </row>
    <row r="50" spans="1:15" x14ac:dyDescent="0.25">
      <c r="A50">
        <v>9</v>
      </c>
      <c r="B50" t="s">
        <v>121</v>
      </c>
      <c r="C50" t="s">
        <v>129</v>
      </c>
      <c r="D50">
        <v>51.5</v>
      </c>
      <c r="E50">
        <v>20</v>
      </c>
      <c r="F50" t="s">
        <v>123</v>
      </c>
      <c r="G50" t="s">
        <v>123</v>
      </c>
      <c r="H50">
        <v>19.5</v>
      </c>
      <c r="I50">
        <v>24.5</v>
      </c>
      <c r="J50">
        <v>6.5</v>
      </c>
      <c r="K50">
        <v>1</v>
      </c>
      <c r="L50" t="s">
        <v>123</v>
      </c>
      <c r="M50">
        <v>1</v>
      </c>
      <c r="N50" t="s">
        <v>123</v>
      </c>
      <c r="O50">
        <f t="shared" si="0"/>
        <v>0.89644012944983831</v>
      </c>
    </row>
    <row r="51" spans="1:15" x14ac:dyDescent="0.25">
      <c r="A51">
        <v>20</v>
      </c>
      <c r="B51" t="s">
        <v>121</v>
      </c>
      <c r="C51" t="s">
        <v>139</v>
      </c>
      <c r="D51">
        <v>19.5</v>
      </c>
      <c r="E51">
        <v>17.5</v>
      </c>
      <c r="F51" t="s">
        <v>123</v>
      </c>
      <c r="G51" t="s">
        <v>123</v>
      </c>
      <c r="H51">
        <v>0</v>
      </c>
      <c r="I51">
        <v>0</v>
      </c>
      <c r="J51">
        <v>0</v>
      </c>
      <c r="K51">
        <v>19.5</v>
      </c>
      <c r="L51" t="s">
        <v>123</v>
      </c>
      <c r="M51">
        <v>1</v>
      </c>
      <c r="N51" t="s">
        <v>123</v>
      </c>
      <c r="O51">
        <f t="shared" si="0"/>
        <v>0</v>
      </c>
    </row>
    <row r="52" spans="1:15" x14ac:dyDescent="0.25">
      <c r="A52">
        <v>37</v>
      </c>
      <c r="B52" t="s">
        <v>121</v>
      </c>
      <c r="C52" t="s">
        <v>154</v>
      </c>
      <c r="D52">
        <v>19.5</v>
      </c>
      <c r="E52">
        <v>15</v>
      </c>
      <c r="F52" t="s">
        <v>123</v>
      </c>
      <c r="G52" t="s">
        <v>123</v>
      </c>
      <c r="H52">
        <v>0</v>
      </c>
      <c r="I52">
        <v>0</v>
      </c>
      <c r="J52">
        <v>0</v>
      </c>
      <c r="K52">
        <v>19.5</v>
      </c>
      <c r="L52" t="s">
        <v>123</v>
      </c>
      <c r="M52">
        <v>1</v>
      </c>
      <c r="N52" t="s">
        <v>123</v>
      </c>
      <c r="O52">
        <f t="shared" si="0"/>
        <v>0</v>
      </c>
    </row>
    <row r="53" spans="1:15" x14ac:dyDescent="0.25">
      <c r="A53">
        <v>31</v>
      </c>
      <c r="B53" t="s">
        <v>121</v>
      </c>
      <c r="C53" t="s">
        <v>149</v>
      </c>
      <c r="D53">
        <v>33</v>
      </c>
      <c r="E53">
        <v>20</v>
      </c>
      <c r="F53" t="s">
        <v>123</v>
      </c>
      <c r="G53" t="s">
        <v>123</v>
      </c>
      <c r="H53">
        <v>9</v>
      </c>
      <c r="I53">
        <v>10</v>
      </c>
      <c r="J53">
        <v>10</v>
      </c>
      <c r="K53">
        <v>4</v>
      </c>
      <c r="L53" t="s">
        <v>123</v>
      </c>
      <c r="M53">
        <v>1</v>
      </c>
      <c r="N53" t="s">
        <v>123</v>
      </c>
      <c r="O53">
        <f t="shared" si="0"/>
        <v>0.67676767676767668</v>
      </c>
    </row>
    <row r="54" spans="1:15" x14ac:dyDescent="0.25">
      <c r="A54">
        <v>22</v>
      </c>
      <c r="B54" t="s">
        <v>121</v>
      </c>
      <c r="C54" t="s">
        <v>141</v>
      </c>
      <c r="D54">
        <v>18.5</v>
      </c>
      <c r="E54">
        <v>16</v>
      </c>
      <c r="F54" t="s">
        <v>123</v>
      </c>
      <c r="G54" t="s">
        <v>123</v>
      </c>
      <c r="H54">
        <v>0</v>
      </c>
      <c r="I54">
        <v>0</v>
      </c>
      <c r="J54">
        <v>0</v>
      </c>
      <c r="K54">
        <v>18.5</v>
      </c>
      <c r="L54" t="s">
        <v>123</v>
      </c>
      <c r="M54">
        <v>1</v>
      </c>
      <c r="N54" t="s">
        <v>123</v>
      </c>
      <c r="O54">
        <f t="shared" si="0"/>
        <v>0</v>
      </c>
    </row>
    <row r="55" spans="1:15" x14ac:dyDescent="0.25">
      <c r="A55">
        <v>23</v>
      </c>
      <c r="B55" t="s">
        <v>121</v>
      </c>
      <c r="C55" t="s">
        <v>142</v>
      </c>
      <c r="D55">
        <v>49</v>
      </c>
      <c r="E55">
        <v>27</v>
      </c>
      <c r="F55" t="s">
        <v>123</v>
      </c>
      <c r="G55" t="s">
        <v>123</v>
      </c>
      <c r="H55">
        <v>8.25</v>
      </c>
      <c r="I55">
        <v>9.6999999999999993</v>
      </c>
      <c r="J55">
        <v>16.350000000000001</v>
      </c>
      <c r="K55">
        <v>14.7</v>
      </c>
      <c r="L55" t="s">
        <v>123</v>
      </c>
      <c r="M55">
        <v>1</v>
      </c>
      <c r="N55" t="s">
        <v>123</v>
      </c>
      <c r="O55">
        <f t="shared" si="0"/>
        <v>0.47755102040816322</v>
      </c>
    </row>
    <row r="56" spans="1:15" x14ac:dyDescent="0.25">
      <c r="A56">
        <v>25</v>
      </c>
      <c r="B56" t="s">
        <v>121</v>
      </c>
      <c r="C56" t="s">
        <v>143</v>
      </c>
      <c r="D56" t="s">
        <v>123</v>
      </c>
      <c r="E56" t="s">
        <v>123</v>
      </c>
      <c r="F56" t="s">
        <v>123</v>
      </c>
      <c r="G56" t="s">
        <v>123</v>
      </c>
      <c r="H56" t="s">
        <v>123</v>
      </c>
      <c r="I56" t="s">
        <v>123</v>
      </c>
      <c r="J56" t="s">
        <v>123</v>
      </c>
      <c r="K56" t="s">
        <v>123</v>
      </c>
      <c r="L56" t="s">
        <v>123</v>
      </c>
      <c r="M56">
        <v>0</v>
      </c>
      <c r="N56" t="s">
        <v>123</v>
      </c>
      <c r="O56" t="e">
        <f t="shared" si="0"/>
        <v>#VALUE!</v>
      </c>
    </row>
    <row r="57" spans="1:15" x14ac:dyDescent="0.25">
      <c r="A57">
        <v>27</v>
      </c>
      <c r="B57" t="s">
        <v>121</v>
      </c>
      <c r="C57" t="s">
        <v>145</v>
      </c>
      <c r="D57">
        <v>27.5</v>
      </c>
      <c r="E57" t="s">
        <v>123</v>
      </c>
      <c r="F57" t="s">
        <v>123</v>
      </c>
      <c r="G57" t="s">
        <v>123</v>
      </c>
      <c r="H57">
        <v>12.5</v>
      </c>
      <c r="I57">
        <v>3.3</v>
      </c>
      <c r="J57">
        <v>6.7</v>
      </c>
      <c r="K57">
        <v>5</v>
      </c>
      <c r="L57" t="s">
        <v>123</v>
      </c>
      <c r="M57">
        <v>0</v>
      </c>
      <c r="N57" t="s">
        <v>123</v>
      </c>
      <c r="O57">
        <f t="shared" si="0"/>
        <v>0.65575757575757565</v>
      </c>
    </row>
    <row r="58" spans="1:15" x14ac:dyDescent="0.25">
      <c r="A58">
        <v>39</v>
      </c>
      <c r="B58" t="s">
        <v>121</v>
      </c>
      <c r="C58" t="s">
        <v>155</v>
      </c>
      <c r="D58">
        <v>24</v>
      </c>
      <c r="E58">
        <v>9</v>
      </c>
      <c r="F58" t="s">
        <v>123</v>
      </c>
      <c r="G58" t="s">
        <v>123</v>
      </c>
      <c r="H58">
        <v>3</v>
      </c>
      <c r="I58">
        <v>6</v>
      </c>
      <c r="J58">
        <v>1.5</v>
      </c>
      <c r="K58">
        <v>13.5</v>
      </c>
      <c r="L58" t="s">
        <v>123</v>
      </c>
      <c r="M58">
        <v>1</v>
      </c>
      <c r="N58" t="s">
        <v>123</v>
      </c>
      <c r="O58">
        <f t="shared" si="0"/>
        <v>0.39583333333333331</v>
      </c>
    </row>
  </sheetData>
  <sortState ref="A2:O58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J1" zoomScale="70" zoomScaleNormal="70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33.85546875" customWidth="1"/>
    <col min="2" max="2" width="17.7109375" customWidth="1"/>
    <col min="3" max="3" width="19.140625" customWidth="1"/>
    <col min="4" max="4" width="17.7109375" customWidth="1"/>
    <col min="5" max="5" width="13" customWidth="1"/>
    <col min="6" max="9" width="20.42578125" customWidth="1"/>
    <col min="10" max="18" width="19.42578125" customWidth="1"/>
    <col min="19" max="19" width="33.42578125" customWidth="1"/>
    <col min="20" max="21" width="15.7109375" customWidth="1"/>
  </cols>
  <sheetData>
    <row r="1" spans="1:22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67</v>
      </c>
      <c r="G1" t="s">
        <v>101</v>
      </c>
      <c r="H1" t="s">
        <v>102</v>
      </c>
      <c r="I1" t="s">
        <v>103</v>
      </c>
      <c r="J1" t="s">
        <v>204</v>
      </c>
      <c r="K1" t="s">
        <v>205</v>
      </c>
      <c r="L1" t="s">
        <v>206</v>
      </c>
      <c r="M1" t="s">
        <v>207</v>
      </c>
      <c r="N1" s="1" t="s">
        <v>107</v>
      </c>
      <c r="O1" s="1" t="s">
        <v>208</v>
      </c>
      <c r="P1" s="1" t="s">
        <v>210</v>
      </c>
      <c r="Q1" s="1" t="s">
        <v>209</v>
      </c>
      <c r="R1" s="1" t="s">
        <v>213</v>
      </c>
      <c r="S1" t="s">
        <v>188</v>
      </c>
      <c r="T1" t="s">
        <v>186</v>
      </c>
      <c r="U1" t="s">
        <v>187</v>
      </c>
      <c r="V1" t="s">
        <v>51</v>
      </c>
    </row>
    <row r="2" spans="1:22" x14ac:dyDescent="0.25">
      <c r="A2" t="s">
        <v>8</v>
      </c>
      <c r="B2">
        <v>238748.6783</v>
      </c>
      <c r="C2">
        <v>585410.43319999997</v>
      </c>
      <c r="D2">
        <v>31.360417000000002</v>
      </c>
      <c r="E2">
        <v>35.40728</v>
      </c>
      <c r="F2" t="s">
        <v>9</v>
      </c>
      <c r="G2" s="4">
        <f>DATE(2014,10,23)</f>
        <v>41935</v>
      </c>
      <c r="H2" s="4">
        <f>DATE(2014,11,8)</f>
        <v>41951</v>
      </c>
      <c r="I2" s="4">
        <f t="shared" ref="I2:I40" si="0">SUM(G2:H2)/2</f>
        <v>41943</v>
      </c>
      <c r="J2" t="s">
        <v>9</v>
      </c>
      <c r="K2" s="4">
        <f>DATE(2014,10,23)</f>
        <v>41935</v>
      </c>
      <c r="L2" s="4">
        <f>DATE(2014,11,8)</f>
        <v>41951</v>
      </c>
      <c r="M2" s="4">
        <f t="shared" ref="M2:M35" si="1">SUM(K2:L2)/2</f>
        <v>41943</v>
      </c>
      <c r="N2" s="8">
        <f t="shared" ref="N2:N38" si="2">DATEDIF(I2,M2,"d")</f>
        <v>0</v>
      </c>
      <c r="O2" s="8">
        <f>drill_holes!D19</f>
        <v>12.6</v>
      </c>
      <c r="P2" s="8">
        <f t="shared" ref="P2:P12" si="3">O2/MAX($O$2:$O$46)</f>
        <v>0.20655737704918031</v>
      </c>
      <c r="Q2" s="8">
        <f>drill_holes!E19</f>
        <v>17</v>
      </c>
      <c r="R2" s="8">
        <f>drill_holes!O19</f>
        <v>4.7619047619047616E-2</v>
      </c>
      <c r="S2" s="7" t="str">
        <f>drill_holes!C19</f>
        <v>BHLA-01</v>
      </c>
      <c r="T2">
        <v>1</v>
      </c>
      <c r="U2">
        <v>1</v>
      </c>
    </row>
    <row r="3" spans="1:22" x14ac:dyDescent="0.25">
      <c r="A3" t="s">
        <v>18</v>
      </c>
      <c r="B3">
        <v>238336.8751</v>
      </c>
      <c r="C3">
        <v>584363.43099999998</v>
      </c>
      <c r="D3">
        <v>31.350546000000001</v>
      </c>
      <c r="E3">
        <v>35.402168000000003</v>
      </c>
      <c r="F3" t="s">
        <v>19</v>
      </c>
      <c r="G3" s="4">
        <f>DATE(2015,1,11)</f>
        <v>42015</v>
      </c>
      <c r="H3" s="4">
        <f>DATE(2015,1,27)</f>
        <v>42031</v>
      </c>
      <c r="I3" s="4">
        <f t="shared" si="0"/>
        <v>42023</v>
      </c>
      <c r="J3" t="s">
        <v>19</v>
      </c>
      <c r="K3" s="4">
        <f>DATE(2015,1,11)</f>
        <v>42015</v>
      </c>
      <c r="L3" s="4">
        <f>DATE(2015,1,27)</f>
        <v>42031</v>
      </c>
      <c r="M3" s="4">
        <f t="shared" si="1"/>
        <v>42023</v>
      </c>
      <c r="N3" s="8">
        <f t="shared" si="2"/>
        <v>0</v>
      </c>
      <c r="O3" s="8">
        <f>0.5*drill_holes!D8+0.5*drill_holes!D7</f>
        <v>13.5</v>
      </c>
      <c r="P3" s="8">
        <f t="shared" si="3"/>
        <v>0.22131147540983606</v>
      </c>
      <c r="Q3" s="8">
        <f>0.5*drill_holes!E8+0.5*drill_holes!E7</f>
        <v>17.524999999999999</v>
      </c>
      <c r="R3" s="8">
        <f>0.5*drill_holes!O8+0.5*drill_holes!O7</f>
        <v>3.896103896103896E-2</v>
      </c>
      <c r="S3" s="7" t="str">
        <f>CONCATENATE("0.5*",drill_holes!C7,"+0.5*",drill_holes!C8)</f>
        <v>0.5*BH-18+0.5*BH-21</v>
      </c>
      <c r="T3">
        <v>2</v>
      </c>
      <c r="U3">
        <v>1</v>
      </c>
    </row>
    <row r="4" spans="1:22" x14ac:dyDescent="0.25">
      <c r="A4" t="s">
        <v>33</v>
      </c>
      <c r="B4">
        <v>239004.7898</v>
      </c>
      <c r="C4">
        <v>583429.22959999996</v>
      </c>
      <c r="D4">
        <v>31.342110000000002</v>
      </c>
      <c r="E4">
        <v>35.409168999999999</v>
      </c>
      <c r="F4" t="s">
        <v>24</v>
      </c>
      <c r="G4" s="4">
        <f>DATE(2015,2,28)</f>
        <v>42063</v>
      </c>
      <c r="H4" s="4">
        <f>DATE(2015,3,16)</f>
        <v>42079</v>
      </c>
      <c r="I4" s="4">
        <f t="shared" si="0"/>
        <v>42071</v>
      </c>
      <c r="J4" t="s">
        <v>27</v>
      </c>
      <c r="K4" s="4">
        <f>DATE(2015,3,16)</f>
        <v>42079</v>
      </c>
      <c r="L4" s="4">
        <f>DATE(2015,3,16)</f>
        <v>42079</v>
      </c>
      <c r="M4" s="4">
        <f t="shared" si="1"/>
        <v>42079</v>
      </c>
      <c r="N4" s="8">
        <f t="shared" si="2"/>
        <v>8</v>
      </c>
      <c r="O4" s="8">
        <f>0.5*drill_holes!D17+0.5*drill_holes!D18</f>
        <v>21.1</v>
      </c>
      <c r="P4" s="8">
        <f t="shared" si="3"/>
        <v>0.34590163934426232</v>
      </c>
      <c r="Q4" s="8">
        <f>0.5*drill_holes!E17+0.5*drill_holes!E18</f>
        <v>9.0500000000000007</v>
      </c>
      <c r="R4" s="8">
        <f>0.5*drill_holes!O17+0.5*drill_holes!O18</f>
        <v>1.016260162601626E-2</v>
      </c>
      <c r="S4" s="7" t="str">
        <f>CONCATENATE("0.5*",drill_holes!C17,"+0.5*",drill_holes!C18)</f>
        <v>0.5*BH-5+0.5*BH-8</v>
      </c>
      <c r="T4">
        <v>1</v>
      </c>
    </row>
    <row r="5" spans="1:22" x14ac:dyDescent="0.25">
      <c r="A5" t="s">
        <v>30</v>
      </c>
      <c r="B5">
        <v>238590.19769999999</v>
      </c>
      <c r="C5">
        <v>582792.49380000005</v>
      </c>
      <c r="D5">
        <v>31.336373999999999</v>
      </c>
      <c r="E5">
        <v>35.404800999999999</v>
      </c>
      <c r="F5" t="s">
        <v>6</v>
      </c>
      <c r="G5" s="4">
        <f>DATE(2014,6,17)</f>
        <v>41807</v>
      </c>
      <c r="H5" s="4">
        <f>DATE(2014,7,3)</f>
        <v>41823</v>
      </c>
      <c r="I5" s="4">
        <f t="shared" si="0"/>
        <v>41815</v>
      </c>
      <c r="J5" t="s">
        <v>31</v>
      </c>
      <c r="K5" s="4">
        <f>DATE(2014,7,3)</f>
        <v>41823</v>
      </c>
      <c r="L5" s="4">
        <f>DATE(2014,7,19)</f>
        <v>41839</v>
      </c>
      <c r="M5" s="4">
        <f t="shared" si="1"/>
        <v>41831</v>
      </c>
      <c r="N5" s="8">
        <f t="shared" si="2"/>
        <v>16</v>
      </c>
      <c r="O5" s="8">
        <f>0.5*drill_holes!D58+0.5*drill_holes!D17</f>
        <v>20.8</v>
      </c>
      <c r="P5" s="8">
        <f t="shared" si="3"/>
        <v>0.34098360655737708</v>
      </c>
      <c r="Q5" s="8">
        <f>0.5*drill_holes!E58+0.5*drill_holes!E17</f>
        <v>10.050000000000001</v>
      </c>
      <c r="R5" s="8">
        <f>0.5*drill_holes!O58+0.5*drill_holes!O17</f>
        <v>0.19791666666666666</v>
      </c>
      <c r="S5" s="7" t="str">
        <f>CONCATENATE("0.5*",drill_holes!C17,"+0.5*",drill_holes!C58)</f>
        <v>0.5*BH-5+0.5*ZEELIM6</v>
      </c>
      <c r="T5">
        <v>2</v>
      </c>
    </row>
    <row r="6" spans="1:22" x14ac:dyDescent="0.25">
      <c r="A6" t="s">
        <v>77</v>
      </c>
      <c r="B6">
        <v>238752.76310000001</v>
      </c>
      <c r="C6">
        <v>582880.22589999996</v>
      </c>
      <c r="D6">
        <v>31.337161999999999</v>
      </c>
      <c r="E6">
        <v>35.406509999999997</v>
      </c>
      <c r="F6" t="s">
        <v>78</v>
      </c>
      <c r="G6" s="4">
        <f>DATE(2015,6,17)</f>
        <v>42172</v>
      </c>
      <c r="H6" s="4">
        <f>DATE(2015,6,23)</f>
        <v>42178</v>
      </c>
      <c r="I6" s="4">
        <f t="shared" si="0"/>
        <v>42175</v>
      </c>
      <c r="J6" t="s">
        <v>79</v>
      </c>
      <c r="K6" s="4">
        <f>DATE(2015,7,9)</f>
        <v>42194</v>
      </c>
      <c r="L6" s="4">
        <f>DATE(2015,7,25)</f>
        <v>42210</v>
      </c>
      <c r="M6" s="4">
        <f t="shared" si="1"/>
        <v>42202</v>
      </c>
      <c r="N6" s="8">
        <f t="shared" si="2"/>
        <v>27</v>
      </c>
      <c r="O6" s="8">
        <f>drill_holes!D17</f>
        <v>17.600000000000001</v>
      </c>
      <c r="P6" s="8">
        <f t="shared" si="3"/>
        <v>0.28852459016393445</v>
      </c>
      <c r="Q6" s="8">
        <f>drill_holes!E17</f>
        <v>11.1</v>
      </c>
      <c r="R6" s="8">
        <f>drill_holes!O17</f>
        <v>0</v>
      </c>
      <c r="S6" s="7" t="str">
        <f>drill_holes!C17</f>
        <v>BH-5</v>
      </c>
      <c r="T6">
        <v>1</v>
      </c>
    </row>
    <row r="7" spans="1:22" x14ac:dyDescent="0.25">
      <c r="A7" t="s">
        <v>3</v>
      </c>
      <c r="B7">
        <v>238793.9221</v>
      </c>
      <c r="C7">
        <v>585364.13100000005</v>
      </c>
      <c r="D7">
        <v>31.380254999999998</v>
      </c>
      <c r="E7">
        <v>35.396783999999997</v>
      </c>
      <c r="F7" t="s">
        <v>6</v>
      </c>
      <c r="G7" s="4">
        <f>DATE(2014,6,17)</f>
        <v>41807</v>
      </c>
      <c r="H7" s="4">
        <f>DATE(2014,7,3)</f>
        <v>41823</v>
      </c>
      <c r="I7" s="4">
        <f t="shared" si="0"/>
        <v>41815</v>
      </c>
      <c r="J7" t="s">
        <v>7</v>
      </c>
      <c r="K7" s="4">
        <f>DATE(2014,7,19)</f>
        <v>41839</v>
      </c>
      <c r="L7" s="4">
        <f>DATE(2014,8,4)</f>
        <v>41855</v>
      </c>
      <c r="M7" s="4">
        <f t="shared" si="1"/>
        <v>41847</v>
      </c>
      <c r="N7" s="8">
        <f t="shared" si="2"/>
        <v>32</v>
      </c>
      <c r="O7" s="8">
        <f>drill_holes!D19</f>
        <v>12.6</v>
      </c>
      <c r="P7" s="8">
        <f t="shared" si="3"/>
        <v>0.20655737704918031</v>
      </c>
      <c r="Q7" s="8">
        <f>drill_holes!E19</f>
        <v>17</v>
      </c>
      <c r="R7" s="8">
        <f>drill_holes!O19</f>
        <v>4.7619047619047616E-2</v>
      </c>
      <c r="S7" s="7" t="str">
        <f>drill_holes!C19</f>
        <v>BHLA-01</v>
      </c>
      <c r="T7">
        <v>1</v>
      </c>
      <c r="U7">
        <v>1</v>
      </c>
    </row>
    <row r="8" spans="1:22" x14ac:dyDescent="0.25">
      <c r="A8" t="s">
        <v>12</v>
      </c>
      <c r="B8">
        <v>238750</v>
      </c>
      <c r="C8">
        <v>5828723</v>
      </c>
      <c r="D8">
        <v>31.337499999999999</v>
      </c>
      <c r="E8">
        <v>35.407240000000002</v>
      </c>
      <c r="F8" t="s">
        <v>13</v>
      </c>
      <c r="G8" s="4">
        <f>DATE(2015,6,4)</f>
        <v>42159</v>
      </c>
      <c r="H8" s="4">
        <f>DATE(2015,6,20)</f>
        <v>42175</v>
      </c>
      <c r="I8" s="4">
        <f t="shared" si="0"/>
        <v>42167</v>
      </c>
      <c r="J8" t="s">
        <v>14</v>
      </c>
      <c r="K8" s="4">
        <f>DATE(2015,7,6)</f>
        <v>42191</v>
      </c>
      <c r="L8" s="4">
        <f>DATE(2015,7,22)</f>
        <v>42207</v>
      </c>
      <c r="M8" s="4">
        <f t="shared" si="1"/>
        <v>42199</v>
      </c>
      <c r="N8" s="8">
        <f t="shared" si="2"/>
        <v>32</v>
      </c>
      <c r="O8" s="8">
        <f>0.5*drill_holes!D17 + 0.5*drill_holes!D5</f>
        <v>19.950000000000003</v>
      </c>
      <c r="P8" s="8">
        <f t="shared" si="3"/>
        <v>0.32704918032786889</v>
      </c>
      <c r="Q8" s="8">
        <f>0.5*drill_holes!E17 + 0.5*drill_holes!E5</f>
        <v>12.399999999999999</v>
      </c>
      <c r="R8" s="8">
        <f>0.5*drill_holes!O17 + 0.5*drill_holes!O5</f>
        <v>5.9417040358744393E-2</v>
      </c>
      <c r="S8" s="7" t="str">
        <f>CONCATENATE("0.5*",drill_holes!C17,"+0.5*",drill_holes!C5)</f>
        <v>0.5*BH-5+0.5*BH.L-21</v>
      </c>
      <c r="T8">
        <v>1</v>
      </c>
      <c r="U8">
        <v>1</v>
      </c>
    </row>
    <row r="9" spans="1:22" x14ac:dyDescent="0.25">
      <c r="A9" t="s">
        <v>12</v>
      </c>
      <c r="B9">
        <v>239138.92240000001</v>
      </c>
      <c r="C9">
        <v>584421.55379999999</v>
      </c>
      <c r="D9">
        <v>31.351057000000001</v>
      </c>
      <c r="E9">
        <v>35.410598</v>
      </c>
      <c r="F9" t="s">
        <v>23</v>
      </c>
      <c r="G9" s="4">
        <f>DATE(2015,1,27)</f>
        <v>42031</v>
      </c>
      <c r="H9" s="4">
        <f>DATE(2015,2,12)</f>
        <v>42047</v>
      </c>
      <c r="I9" s="4">
        <f t="shared" si="0"/>
        <v>42039</v>
      </c>
      <c r="J9" t="s">
        <v>24</v>
      </c>
      <c r="K9" s="4">
        <f>DATE(2015,2,28)</f>
        <v>42063</v>
      </c>
      <c r="L9" s="4">
        <f>DATE(2015,3,16)</f>
        <v>42079</v>
      </c>
      <c r="M9" s="4">
        <f t="shared" si="1"/>
        <v>42071</v>
      </c>
      <c r="N9" s="8">
        <f t="shared" si="2"/>
        <v>32</v>
      </c>
      <c r="O9" s="8">
        <f>drill_holes!D7</f>
        <v>16.5</v>
      </c>
      <c r="P9" s="8">
        <f t="shared" si="3"/>
        <v>0.27049180327868855</v>
      </c>
      <c r="Q9" s="8">
        <f>drill_holes!E7</f>
        <v>18.45</v>
      </c>
      <c r="R9" s="8">
        <f>drill_holes!O7</f>
        <v>3.0303030303030304E-2</v>
      </c>
      <c r="S9" s="7" t="str">
        <f>drill_holes!C7</f>
        <v>BH-18</v>
      </c>
      <c r="T9">
        <v>2</v>
      </c>
      <c r="U9">
        <v>1</v>
      </c>
    </row>
    <row r="10" spans="1:22" x14ac:dyDescent="0.25">
      <c r="A10" t="s">
        <v>32</v>
      </c>
      <c r="B10">
        <v>238704.6765</v>
      </c>
      <c r="C10">
        <v>583130.72349999996</v>
      </c>
      <c r="D10">
        <v>31.339421999999999</v>
      </c>
      <c r="E10">
        <v>35.406010000000002</v>
      </c>
      <c r="F10" t="s">
        <v>23</v>
      </c>
      <c r="G10" s="4">
        <f>DATE(2015,1,27)</f>
        <v>42031</v>
      </c>
      <c r="H10" s="4">
        <f>DATE(2015,2,12)</f>
        <v>42047</v>
      </c>
      <c r="I10" s="4">
        <f t="shared" si="0"/>
        <v>42039</v>
      </c>
      <c r="J10" t="s">
        <v>24</v>
      </c>
      <c r="K10" s="4">
        <f>DATE(2015,2,28)</f>
        <v>42063</v>
      </c>
      <c r="L10" s="4">
        <f>DATE(2015,3,16)</f>
        <v>42079</v>
      </c>
      <c r="M10" s="4">
        <f t="shared" si="1"/>
        <v>42071</v>
      </c>
      <c r="N10" s="8">
        <f t="shared" si="2"/>
        <v>32</v>
      </c>
      <c r="O10" s="8">
        <f>drill_holes!D17</f>
        <v>17.600000000000001</v>
      </c>
      <c r="P10" s="8">
        <f t="shared" si="3"/>
        <v>0.28852459016393445</v>
      </c>
      <c r="Q10" s="8">
        <f>drill_holes!E17</f>
        <v>11.1</v>
      </c>
      <c r="R10" s="8">
        <f>drill_holes!O17</f>
        <v>0</v>
      </c>
      <c r="S10" s="7" t="str">
        <f>drill_holes!C17</f>
        <v>BH-5</v>
      </c>
      <c r="T10">
        <v>1</v>
      </c>
    </row>
    <row r="11" spans="1:22" x14ac:dyDescent="0.25">
      <c r="A11" t="s">
        <v>76</v>
      </c>
      <c r="B11">
        <v>238497.7095</v>
      </c>
      <c r="C11">
        <v>582776.06709999999</v>
      </c>
      <c r="D11">
        <v>31.336227000000001</v>
      </c>
      <c r="E11">
        <v>35.403827999999997</v>
      </c>
      <c r="F11" t="s">
        <v>10</v>
      </c>
      <c r="G11" s="4">
        <f>DATE(2015,4,1)</f>
        <v>42095</v>
      </c>
      <c r="H11" s="4">
        <f>DATE(2015,4,17)</f>
        <v>42111</v>
      </c>
      <c r="I11" s="4">
        <f t="shared" si="0"/>
        <v>42103</v>
      </c>
      <c r="J11" t="s">
        <v>75</v>
      </c>
      <c r="K11" s="4">
        <f>DATE(2015,5,3)</f>
        <v>42127</v>
      </c>
      <c r="L11" s="4">
        <f>DATE(2015,5,19)</f>
        <v>42143</v>
      </c>
      <c r="M11" s="4">
        <f t="shared" si="1"/>
        <v>42135</v>
      </c>
      <c r="N11" s="8">
        <f t="shared" si="2"/>
        <v>32</v>
      </c>
      <c r="O11" s="8">
        <f>0.3*drill_holes!D58+0.4*drill_holes!D5+0.3*drill_holes!D17</f>
        <v>21.4</v>
      </c>
      <c r="P11" s="8">
        <f t="shared" si="3"/>
        <v>0.35081967213114751</v>
      </c>
      <c r="Q11" s="8">
        <f>0.3*drill_holes!E58+0.4*drill_holes!E5+0.3*drill_holes!E17</f>
        <v>11.51</v>
      </c>
      <c r="R11" s="8">
        <f>0.3*drill_holes!O58+0.4*drill_holes!O5+0.3*drill_holes!O17</f>
        <v>0.1662836322869955</v>
      </c>
      <c r="S11" s="7" t="str">
        <f>CONCATENATE("0.3*",drill_holes!C58,"+0.4*",drill_holes!C5,"+0.3",drill_holes!C17)</f>
        <v>0.3*ZEELIM6+0.4*BH.L-21+0.3BH-5</v>
      </c>
      <c r="T11">
        <v>1</v>
      </c>
    </row>
    <row r="12" spans="1:22" x14ac:dyDescent="0.25">
      <c r="A12" t="s">
        <v>80</v>
      </c>
      <c r="B12">
        <v>238719.23149999999</v>
      </c>
      <c r="C12">
        <v>583129.55330000003</v>
      </c>
      <c r="D12">
        <v>31.339411999999999</v>
      </c>
      <c r="E12">
        <v>35.406162999999999</v>
      </c>
      <c r="F12" t="s">
        <v>64</v>
      </c>
      <c r="G12" s="4">
        <f>DATE(2015,5,19)</f>
        <v>42143</v>
      </c>
      <c r="H12" s="4">
        <f>DATE(2015,6,4)</f>
        <v>42159</v>
      </c>
      <c r="I12" s="4">
        <f t="shared" si="0"/>
        <v>42151</v>
      </c>
      <c r="J12" t="s">
        <v>79</v>
      </c>
      <c r="K12" s="4">
        <f>DATE(2015,7,9)</f>
        <v>42194</v>
      </c>
      <c r="L12" s="4">
        <f>DATE(2015,7,25)</f>
        <v>42210</v>
      </c>
      <c r="M12" s="4">
        <f t="shared" si="1"/>
        <v>42202</v>
      </c>
      <c r="N12" s="8">
        <f t="shared" si="2"/>
        <v>51</v>
      </c>
      <c r="O12" s="8">
        <f>0.7*drill_holes!D17+0.3*drill_holes!D18</f>
        <v>19.7</v>
      </c>
      <c r="P12" s="8">
        <f t="shared" si="3"/>
        <v>0.32295081967213113</v>
      </c>
      <c r="Q12" s="8">
        <f>0.7*drill_holes!E17+0.3*drill_holes!E18</f>
        <v>9.8699999999999992</v>
      </c>
      <c r="R12" s="8">
        <f>0.7*drill_holes!O17+0.3*drill_holes!O18</f>
        <v>6.0975609756097554E-3</v>
      </c>
      <c r="S12" s="7" t="str">
        <f>CONCATENATE("0.7*",drill_holes!C17,"+0.3*",drill_holes!C18)</f>
        <v>0.7*BH-5+0.3*BH-8</v>
      </c>
      <c r="T12">
        <v>2</v>
      </c>
    </row>
    <row r="13" spans="1:22" x14ac:dyDescent="0.25">
      <c r="A13" t="s">
        <v>42</v>
      </c>
      <c r="B13">
        <v>237440.13250000001</v>
      </c>
      <c r="C13">
        <v>595057.23529999994</v>
      </c>
      <c r="D13">
        <v>31.447006999999999</v>
      </c>
      <c r="E13">
        <v>35.392937000000003</v>
      </c>
      <c r="F13" t="s">
        <v>6</v>
      </c>
      <c r="G13" s="4">
        <f>DATE(2014,6,17)</f>
        <v>41807</v>
      </c>
      <c r="H13" s="4">
        <f>DATE(2014,7,3)</f>
        <v>41823</v>
      </c>
      <c r="I13" s="4">
        <f t="shared" si="0"/>
        <v>41815</v>
      </c>
      <c r="J13" t="s">
        <v>35</v>
      </c>
      <c r="K13" s="4">
        <f>DATE(2014,8,4)</f>
        <v>41855</v>
      </c>
      <c r="L13" s="4">
        <f>DATE(2014,9,21)</f>
        <v>41903</v>
      </c>
      <c r="M13" s="4">
        <f t="shared" si="1"/>
        <v>41879</v>
      </c>
      <c r="N13" s="8">
        <f t="shared" si="2"/>
        <v>64</v>
      </c>
      <c r="O13" s="1">
        <f>0.5*drill_holes!D52+0.5*drill_holes!D38</f>
        <v>32.25</v>
      </c>
      <c r="P13" s="8">
        <f>Sheet1!O1/MAX($O$2:$O$46)</f>
        <v>0.52868852459016391</v>
      </c>
      <c r="Q13" s="8">
        <f>0.5*drill_holes!E52+0.5*drill_holes!E38</f>
        <v>9.75</v>
      </c>
      <c r="R13" s="8">
        <f>0.5*drill_holes!O52+0.5*drill_holes!O38</f>
        <v>0.44444444444444442</v>
      </c>
      <c r="S13" s="7" t="str">
        <f>CONCATENATE("0.5*",drill_holes!C52,"+0.5*",drill_holes!C38)</f>
        <v>0.5*Mazor4+0.5*EG20</v>
      </c>
      <c r="T13">
        <v>1</v>
      </c>
    </row>
    <row r="14" spans="1:22" x14ac:dyDescent="0.25">
      <c r="A14" t="s">
        <v>39</v>
      </c>
      <c r="B14">
        <v>236639.3089</v>
      </c>
      <c r="C14">
        <v>592560.0858</v>
      </c>
      <c r="D14">
        <v>31.424498</v>
      </c>
      <c r="E14">
        <v>35.384469000000003</v>
      </c>
      <c r="F14" t="s">
        <v>40</v>
      </c>
      <c r="G14" s="4">
        <f>DATE(2014,11,8)</f>
        <v>41951</v>
      </c>
      <c r="H14" s="4">
        <f>DATE(2014,11,24)</f>
        <v>41967</v>
      </c>
      <c r="I14" s="4">
        <f t="shared" si="0"/>
        <v>41959</v>
      </c>
      <c r="J14" t="s">
        <v>189</v>
      </c>
      <c r="K14" s="4">
        <f>DATE(2014,11,24)</f>
        <v>41967</v>
      </c>
      <c r="L14" s="4">
        <f>DATE(2014,12,10)</f>
        <v>41983</v>
      </c>
      <c r="M14" s="4">
        <f t="shared" si="1"/>
        <v>41975</v>
      </c>
      <c r="N14" s="8">
        <f t="shared" si="2"/>
        <v>16</v>
      </c>
      <c r="O14" s="8">
        <f>drill_holes!D52</f>
        <v>19.5</v>
      </c>
      <c r="P14" s="8">
        <f t="shared" ref="P14:P35" si="4">O14/MAX($O$2:$O$46)</f>
        <v>0.31967213114754101</v>
      </c>
      <c r="Q14" s="8">
        <f>drill_holes!E52</f>
        <v>15</v>
      </c>
      <c r="R14" s="8">
        <f>drill_holes!O52</f>
        <v>0</v>
      </c>
      <c r="S14" s="7" t="str">
        <f>drill_holes!C52</f>
        <v>Mazor4</v>
      </c>
      <c r="T14">
        <v>1</v>
      </c>
    </row>
    <row r="15" spans="1:22" x14ac:dyDescent="0.25">
      <c r="A15" t="s">
        <v>43</v>
      </c>
      <c r="B15">
        <v>237505.4032</v>
      </c>
      <c r="C15">
        <v>594882.41929999995</v>
      </c>
      <c r="D15">
        <v>31.445430000000002</v>
      </c>
      <c r="E15">
        <v>35.393619999999999</v>
      </c>
      <c r="F15" t="s">
        <v>44</v>
      </c>
      <c r="G15" s="4">
        <f>DATE(2014,9,21)</f>
        <v>41903</v>
      </c>
      <c r="H15" s="4">
        <f>DATE(2014,10,7)</f>
        <v>41919</v>
      </c>
      <c r="I15" s="4">
        <f t="shared" si="0"/>
        <v>41911</v>
      </c>
      <c r="J15" t="s">
        <v>45</v>
      </c>
      <c r="K15" s="4">
        <f>DATE(2014,12,10)</f>
        <v>41983</v>
      </c>
      <c r="L15" s="4">
        <f>DATE(2014,12,26)</f>
        <v>41999</v>
      </c>
      <c r="M15" s="4">
        <f t="shared" si="1"/>
        <v>41991</v>
      </c>
      <c r="N15" s="8">
        <f t="shared" si="2"/>
        <v>80</v>
      </c>
      <c r="O15" s="8">
        <f>0.5*drill_holes!D52+0.5*drill_holes!D38</f>
        <v>32.25</v>
      </c>
      <c r="P15" s="8">
        <f t="shared" si="4"/>
        <v>0.52868852459016391</v>
      </c>
      <c r="Q15" s="8">
        <f>0.5*drill_holes!E52+0.5*drill_holes!E38</f>
        <v>9.75</v>
      </c>
      <c r="R15" s="8">
        <f>0.5*drill_holes!O52+0.5*drill_holes!O38</f>
        <v>0.44444444444444442</v>
      </c>
      <c r="S15" s="7" t="str">
        <f>CONCATENATE("0.5*",drill_holes!C52,"+0.5*",drill_holes!C38)</f>
        <v>0.5*Mazor4+0.5*EG20</v>
      </c>
      <c r="T15">
        <v>1</v>
      </c>
    </row>
    <row r="16" spans="1:22" x14ac:dyDescent="0.25">
      <c r="A16" t="s">
        <v>62</v>
      </c>
      <c r="B16">
        <v>237702.31169999999</v>
      </c>
      <c r="C16">
        <v>577977.37549999997</v>
      </c>
      <c r="D16">
        <v>31.292960000000001</v>
      </c>
      <c r="E16">
        <v>35.395383000000002</v>
      </c>
      <c r="F16" t="s">
        <v>63</v>
      </c>
      <c r="G16" s="4">
        <f>DATE(2015,1,1)</f>
        <v>42005</v>
      </c>
      <c r="H16" s="4">
        <f>DATE(2015,4,17)</f>
        <v>42111</v>
      </c>
      <c r="I16" s="4">
        <f t="shared" si="0"/>
        <v>42058</v>
      </c>
      <c r="J16" t="s">
        <v>64</v>
      </c>
      <c r="K16" s="4">
        <f>DATE(2015,5,19)</f>
        <v>42143</v>
      </c>
      <c r="L16" s="4">
        <f>DATE(2015,6,4)</f>
        <v>42159</v>
      </c>
      <c r="M16" s="4">
        <f t="shared" si="1"/>
        <v>42151</v>
      </c>
      <c r="N16" s="8">
        <f t="shared" si="2"/>
        <v>93</v>
      </c>
      <c r="O16" s="8">
        <f>drill_holes!D22</f>
        <v>27.5</v>
      </c>
      <c r="P16" s="8">
        <f t="shared" si="4"/>
        <v>0.45081967213114754</v>
      </c>
      <c r="Q16" s="8">
        <f>drill_holes!E22</f>
        <v>9</v>
      </c>
      <c r="R16" s="8">
        <f>0.7*drill_holes!O22+0.3*drill_holes!O57</f>
        <v>0.50557575757575757</v>
      </c>
      <c r="S16" s="7" t="str">
        <f>CONCATENATE("0.7*",drill_holes!C22,"+0.3*",drill_holes!C57)</f>
        <v>0.7*BHLA-23+0.3*Rahaf1</v>
      </c>
      <c r="T16">
        <v>1</v>
      </c>
    </row>
    <row r="17" spans="1:22" x14ac:dyDescent="0.25">
      <c r="A17" t="s">
        <v>20</v>
      </c>
      <c r="B17">
        <v>238809.5325</v>
      </c>
      <c r="C17">
        <v>585415.19559999998</v>
      </c>
      <c r="D17">
        <v>31.36046</v>
      </c>
      <c r="E17">
        <v>35.407919999999997</v>
      </c>
      <c r="F17" t="s">
        <v>6</v>
      </c>
      <c r="G17" s="4">
        <f>DATE(2014,6,17)</f>
        <v>41807</v>
      </c>
      <c r="H17" s="4">
        <f>DATE(2014,7,3)</f>
        <v>41823</v>
      </c>
      <c r="I17" s="4">
        <f t="shared" si="0"/>
        <v>41815</v>
      </c>
      <c r="J17">
        <v>14928</v>
      </c>
      <c r="K17" s="4">
        <f>DATE(2014,8,4)</f>
        <v>41855</v>
      </c>
      <c r="L17" s="4">
        <f>DATE(2014,9,21)</f>
        <v>41903</v>
      </c>
      <c r="M17" s="4">
        <f t="shared" si="1"/>
        <v>41879</v>
      </c>
      <c r="N17" s="8">
        <f t="shared" si="2"/>
        <v>64</v>
      </c>
      <c r="O17" s="8">
        <f>drill_holes!D19</f>
        <v>12.6</v>
      </c>
      <c r="P17" s="8">
        <f t="shared" si="4"/>
        <v>0.20655737704918031</v>
      </c>
      <c r="Q17" s="8">
        <f>drill_holes!E19</f>
        <v>17</v>
      </c>
      <c r="R17" s="8">
        <f>drill_holes!O19</f>
        <v>4.7619047619047616E-2</v>
      </c>
      <c r="S17" s="7" t="str">
        <f>drill_holes!C19</f>
        <v>BHLA-01</v>
      </c>
      <c r="T17">
        <v>1</v>
      </c>
      <c r="U17">
        <v>1</v>
      </c>
    </row>
    <row r="18" spans="1:22" x14ac:dyDescent="0.25">
      <c r="A18" t="s">
        <v>25</v>
      </c>
      <c r="B18">
        <v>237286.28150000001</v>
      </c>
      <c r="C18">
        <v>579214.54940000002</v>
      </c>
      <c r="D18">
        <v>31.304124999999999</v>
      </c>
      <c r="E18">
        <v>35.391036</v>
      </c>
      <c r="F18" t="s">
        <v>7</v>
      </c>
      <c r="G18" s="4">
        <f>DATE(2014,7,19)</f>
        <v>41839</v>
      </c>
      <c r="H18" s="4">
        <f>DATE(2014,8,4)</f>
        <v>41855</v>
      </c>
      <c r="I18" s="4">
        <f t="shared" si="0"/>
        <v>41847</v>
      </c>
      <c r="J18" t="s">
        <v>9</v>
      </c>
      <c r="K18" s="4">
        <f>DATE(2014,10,23)</f>
        <v>41935</v>
      </c>
      <c r="L18" s="4">
        <f>DATE(2014,11,8)</f>
        <v>41951</v>
      </c>
      <c r="M18" s="4">
        <f t="shared" si="1"/>
        <v>41943</v>
      </c>
      <c r="N18" s="8">
        <f t="shared" si="2"/>
        <v>96</v>
      </c>
      <c r="O18" s="8">
        <f>drill_holes!D22</f>
        <v>27.5</v>
      </c>
      <c r="P18" s="8">
        <f t="shared" si="4"/>
        <v>0.45081967213114754</v>
      </c>
      <c r="Q18" s="8">
        <f>drill_holes!E22</f>
        <v>9</v>
      </c>
      <c r="R18" s="8">
        <f>0.7*drill_holes!O22+0.3*drill_holes!O57</f>
        <v>0.50557575757575757</v>
      </c>
      <c r="S18" s="7" t="str">
        <f>CONCATENATE("0.7*",drill_holes!C22,"+0.3*",drill_holes!C57)</f>
        <v>0.7*BHLA-23+0.3*Rahaf1</v>
      </c>
      <c r="T18">
        <v>2</v>
      </c>
      <c r="U18">
        <v>2</v>
      </c>
    </row>
    <row r="19" spans="1:22" x14ac:dyDescent="0.25">
      <c r="A19" t="s">
        <v>41</v>
      </c>
      <c r="B19">
        <v>236569.8702</v>
      </c>
      <c r="C19">
        <v>592613.86690000002</v>
      </c>
      <c r="D19">
        <v>31.424983999999998</v>
      </c>
      <c r="E19">
        <v>35.383740000000003</v>
      </c>
      <c r="F19" t="s">
        <v>45</v>
      </c>
      <c r="G19" s="4">
        <f>DATE(2014,12,10)</f>
        <v>41983</v>
      </c>
      <c r="H19" s="4">
        <f>DATE(2014,12,26)</f>
        <v>41999</v>
      </c>
      <c r="I19" s="4">
        <f t="shared" si="0"/>
        <v>41991</v>
      </c>
      <c r="J19" t="s">
        <v>27</v>
      </c>
      <c r="K19" s="4">
        <f>DATE(2015,3,16)</f>
        <v>42079</v>
      </c>
      <c r="L19" s="4">
        <f>DATE(2015,4,1)</f>
        <v>42095</v>
      </c>
      <c r="M19" s="4">
        <f t="shared" si="1"/>
        <v>42087</v>
      </c>
      <c r="N19" s="8">
        <f t="shared" si="2"/>
        <v>96</v>
      </c>
      <c r="O19" s="8">
        <f>drill_holes!D52</f>
        <v>19.5</v>
      </c>
      <c r="P19" s="8">
        <f t="shared" si="4"/>
        <v>0.31967213114754101</v>
      </c>
      <c r="Q19" s="8">
        <f>drill_holes!E52</f>
        <v>15</v>
      </c>
      <c r="R19" s="8">
        <f>drill_holes!O52</f>
        <v>0</v>
      </c>
      <c r="S19" s="7" t="str">
        <f>drill_holes!C52</f>
        <v>Mazor4</v>
      </c>
      <c r="T19">
        <v>2</v>
      </c>
    </row>
    <row r="20" spans="1:22" x14ac:dyDescent="0.25">
      <c r="A20" t="s">
        <v>59</v>
      </c>
      <c r="B20">
        <v>237646.48069999999</v>
      </c>
      <c r="C20">
        <v>577751.52049999998</v>
      </c>
      <c r="D20">
        <v>31.290924</v>
      </c>
      <c r="E20">
        <v>35.394793</v>
      </c>
      <c r="F20" t="s">
        <v>60</v>
      </c>
      <c r="G20" s="4">
        <f>DATE(2015,7,25)</f>
        <v>42210</v>
      </c>
      <c r="H20" s="4">
        <f>DATE(2015,9,11)</f>
        <v>42258</v>
      </c>
      <c r="I20" s="4">
        <f t="shared" si="0"/>
        <v>42234</v>
      </c>
      <c r="J20" t="s">
        <v>16</v>
      </c>
      <c r="K20" s="4">
        <f>DATE(2015,11,14)</f>
        <v>42322</v>
      </c>
      <c r="L20" s="4">
        <f>DATE(2015,11,30)</f>
        <v>42338</v>
      </c>
      <c r="M20" s="4">
        <f t="shared" si="1"/>
        <v>42330</v>
      </c>
      <c r="N20" s="8">
        <f t="shared" si="2"/>
        <v>96</v>
      </c>
      <c r="O20" s="8">
        <f>drill_holes!D22</f>
        <v>27.5</v>
      </c>
      <c r="P20" s="8">
        <f t="shared" si="4"/>
        <v>0.45081967213114754</v>
      </c>
      <c r="Q20" s="8">
        <f>drill_holes!E22</f>
        <v>9</v>
      </c>
      <c r="R20" s="8">
        <f>0.7*drill_holes!O22+0.3*drill_holes!O57</f>
        <v>0.50557575757575757</v>
      </c>
      <c r="S20" s="7" t="str">
        <f>CONCATENATE("0.7*",drill_holes!C22,"+0.3*",drill_holes!C57)</f>
        <v>0.7*BHLA-23+0.3*Rahaf1</v>
      </c>
      <c r="T20">
        <v>2</v>
      </c>
      <c r="V20" t="s">
        <v>61</v>
      </c>
    </row>
    <row r="21" spans="1:22" x14ac:dyDescent="0.25">
      <c r="A21" s="3" t="s">
        <v>97</v>
      </c>
      <c r="B21">
        <v>237829.54550000001</v>
      </c>
      <c r="C21">
        <v>602801.53969999996</v>
      </c>
      <c r="D21">
        <v>31.516846000000001</v>
      </c>
      <c r="E21">
        <v>35.397176999999999</v>
      </c>
      <c r="F21" s="3" t="s">
        <v>96</v>
      </c>
      <c r="G21" s="5">
        <f>DATE(2013,6,26)</f>
        <v>41451</v>
      </c>
      <c r="H21" s="5">
        <f>DATE(2013,7,12)</f>
        <v>41467</v>
      </c>
      <c r="I21" s="4">
        <f t="shared" si="0"/>
        <v>41459</v>
      </c>
      <c r="J21" s="3" t="s">
        <v>91</v>
      </c>
      <c r="K21" s="5">
        <f>DATE(2013,9,30)</f>
        <v>41547</v>
      </c>
      <c r="L21" s="5">
        <f>DATE(2013,10,16)</f>
        <v>41563</v>
      </c>
      <c r="M21" s="4">
        <f t="shared" si="1"/>
        <v>41555</v>
      </c>
      <c r="N21" s="8">
        <f t="shared" si="2"/>
        <v>96</v>
      </c>
      <c r="O21" s="8">
        <f>0.5*drill_holes!D54+0.5*drill_holes!D53</f>
        <v>25.75</v>
      </c>
      <c r="P21" s="8">
        <f t="shared" si="4"/>
        <v>0.42213114754098363</v>
      </c>
      <c r="Q21" s="8">
        <f>0.5*drill_holes!E54+0.5*drill_holes!E53</f>
        <v>18</v>
      </c>
      <c r="R21" s="8">
        <f>0.5*drill_holes!O54+0.5*drill_holes!O53</f>
        <v>0.33838383838383834</v>
      </c>
      <c r="S21" s="7" t="str">
        <f>CONCATENATE("0.5*",drill_holes!C52,"+0.5*",drill_holes!C53)</f>
        <v>0.5*Mazor4+0.5*MIN4</v>
      </c>
      <c r="T21" s="3">
        <v>1</v>
      </c>
      <c r="U21" s="3"/>
    </row>
    <row r="22" spans="1:22" x14ac:dyDescent="0.25">
      <c r="A22" s="3" t="s">
        <v>100</v>
      </c>
      <c r="B22" s="3">
        <v>237932.01949999999</v>
      </c>
      <c r="C22" s="3">
        <v>606156.83499999996</v>
      </c>
      <c r="D22" s="3">
        <v>31.547104999999998</v>
      </c>
      <c r="E22" s="3">
        <v>35.398318000000003</v>
      </c>
      <c r="F22" s="3" t="s">
        <v>99</v>
      </c>
      <c r="G22" s="5">
        <f>DATE(2013,10,16)</f>
        <v>41563</v>
      </c>
      <c r="H22" s="5">
        <f>DATE(2013,11,1)</f>
        <v>41579</v>
      </c>
      <c r="I22" s="4">
        <f t="shared" si="0"/>
        <v>41571</v>
      </c>
      <c r="J22" s="3" t="s">
        <v>88</v>
      </c>
      <c r="K22" s="5">
        <f>DATE(2014,1,20)</f>
        <v>41659</v>
      </c>
      <c r="L22" s="5">
        <f>DATE(2014,2,5)</f>
        <v>41675</v>
      </c>
      <c r="M22" s="4">
        <f t="shared" si="1"/>
        <v>41667</v>
      </c>
      <c r="N22" s="8">
        <f t="shared" si="2"/>
        <v>96</v>
      </c>
      <c r="O22" s="8">
        <f>drill_holes!D54</f>
        <v>18.5</v>
      </c>
      <c r="P22" s="8">
        <f t="shared" si="4"/>
        <v>0.30327868852459017</v>
      </c>
      <c r="Q22" s="8">
        <f>drill_holes!E54</f>
        <v>16</v>
      </c>
      <c r="R22" s="8">
        <f>drill_holes!O54</f>
        <v>0</v>
      </c>
      <c r="S22" s="7" t="str">
        <f>drill_holes!C54</f>
        <v>MINERAL2</v>
      </c>
      <c r="T22" s="3">
        <v>2</v>
      </c>
      <c r="U22" s="3"/>
      <c r="V22" s="3"/>
    </row>
    <row r="23" spans="1:22" x14ac:dyDescent="0.25">
      <c r="A23" t="s">
        <v>83</v>
      </c>
      <c r="B23">
        <v>237685.20269999999</v>
      </c>
      <c r="C23">
        <v>580368.95070000004</v>
      </c>
      <c r="D23">
        <v>31.314530000000001</v>
      </c>
      <c r="E23">
        <v>35.395246999999998</v>
      </c>
      <c r="F23" t="s">
        <v>85</v>
      </c>
      <c r="G23" s="4">
        <f>DATE(2013,5,9)</f>
        <v>41403</v>
      </c>
      <c r="H23" s="4">
        <f>DATE(2013,5,25)</f>
        <v>41419</v>
      </c>
      <c r="I23" s="4">
        <f t="shared" si="0"/>
        <v>41411</v>
      </c>
      <c r="J23" t="s">
        <v>84</v>
      </c>
      <c r="K23" s="4">
        <f>DATE(2013,8,29)</f>
        <v>41515</v>
      </c>
      <c r="L23" s="4">
        <f>DATE(2013,9,14)</f>
        <v>41531</v>
      </c>
      <c r="M23" s="4">
        <f t="shared" si="1"/>
        <v>41523</v>
      </c>
      <c r="N23" s="8">
        <f t="shared" si="2"/>
        <v>112</v>
      </c>
      <c r="O23" s="8">
        <f>drill_holes!D22</f>
        <v>27.5</v>
      </c>
      <c r="P23" s="8">
        <f t="shared" si="4"/>
        <v>0.45081967213114754</v>
      </c>
      <c r="Q23" s="8">
        <f>drill_holes!E22</f>
        <v>9</v>
      </c>
      <c r="R23" s="8">
        <f>0.1*drill_holes!O57+0.9*drill_holes!O22</f>
        <v>0.46266666666666662</v>
      </c>
      <c r="S23" s="7" t="str">
        <f>CONCATENATE("0.9*",drill_holes!C22,"+0.1*",drill_holes!C57)</f>
        <v>0.9*BHLA-23+0.1*Rahaf1</v>
      </c>
      <c r="T23">
        <v>1</v>
      </c>
    </row>
    <row r="24" spans="1:22" x14ac:dyDescent="0.25">
      <c r="A24" t="s">
        <v>57</v>
      </c>
      <c r="B24">
        <v>238288.049</v>
      </c>
      <c r="C24">
        <v>606886.15460000001</v>
      </c>
      <c r="D24">
        <v>31.553675999999999</v>
      </c>
      <c r="E24">
        <v>35.402081000000003</v>
      </c>
      <c r="F24" t="s">
        <v>99</v>
      </c>
      <c r="G24" s="4">
        <f>DATE(2013,10,16)</f>
        <v>41563</v>
      </c>
      <c r="H24" s="4">
        <f>DATE(2013,11,1)</f>
        <v>41579</v>
      </c>
      <c r="I24" s="4">
        <f t="shared" si="0"/>
        <v>41571</v>
      </c>
      <c r="J24" t="s">
        <v>193</v>
      </c>
      <c r="K24" s="4">
        <f>DATE(2014,3,9)</f>
        <v>41707</v>
      </c>
      <c r="L24" s="4">
        <f>DATE(2014,3,25)</f>
        <v>41723</v>
      </c>
      <c r="M24" s="4">
        <f t="shared" si="1"/>
        <v>41715</v>
      </c>
      <c r="N24" s="8">
        <f t="shared" si="2"/>
        <v>144</v>
      </c>
      <c r="O24" s="8">
        <f>drill_holes!D53</f>
        <v>33</v>
      </c>
      <c r="P24" s="8">
        <f t="shared" si="4"/>
        <v>0.54098360655737709</v>
      </c>
      <c r="Q24" s="8">
        <f>drill_holes!E53</f>
        <v>20</v>
      </c>
      <c r="R24" s="8">
        <f>drill_holes!O53</f>
        <v>0.67676767676767668</v>
      </c>
      <c r="S24" s="7" t="str">
        <f>drill_holes!C53</f>
        <v>MIN4</v>
      </c>
      <c r="T24">
        <v>1</v>
      </c>
      <c r="V24" s="1" t="s">
        <v>82</v>
      </c>
    </row>
    <row r="25" spans="1:22" x14ac:dyDescent="0.25">
      <c r="A25" t="s">
        <v>81</v>
      </c>
      <c r="B25">
        <v>237969.1771</v>
      </c>
      <c r="C25">
        <v>582215.49509999994</v>
      </c>
      <c r="D25">
        <v>31.33118</v>
      </c>
      <c r="E25">
        <v>35.398263999999998</v>
      </c>
      <c r="F25" t="s">
        <v>78</v>
      </c>
      <c r="G25" s="4">
        <f>DATE(2015,6,7)</f>
        <v>42162</v>
      </c>
      <c r="H25" s="4">
        <f>DATE(2015,6,23)</f>
        <v>42178</v>
      </c>
      <c r="I25" s="4">
        <f t="shared" si="0"/>
        <v>42170</v>
      </c>
      <c r="J25" t="s">
        <v>71</v>
      </c>
      <c r="K25" s="4">
        <f>DATE(2015,10,29)</f>
        <v>42306</v>
      </c>
      <c r="L25" s="4">
        <f>DATE(2015,11,14)</f>
        <v>42322</v>
      </c>
      <c r="M25" s="4">
        <f t="shared" si="1"/>
        <v>42314</v>
      </c>
      <c r="N25" s="8">
        <f t="shared" si="2"/>
        <v>144</v>
      </c>
      <c r="O25" s="8">
        <f>0.3*drill_holes!D5+0.3*drill_holes!D22+0.4*drill_holes!D6</f>
        <v>28.340000000000003</v>
      </c>
      <c r="P25" s="8">
        <f t="shared" si="4"/>
        <v>0.46459016393442626</v>
      </c>
      <c r="Q25" s="8">
        <f>0.3*drill_holes!E5+0.3*drill_holes!E22+0.4*drill_holes!E6</f>
        <v>9.8099999999999987</v>
      </c>
      <c r="R25" s="8">
        <f>0.3*drill_holes!O5+0.3*drill_holes!O22+0.4*drill_holes!O6</f>
        <v>0.25517803968336061</v>
      </c>
      <c r="S25" s="7" t="str">
        <f>CONCATENATE("0.3*",drill_holes!C5,"+0.4*",drill_holes!C6,"+0.3",drill_holes!C22)</f>
        <v>0.3*BH.L-21+0.4*BH.L-25+0.3BHLA-23</v>
      </c>
      <c r="T25">
        <v>1</v>
      </c>
    </row>
    <row r="26" spans="1:22" x14ac:dyDescent="0.25">
      <c r="A26" t="s">
        <v>46</v>
      </c>
      <c r="B26">
        <v>237922.0214</v>
      </c>
      <c r="C26">
        <v>606644.47219999996</v>
      </c>
      <c r="D26">
        <v>31.551503</v>
      </c>
      <c r="E26">
        <v>35.398221999999997</v>
      </c>
      <c r="F26" t="s">
        <v>56</v>
      </c>
      <c r="G26" s="4">
        <f>DATE(2014,3,25)</f>
        <v>41723</v>
      </c>
      <c r="H26" s="4">
        <f>DATE(2014,4,10)</f>
        <v>41739</v>
      </c>
      <c r="I26" s="4">
        <f t="shared" si="0"/>
        <v>41731</v>
      </c>
      <c r="J26" t="s">
        <v>35</v>
      </c>
      <c r="K26" s="4">
        <f>DATE(2014,8,4)</f>
        <v>41855</v>
      </c>
      <c r="L26" s="4">
        <f>DATE(2014,9,21)</f>
        <v>41903</v>
      </c>
      <c r="M26" s="4">
        <f t="shared" si="1"/>
        <v>41879</v>
      </c>
      <c r="N26" s="8">
        <f t="shared" si="2"/>
        <v>148</v>
      </c>
      <c r="O26" s="8">
        <f>0.2*drill_holes!D54+0.8*drill_holes!D53</f>
        <v>30.1</v>
      </c>
      <c r="P26" s="8">
        <f t="shared" si="4"/>
        <v>0.4934426229508197</v>
      </c>
      <c r="Q26" s="8">
        <f>0.2*drill_holes!E54+0.8*drill_holes!E53</f>
        <v>19.2</v>
      </c>
      <c r="R26" s="8">
        <f>0.2*drill_holes!O54+0.8*drill_holes!O53</f>
        <v>0.54141414141414135</v>
      </c>
      <c r="S26" s="7" t="str">
        <f>CONCATENATE("0.8*",drill_holes!C53,"+0.2*",drill_holes!C54)</f>
        <v>0.8*MIN4+0.2*MINERAL2</v>
      </c>
      <c r="T26">
        <v>1</v>
      </c>
    </row>
    <row r="27" spans="1:22" x14ac:dyDescent="0.25">
      <c r="A27" s="3" t="s">
        <v>89</v>
      </c>
      <c r="B27" s="3">
        <v>237439.76749999999</v>
      </c>
      <c r="C27" s="3">
        <v>594381.68090000004</v>
      </c>
      <c r="D27" s="3">
        <v>31.440915</v>
      </c>
      <c r="E27" s="3">
        <v>35.392921000000001</v>
      </c>
      <c r="F27" s="3" t="s">
        <v>87</v>
      </c>
      <c r="G27" s="5">
        <f>DATE(2013,3,22)</f>
        <v>41355</v>
      </c>
      <c r="H27" s="5">
        <f>DATE(2013,4,23)</f>
        <v>41387</v>
      </c>
      <c r="I27" s="4">
        <f t="shared" si="0"/>
        <v>41371</v>
      </c>
      <c r="J27" s="3" t="s">
        <v>84</v>
      </c>
      <c r="K27" s="4">
        <f>DATE(2013,8,29)</f>
        <v>41515</v>
      </c>
      <c r="L27" s="4">
        <f>DATE(2013,9,14)</f>
        <v>41531</v>
      </c>
      <c r="M27" s="4">
        <f t="shared" si="1"/>
        <v>41523</v>
      </c>
      <c r="N27" s="8">
        <f t="shared" si="2"/>
        <v>152</v>
      </c>
      <c r="O27" s="8">
        <f>0.6*drill_holes!D52+0.4*drill_holes!D38</f>
        <v>29.7</v>
      </c>
      <c r="P27" s="8">
        <f t="shared" si="4"/>
        <v>0.48688524590163934</v>
      </c>
      <c r="Q27" s="8">
        <f>0.6*drill_holes!E52+0.4*drill_holes!E38</f>
        <v>10.8</v>
      </c>
      <c r="R27" s="8">
        <f>0.6*drill_holes!O52+0.4*drill_holes!O38</f>
        <v>0.35555555555555557</v>
      </c>
      <c r="S27" s="7" t="str">
        <f>CONCATENATE("0.6*",drill_holes!C52,"+0.4*",drill_holes!C38)</f>
        <v>0.6*Mazor4+0.4*EG20</v>
      </c>
      <c r="T27" s="3">
        <v>1</v>
      </c>
      <c r="U27" s="3"/>
      <c r="V27" s="3"/>
    </row>
    <row r="28" spans="1:22" x14ac:dyDescent="0.25">
      <c r="A28" t="s">
        <v>49</v>
      </c>
      <c r="B28">
        <v>237701</v>
      </c>
      <c r="C28">
        <v>577973</v>
      </c>
      <c r="D28">
        <v>31.29336</v>
      </c>
      <c r="E28">
        <v>35.396129999999999</v>
      </c>
      <c r="F28" t="s">
        <v>10</v>
      </c>
      <c r="G28" s="4">
        <f>DATE(2015,4,1)</f>
        <v>42095</v>
      </c>
      <c r="H28" s="4">
        <f>DATE(2015,4,7)</f>
        <v>42101</v>
      </c>
      <c r="I28" s="4">
        <f t="shared" si="0"/>
        <v>42098</v>
      </c>
      <c r="J28" t="s">
        <v>11</v>
      </c>
      <c r="K28" s="4">
        <f>DATE(2015,9,11)</f>
        <v>42258</v>
      </c>
      <c r="L28" s="4">
        <f>DATE(2015,10,13)</f>
        <v>42290</v>
      </c>
      <c r="M28" s="4">
        <f t="shared" si="1"/>
        <v>42274</v>
      </c>
      <c r="N28" s="8">
        <f t="shared" si="2"/>
        <v>176</v>
      </c>
      <c r="O28" s="8">
        <f>drill_holes!D22</f>
        <v>27.5</v>
      </c>
      <c r="P28" s="8">
        <f t="shared" si="4"/>
        <v>0.45081967213114754</v>
      </c>
      <c r="Q28" s="8">
        <f>drill_holes!E22</f>
        <v>9</v>
      </c>
      <c r="R28" s="8">
        <f>0.7*drill_holes!O22+0.3*drill_holes!O57</f>
        <v>0.50557575757575757</v>
      </c>
      <c r="S28" s="7" t="str">
        <f>CONCATENATE("0.7*",drill_holes!C22,"+0.3*",drill_holes!C57)</f>
        <v>0.7*BHLA-23+0.3*Rahaf1</v>
      </c>
      <c r="T28">
        <v>2</v>
      </c>
      <c r="U28">
        <v>2</v>
      </c>
    </row>
    <row r="29" spans="1:22" x14ac:dyDescent="0.25">
      <c r="A29" t="s">
        <v>37</v>
      </c>
      <c r="B29">
        <v>237310.20250000001</v>
      </c>
      <c r="C29">
        <v>588403.79350000003</v>
      </c>
      <c r="D29">
        <v>31.387001999999999</v>
      </c>
      <c r="E29">
        <v>35.391451000000004</v>
      </c>
      <c r="F29" t="s">
        <v>38</v>
      </c>
      <c r="G29" s="4">
        <f>DATE(2014,6,14)</f>
        <v>41804</v>
      </c>
      <c r="H29" s="4">
        <f>DATE(2014,7,3)</f>
        <v>41823</v>
      </c>
      <c r="I29" s="4">
        <f t="shared" si="0"/>
        <v>41813.5</v>
      </c>
      <c r="J29" t="s">
        <v>19</v>
      </c>
      <c r="K29" s="4">
        <f>DATE(2015,1,11)</f>
        <v>42015</v>
      </c>
      <c r="L29" s="4">
        <f>DATE(2015,1,27)</f>
        <v>42031</v>
      </c>
      <c r="M29" s="4">
        <f t="shared" si="1"/>
        <v>42023</v>
      </c>
      <c r="N29" s="8">
        <f t="shared" si="2"/>
        <v>210</v>
      </c>
      <c r="O29" s="8">
        <f>drill_holes!D47</f>
        <v>28.5</v>
      </c>
      <c r="P29" s="8">
        <f t="shared" si="4"/>
        <v>0.46721311475409838</v>
      </c>
      <c r="Q29" s="8">
        <f>drill_holes!E47</f>
        <v>5.5</v>
      </c>
      <c r="R29" s="8">
        <f>drill_holes!O47</f>
        <v>0.73684210526315785</v>
      </c>
      <c r="S29" s="7" t="str">
        <f>drill_holes!C47</f>
        <v>hs3</v>
      </c>
      <c r="T29">
        <v>1</v>
      </c>
    </row>
    <row r="30" spans="1:22" x14ac:dyDescent="0.25">
      <c r="A30" t="s">
        <v>48</v>
      </c>
      <c r="B30">
        <v>239433.8818</v>
      </c>
      <c r="C30">
        <v>607910.40800000005</v>
      </c>
      <c r="D30">
        <v>31.562895000000001</v>
      </c>
      <c r="E30">
        <v>35.414169999999999</v>
      </c>
      <c r="F30" t="s">
        <v>54</v>
      </c>
      <c r="G30" s="4">
        <f>DATE(2014,2,21)</f>
        <v>41691</v>
      </c>
      <c r="H30" s="4">
        <f>DATE(2014,3,9)</f>
        <v>41707</v>
      </c>
      <c r="I30" s="4">
        <f t="shared" si="0"/>
        <v>41699</v>
      </c>
      <c r="J30" t="s">
        <v>44</v>
      </c>
      <c r="K30" s="4">
        <f>DATE(2014,9,21)</f>
        <v>41903</v>
      </c>
      <c r="L30" s="4">
        <f>DATE(2014,10,7)</f>
        <v>41919</v>
      </c>
      <c r="M30" s="4">
        <f t="shared" si="1"/>
        <v>41911</v>
      </c>
      <c r="N30" s="8">
        <f t="shared" si="2"/>
        <v>212</v>
      </c>
      <c r="O30" s="8">
        <f>drill_holes!D27</f>
        <v>61</v>
      </c>
      <c r="P30" s="8">
        <f t="shared" si="4"/>
        <v>1</v>
      </c>
      <c r="Q30" s="8">
        <f>drill_holes!E27</f>
        <v>13</v>
      </c>
      <c r="R30" s="8">
        <f>drill_holes!O27</f>
        <v>0.66120218579234968</v>
      </c>
      <c r="S30" s="7" t="str">
        <f>drill_holes!C27</f>
        <v>DR4</v>
      </c>
      <c r="T30">
        <v>2</v>
      </c>
      <c r="V30" t="s">
        <v>55</v>
      </c>
    </row>
    <row r="31" spans="1:22" s="3" customFormat="1" x14ac:dyDescent="0.25">
      <c r="A31" t="s">
        <v>15</v>
      </c>
      <c r="B31">
        <v>237767</v>
      </c>
      <c r="C31">
        <v>590050</v>
      </c>
      <c r="D31">
        <v>31.402280000000001</v>
      </c>
      <c r="E31">
        <v>35.397500000000001</v>
      </c>
      <c r="F31" t="s">
        <v>16</v>
      </c>
      <c r="G31" s="4">
        <f>DATE(2015,11,14)</f>
        <v>42322</v>
      </c>
      <c r="H31" s="4">
        <f>DATE(2015,11,30)</f>
        <v>42338</v>
      </c>
      <c r="I31" s="4">
        <f t="shared" si="0"/>
        <v>42330</v>
      </c>
      <c r="J31" t="s">
        <v>93</v>
      </c>
      <c r="K31" s="4">
        <f>DATE(2016,11,17)</f>
        <v>42691</v>
      </c>
      <c r="L31" s="4">
        <f>DATE(2016,2,18)</f>
        <v>42418</v>
      </c>
      <c r="M31" s="4">
        <f t="shared" si="1"/>
        <v>42554.5</v>
      </c>
      <c r="N31" s="8">
        <f t="shared" si="2"/>
        <v>224</v>
      </c>
      <c r="O31" s="8">
        <f>drill_holes!D44</f>
        <v>35.299999999999997</v>
      </c>
      <c r="P31" s="8">
        <f t="shared" si="4"/>
        <v>0.57868852459016384</v>
      </c>
      <c r="Q31" s="8">
        <f>drill_holes!E44</f>
        <v>7.2</v>
      </c>
      <c r="R31" s="8">
        <f>drill_holes!O44</f>
        <v>0.58356940509915023</v>
      </c>
      <c r="S31" s="7" t="str">
        <f>drill_holes!C44</f>
        <v>Hever5</v>
      </c>
      <c r="T31">
        <v>2</v>
      </c>
      <c r="U31">
        <v>2</v>
      </c>
      <c r="V31"/>
    </row>
    <row r="32" spans="1:22" s="3" customFormat="1" x14ac:dyDescent="0.25">
      <c r="A32" t="s">
        <v>86</v>
      </c>
      <c r="B32">
        <v>237348.59570000001</v>
      </c>
      <c r="C32">
        <v>589325.39119999995</v>
      </c>
      <c r="D32">
        <v>31.395313999999999</v>
      </c>
      <c r="E32">
        <v>35.391871000000002</v>
      </c>
      <c r="F32" t="s">
        <v>87</v>
      </c>
      <c r="G32" s="4">
        <f>DATE(2013,3,22)</f>
        <v>41355</v>
      </c>
      <c r="H32" s="4">
        <f>DATE(2013,4,23)</f>
        <v>41387</v>
      </c>
      <c r="I32" s="4">
        <f t="shared" si="0"/>
        <v>41371</v>
      </c>
      <c r="J32" t="s">
        <v>88</v>
      </c>
      <c r="K32" s="4">
        <f>DATE(2014,1,20)</f>
        <v>41659</v>
      </c>
      <c r="L32" s="4">
        <f>DATE(2014,2,5)</f>
        <v>41675</v>
      </c>
      <c r="M32" s="4">
        <f t="shared" si="1"/>
        <v>41667</v>
      </c>
      <c r="N32" s="8">
        <f t="shared" si="2"/>
        <v>296</v>
      </c>
      <c r="O32" s="8">
        <f>drill_holes!D47</f>
        <v>28.5</v>
      </c>
      <c r="P32" s="8">
        <f t="shared" si="4"/>
        <v>0.46721311475409838</v>
      </c>
      <c r="Q32" s="8">
        <f>drill_holes!E47</f>
        <v>5.5</v>
      </c>
      <c r="R32" s="8">
        <f>drill_holes!O47</f>
        <v>0.73684210526315785</v>
      </c>
      <c r="S32" s="7" t="str">
        <f>drill_holes!C47</f>
        <v>hs3</v>
      </c>
      <c r="T32">
        <v>1</v>
      </c>
      <c r="U32"/>
      <c r="V32"/>
    </row>
    <row r="33" spans="1:22" s="3" customFormat="1" x14ac:dyDescent="0.25">
      <c r="A33" t="s">
        <v>194</v>
      </c>
      <c r="B33">
        <v>239399.0172</v>
      </c>
      <c r="C33">
        <v>608275.56070000003</v>
      </c>
      <c r="D33">
        <v>31.566189000000001</v>
      </c>
      <c r="E33">
        <v>35.413809999999998</v>
      </c>
      <c r="F33" t="s">
        <v>58</v>
      </c>
      <c r="G33" s="4">
        <f>DATE(2014,2,5)</f>
        <v>41675</v>
      </c>
      <c r="H33" s="4">
        <f>DATE(2014,2,21)</f>
        <v>41691</v>
      </c>
      <c r="I33" s="4">
        <f t="shared" si="0"/>
        <v>41683</v>
      </c>
      <c r="J33" t="s">
        <v>36</v>
      </c>
      <c r="K33" s="4">
        <f>DATE(2014,12,26)</f>
        <v>41999</v>
      </c>
      <c r="L33" s="4">
        <f>DATE(2015,1,11)</f>
        <v>42015</v>
      </c>
      <c r="M33" s="4">
        <f t="shared" si="1"/>
        <v>42007</v>
      </c>
      <c r="N33" s="8">
        <f t="shared" si="2"/>
        <v>324</v>
      </c>
      <c r="O33" s="8">
        <f>drill_holes!D27</f>
        <v>61</v>
      </c>
      <c r="P33" s="8">
        <f t="shared" si="4"/>
        <v>1</v>
      </c>
      <c r="Q33" s="8">
        <f>drill_holes!E27</f>
        <v>13</v>
      </c>
      <c r="R33" s="8">
        <f>drill_holes!O27</f>
        <v>0.66120218579234968</v>
      </c>
      <c r="S33" s="7" t="str">
        <f>drill_holes!C27</f>
        <v>DR4</v>
      </c>
      <c r="T33">
        <v>2</v>
      </c>
      <c r="U33"/>
      <c r="V33"/>
    </row>
    <row r="34" spans="1:22" x14ac:dyDescent="0.25">
      <c r="A34" s="3" t="s">
        <v>69</v>
      </c>
      <c r="B34" s="3">
        <v>237809.85680000001</v>
      </c>
      <c r="C34" s="3">
        <v>596024.20310000004</v>
      </c>
      <c r="D34" s="3">
        <v>31.455722000000002</v>
      </c>
      <c r="E34" s="3">
        <v>35.396844000000002</v>
      </c>
      <c r="F34" s="3" t="s">
        <v>90</v>
      </c>
      <c r="G34" s="5">
        <f>DATE(2012,10,29)</f>
        <v>41211</v>
      </c>
      <c r="H34" s="5">
        <f>DATE(2012,11,14)</f>
        <v>41227</v>
      </c>
      <c r="I34" s="4">
        <f t="shared" si="0"/>
        <v>41219</v>
      </c>
      <c r="J34" s="3" t="s">
        <v>91</v>
      </c>
      <c r="K34" s="5">
        <f>DATE(2013,9,30)</f>
        <v>41547</v>
      </c>
      <c r="L34" s="5">
        <f>DATE(2013,10,16)</f>
        <v>41563</v>
      </c>
      <c r="M34" s="4">
        <f t="shared" si="1"/>
        <v>41555</v>
      </c>
      <c r="N34" s="8">
        <f t="shared" si="2"/>
        <v>336</v>
      </c>
      <c r="O34" s="8">
        <f>drill_holes!D38</f>
        <v>45</v>
      </c>
      <c r="P34" s="8">
        <f t="shared" si="4"/>
        <v>0.73770491803278693</v>
      </c>
      <c r="Q34" s="8">
        <f>drill_holes!E38</f>
        <v>4.5</v>
      </c>
      <c r="R34" s="8">
        <f>drill_holes!O38</f>
        <v>0.88888888888888884</v>
      </c>
      <c r="S34" s="7" t="str">
        <f>drill_holes!C38</f>
        <v>EG20</v>
      </c>
      <c r="T34" s="3">
        <v>1</v>
      </c>
      <c r="U34" s="3"/>
      <c r="V34" s="3"/>
    </row>
    <row r="35" spans="1:22" x14ac:dyDescent="0.25">
      <c r="A35" s="3" t="s">
        <v>92</v>
      </c>
      <c r="B35" s="3">
        <v>237756.07930000001</v>
      </c>
      <c r="C35" s="3">
        <v>596018.25780000002</v>
      </c>
      <c r="D35" s="3">
        <v>31.455670000000001</v>
      </c>
      <c r="E35" s="3">
        <v>35.396278000000002</v>
      </c>
      <c r="F35" s="3" t="s">
        <v>90</v>
      </c>
      <c r="G35" s="5">
        <f>DATE(2012,10,29)</f>
        <v>41211</v>
      </c>
      <c r="H35" s="5">
        <f>DATE(2012,11,14)</f>
        <v>41227</v>
      </c>
      <c r="I35" s="4">
        <f t="shared" si="0"/>
        <v>41219</v>
      </c>
      <c r="J35" s="3" t="s">
        <v>91</v>
      </c>
      <c r="K35" s="5">
        <f>DATE(2013,9,30)</f>
        <v>41547</v>
      </c>
      <c r="L35" s="5">
        <f>DATE(2013,10,16)</f>
        <v>41563</v>
      </c>
      <c r="M35" s="4">
        <f t="shared" si="1"/>
        <v>41555</v>
      </c>
      <c r="N35" s="8">
        <f t="shared" si="2"/>
        <v>336</v>
      </c>
      <c r="O35" s="8">
        <f>drill_holes!D38</f>
        <v>45</v>
      </c>
      <c r="P35" s="8">
        <f t="shared" si="4"/>
        <v>0.73770491803278693</v>
      </c>
      <c r="Q35" s="8">
        <f>drill_holes!E38</f>
        <v>4.5</v>
      </c>
      <c r="R35" s="8">
        <f>drill_holes!O38</f>
        <v>0.88888888888888884</v>
      </c>
      <c r="S35" s="7" t="str">
        <f>drill_holes!C38</f>
        <v>EG20</v>
      </c>
      <c r="T35" s="3">
        <v>1</v>
      </c>
      <c r="U35" s="3"/>
      <c r="V35" s="3"/>
    </row>
    <row r="36" spans="1:22" x14ac:dyDescent="0.25">
      <c r="A36" s="3" t="s">
        <v>190</v>
      </c>
      <c r="B36">
        <v>237942.22242899999</v>
      </c>
      <c r="C36">
        <v>581934.85484199994</v>
      </c>
      <c r="F36" s="3" t="s">
        <v>191</v>
      </c>
      <c r="G36" s="5">
        <f>DATE(2011,12,14)</f>
        <v>40891</v>
      </c>
      <c r="H36" s="5">
        <f>DATE(2011,12,30)</f>
        <v>40907</v>
      </c>
      <c r="I36" s="4">
        <f t="shared" si="0"/>
        <v>40899</v>
      </c>
      <c r="J36">
        <v>120319</v>
      </c>
      <c r="K36" s="5">
        <f>DATE(2012,3,19)</f>
        <v>40987</v>
      </c>
      <c r="M36" s="4">
        <f>K36</f>
        <v>40987</v>
      </c>
      <c r="N36" s="8">
        <f t="shared" si="2"/>
        <v>88</v>
      </c>
      <c r="O36" s="8">
        <f>0.5*drill_holes!D58+0.5*drill_holes!D22</f>
        <v>25.75</v>
      </c>
      <c r="P36" s="1"/>
      <c r="Q36" s="8">
        <f>0.5*drill_holes!E58 + 0.5*drill_holes!E22</f>
        <v>9</v>
      </c>
      <c r="R36" s="1">
        <f>0.5*drill_holes!O58+0.5*drill_holes!O22</f>
        <v>0.41852272727272721</v>
      </c>
      <c r="S36" t="str">
        <f>CONCATENATE("0.5*",drill_holes!C58,"+0.5*",drill_holes!C22)</f>
        <v>0.5*ZEELIM6+0.5*BHLA-23</v>
      </c>
      <c r="T36">
        <v>1</v>
      </c>
    </row>
    <row r="37" spans="1:22" x14ac:dyDescent="0.25">
      <c r="A37" s="3" t="s">
        <v>192</v>
      </c>
      <c r="B37">
        <v>237842.48642500001</v>
      </c>
      <c r="C37">
        <v>581918.324012</v>
      </c>
      <c r="F37" s="3" t="s">
        <v>64</v>
      </c>
      <c r="G37" s="5">
        <f>DATE(2015,5,19)</f>
        <v>42143</v>
      </c>
      <c r="H37" s="5">
        <f>DATE(2015,6,4)</f>
        <v>42159</v>
      </c>
      <c r="I37" s="4">
        <f t="shared" si="0"/>
        <v>42151</v>
      </c>
      <c r="J37">
        <v>150208</v>
      </c>
      <c r="K37" s="5">
        <f>DATE(2015,9,2)</f>
        <v>42249</v>
      </c>
      <c r="M37" s="4">
        <f>K37</f>
        <v>42249</v>
      </c>
      <c r="N37" s="8">
        <f t="shared" si="2"/>
        <v>98</v>
      </c>
      <c r="O37" s="1">
        <f>0.5*drill_holes!D58+0.5*drill_holes!D22</f>
        <v>25.75</v>
      </c>
      <c r="P37" s="1"/>
      <c r="Q37" s="1">
        <f>0.5*drill_holes!E58 + 0.5*drill_holes!E22</f>
        <v>9</v>
      </c>
      <c r="R37" s="1">
        <f>0.5*drill_holes!O58+0.5*drill_holes!O22</f>
        <v>0.41852272727272721</v>
      </c>
      <c r="S37" t="str">
        <f>CONCATENATE("0.5*",drill_holes!C58,"+0.5*",drill_holes!C22)</f>
        <v>0.5*ZEELIM6+0.5*BHLA-23</v>
      </c>
      <c r="T37">
        <v>1</v>
      </c>
    </row>
    <row r="38" spans="1:22" x14ac:dyDescent="0.25">
      <c r="A38" t="s">
        <v>195</v>
      </c>
      <c r="B38">
        <v>238697.2047</v>
      </c>
      <c r="C38">
        <v>582952.804</v>
      </c>
      <c r="G38" s="4">
        <f>DATE(2012,3,3)</f>
        <v>40971</v>
      </c>
      <c r="H38" s="4">
        <f>DATE(2012,3,19)</f>
        <v>40987</v>
      </c>
      <c r="I38" s="4">
        <f t="shared" si="0"/>
        <v>40979</v>
      </c>
      <c r="J38" s="4"/>
      <c r="K38" s="4">
        <f>DATE(2012,4,20)</f>
        <v>41019</v>
      </c>
      <c r="L38" s="4">
        <f>DATE(2012,5,6)</f>
        <v>41035</v>
      </c>
      <c r="M38" s="4">
        <f>K38</f>
        <v>41019</v>
      </c>
      <c r="N38" s="8">
        <f t="shared" si="2"/>
        <v>40</v>
      </c>
      <c r="O38" s="8">
        <f>drill_holes!D17</f>
        <v>17.600000000000001</v>
      </c>
      <c r="P38" s="1"/>
      <c r="Q38" s="8">
        <f>drill_holes!E17</f>
        <v>11.1</v>
      </c>
      <c r="R38" s="1">
        <f>drill_holes!O17</f>
        <v>0</v>
      </c>
      <c r="S38" s="7" t="str">
        <f>drill_holes!C17</f>
        <v>BH-5</v>
      </c>
      <c r="T38">
        <v>1</v>
      </c>
    </row>
    <row r="39" spans="1:22" x14ac:dyDescent="0.25">
      <c r="A39" t="s">
        <v>196</v>
      </c>
      <c r="B39">
        <v>238392.2776</v>
      </c>
      <c r="C39">
        <v>582711.19369999995</v>
      </c>
      <c r="G39" s="4">
        <f>DATE(2013,3,22)</f>
        <v>41355</v>
      </c>
      <c r="H39" s="4">
        <f>DATE(2013,4,23)</f>
        <v>41387</v>
      </c>
      <c r="I39" s="4">
        <f t="shared" si="0"/>
        <v>41371</v>
      </c>
      <c r="K39" s="4">
        <f>DATE(2013,3,22)</f>
        <v>41355</v>
      </c>
      <c r="L39" s="4">
        <f>DATE(2013,4,23)</f>
        <v>41387</v>
      </c>
      <c r="M39" s="4">
        <f>K39</f>
        <v>41355</v>
      </c>
      <c r="N39" s="8">
        <v>0</v>
      </c>
      <c r="O39" s="8">
        <f>drill_holes!D5</f>
        <v>22.3</v>
      </c>
      <c r="P39" s="1"/>
      <c r="Q39" s="8">
        <f>drill_holes!E5</f>
        <v>13.7</v>
      </c>
      <c r="R39" s="1">
        <f>drill_holes!O5</f>
        <v>0.11883408071748879</v>
      </c>
      <c r="S39" s="7" t="str">
        <f>drill_holes!C5</f>
        <v>BH.L-21</v>
      </c>
      <c r="T39">
        <v>1</v>
      </c>
    </row>
    <row r="40" spans="1:22" x14ac:dyDescent="0.25">
      <c r="A40" t="s">
        <v>201</v>
      </c>
      <c r="B40">
        <v>238945.69197499999</v>
      </c>
      <c r="C40">
        <v>582765.87528000004</v>
      </c>
      <c r="G40" s="4">
        <f>DATE(2016,3,5)</f>
        <v>42434</v>
      </c>
      <c r="H40" s="4">
        <f>DATE(2016,3,21)</f>
        <v>42450</v>
      </c>
      <c r="I40" s="4">
        <f t="shared" si="0"/>
        <v>42442</v>
      </c>
      <c r="K40" s="4">
        <f>DATE(2016,5,8)</f>
        <v>42498</v>
      </c>
      <c r="L40" s="4">
        <f>DATE(2016,6,9)</f>
        <v>42530</v>
      </c>
      <c r="M40" s="4">
        <f>K40</f>
        <v>42498</v>
      </c>
      <c r="N40" s="8">
        <f>DATEDIF(I40,M40,"d")</f>
        <v>56</v>
      </c>
      <c r="O40" s="8">
        <f>drill_holes!D17</f>
        <v>17.600000000000001</v>
      </c>
      <c r="P40" s="1"/>
      <c r="Q40" s="8">
        <f>drill_holes!E17</f>
        <v>11.1</v>
      </c>
      <c r="R40" s="1">
        <f>drill_holes!O17</f>
        <v>0</v>
      </c>
      <c r="S40" s="7" t="str">
        <f>drill_holes!C17</f>
        <v>BH-5</v>
      </c>
      <c r="T40">
        <v>1</v>
      </c>
    </row>
    <row r="41" spans="1:22" x14ac:dyDescent="0.25">
      <c r="N41" s="1"/>
      <c r="O41" s="1"/>
      <c r="P41" s="1"/>
      <c r="Q41" s="1"/>
      <c r="R41" s="1"/>
    </row>
  </sheetData>
  <sortState ref="A2:U45">
    <sortCondition ref="N2:N4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C1" workbookViewId="0">
      <selection activeCell="A3" sqref="A3:XFD3"/>
    </sheetView>
  </sheetViews>
  <sheetFormatPr defaultRowHeight="15" x14ac:dyDescent="0.25"/>
  <sheetData>
    <row r="1" spans="1:21" x14ac:dyDescent="0.25">
      <c r="A1" t="s">
        <v>198</v>
      </c>
      <c r="B1">
        <v>237564.7628</v>
      </c>
      <c r="C1">
        <v>595186.28209999902</v>
      </c>
      <c r="G1" s="4">
        <f>DATE(2011,12,14)</f>
        <v>40891</v>
      </c>
      <c r="H1" s="4">
        <f>DATE(2011,12,30)</f>
        <v>40907</v>
      </c>
      <c r="I1" s="4">
        <f>SUM(G1:H1)/2</f>
        <v>40899</v>
      </c>
      <c r="K1" s="4">
        <f>DATE(2012,6,23)</f>
        <v>41083</v>
      </c>
      <c r="L1" s="4">
        <f>DATE(2012,7,9)</f>
        <v>41099</v>
      </c>
      <c r="M1" s="4">
        <f>K1</f>
        <v>41083</v>
      </c>
      <c r="N1" s="7">
        <f>DATEDIF(I1,M1,"d")</f>
        <v>184</v>
      </c>
      <c r="O1" s="7">
        <f>0.5*drill_holes!D52+0.5*drill_holes!D38</f>
        <v>32.25</v>
      </c>
      <c r="Q1">
        <f>0.5*drill_holes!E52+0.5*drill_holes!E38</f>
        <v>9.75</v>
      </c>
      <c r="R1">
        <f>0.5*drill_holes!O52+0.5*drill_holes!O38</f>
        <v>0.44444444444444442</v>
      </c>
      <c r="S1" t="str">
        <f>CONCATENATE("0.5*",drill_holes!C52,"+0.5*",drill_holes!C38)</f>
        <v>0.5*Mazor4+0.5*EG20</v>
      </c>
      <c r="T1">
        <v>2</v>
      </c>
      <c r="U1" t="s">
        <v>197</v>
      </c>
    </row>
    <row r="2" spans="1:21" x14ac:dyDescent="0.25">
      <c r="A2" t="s">
        <v>199</v>
      </c>
      <c r="B2">
        <v>237564.7628</v>
      </c>
      <c r="C2">
        <v>595345.03240000003</v>
      </c>
      <c r="G2" s="4">
        <f>DATE(2011,12,14)</f>
        <v>40891</v>
      </c>
      <c r="H2" s="4">
        <f>DATE(2011,12,30)</f>
        <v>40907</v>
      </c>
      <c r="I2" s="4">
        <f>SUM(G2:H2)/2</f>
        <v>40899</v>
      </c>
      <c r="K2" s="4">
        <f>DATE(2012,4,20)</f>
        <v>41019</v>
      </c>
      <c r="L2" s="4">
        <f>DATE(2012,5,6)</f>
        <v>41035</v>
      </c>
      <c r="M2" s="4">
        <f>K2</f>
        <v>41019</v>
      </c>
      <c r="N2" s="7">
        <f>DATEDIF(I2,M2,"d")</f>
        <v>120</v>
      </c>
      <c r="O2" s="7">
        <f>drill_holes!D38</f>
        <v>45</v>
      </c>
      <c r="Q2">
        <f>drill_holes!E38</f>
        <v>4.5</v>
      </c>
      <c r="R2">
        <f>drill_holes!O38</f>
        <v>0.88888888888888884</v>
      </c>
      <c r="S2" s="7" t="str">
        <f>drill_holes!C38</f>
        <v>EG20</v>
      </c>
      <c r="T2">
        <v>2</v>
      </c>
      <c r="U2" t="s">
        <v>202</v>
      </c>
    </row>
    <row r="3" spans="1:21" x14ac:dyDescent="0.25">
      <c r="A3" t="s">
        <v>65</v>
      </c>
      <c r="B3">
        <v>237251.70730000001</v>
      </c>
      <c r="C3">
        <v>589575.36930000002</v>
      </c>
      <c r="D3">
        <v>31.397570000000002</v>
      </c>
      <c r="E3">
        <v>35.390856999999997</v>
      </c>
      <c r="F3" t="s">
        <v>70</v>
      </c>
      <c r="G3" s="4">
        <f>DATE(2012,10,30)</f>
        <v>41212</v>
      </c>
      <c r="H3" s="4">
        <f>DATE(2013,1,1)</f>
        <v>41275</v>
      </c>
      <c r="I3" s="4">
        <f>SUM(G3:H3)/2</f>
        <v>41243.5</v>
      </c>
      <c r="J3" t="s">
        <v>66</v>
      </c>
      <c r="K3" s="4">
        <f>DATE(2016,2,18)</f>
        <v>42418</v>
      </c>
      <c r="L3" s="4">
        <f>DATE(2016,2,21)</f>
        <v>42421</v>
      </c>
      <c r="M3" s="4">
        <f>SUM(K3:L3)/2</f>
        <v>42419.5</v>
      </c>
      <c r="N3" s="7">
        <f>DATEDIF(I3,M3,"d")</f>
        <v>1176</v>
      </c>
      <c r="O3" s="7">
        <f>drill_holes!D47</f>
        <v>28.5</v>
      </c>
      <c r="P3" s="7">
        <f>drill_holes!E47</f>
        <v>5.5</v>
      </c>
      <c r="Q3" s="7">
        <f>drill_holes!E47</f>
        <v>5.5</v>
      </c>
      <c r="R3" s="7">
        <v>1</v>
      </c>
      <c r="S3" t="str">
        <f>drill_holes!C47</f>
        <v>hs3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new_raw_data</vt:lpstr>
      <vt:lpstr>drill_holes</vt:lpstr>
      <vt:lpstr>filterd_data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Meir</dc:creator>
  <cp:lastModifiedBy>Gidi Baer</cp:lastModifiedBy>
  <dcterms:created xsi:type="dcterms:W3CDTF">2016-08-04T10:03:14Z</dcterms:created>
  <dcterms:modified xsi:type="dcterms:W3CDTF">2017-10-23T14:20:58Z</dcterms:modified>
</cp:coreProperties>
</file>