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ustomProperty3.bin" ContentType="application/vnd.openxmlformats-officedocument.spreadsheetml.customProperty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ustomProperty4.bin" ContentType="application/vnd.openxmlformats-officedocument.spreadsheetml.customProperty"/>
  <Override PartName="/xl/drawings/drawing4.xml" ContentType="application/vnd.openxmlformats-officedocument.drawing+xml"/>
  <Override PartName="/xl/customProperty5.bin" ContentType="application/vnd.openxmlformats-officedocument.spreadsheetml.customProperty"/>
  <Override PartName="/xl/drawings/drawing5.xml" ContentType="application/vnd.openxmlformats-officedocument.drawing+xml"/>
  <Override PartName="/xl/customProperty6.bin" ContentType="application/vnd.openxmlformats-officedocument.spreadsheetml.customProperty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ustomProperty7.bin" ContentType="application/vnd.openxmlformats-officedocument.spreadsheetml.customProperty"/>
  <Override PartName="/xl/drawings/drawing7.xml" ContentType="application/vnd.openxmlformats-officedocument.drawing+xml"/>
  <Override PartName="/xl/customProperty8.bin" ContentType="application/vnd.openxmlformats-officedocument.spreadsheetml.customProperty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6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7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8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ustomProperty9.bin" ContentType="application/vnd.openxmlformats-officedocument.spreadsheetml.customProperty"/>
  <Override PartName="/xl/drawings/drawing9.xml" ContentType="application/vnd.openxmlformats-officedocument.drawing+xml"/>
  <Override PartName="/xl/charts/chart3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ustomProperty10.bin" ContentType="application/vnd.openxmlformats-officedocument.spreadsheetml.customProperty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microelectronics-my.sharepoint.com/personal/frank_kwon_st_com/Documents/Desktop/"/>
    </mc:Choice>
  </mc:AlternateContent>
  <xr:revisionPtr revIDLastSave="10" documentId="10_ncr:100_{F5E4C141-06B6-4FC0-9262-8BE833E91AB2}" xr6:coauthVersionLast="47" xr6:coauthVersionMax="47" xr10:uidLastSave="{8D3CE098-9F70-4C8A-8FB2-996E0262318D}"/>
  <bookViews>
    <workbookView xWindow="-120" yWindow="-120" windowWidth="29040" windowHeight="15720" tabRatio="756" xr2:uid="{4053AEDF-3C85-4323-91F2-876D8C340A1A}"/>
  </bookViews>
  <sheets>
    <sheet name="Design Spec" sheetId="14" r:id="rId1"/>
    <sheet name="Preliminary Calculation" sheetId="3" r:id="rId2"/>
    <sheet name="Res. Tank Design" sheetId="2" r:id="rId3"/>
    <sheet name="Power Components" sheetId="10" r:id="rId4"/>
    <sheet name="Device Setting" sheetId="11" r:id="rId5"/>
    <sheet name="CompensationNet&amp;Check" sheetId="15" r:id="rId6"/>
    <sheet name="BOM&amp;Schematics" sheetId="12" r:id="rId7"/>
    <sheet name="RTC" sheetId="4" r:id="rId8"/>
    <sheet name="CC" sheetId="9" r:id="rId9"/>
    <sheet name="OutCap_Sel_DB" sheetId="16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4" l="1"/>
  <c r="I45" i="11"/>
  <c r="D43" i="14"/>
  <c r="E10" i="12" l="1"/>
  <c r="G89" i="12"/>
  <c r="G84" i="12"/>
  <c r="E9" i="12"/>
  <c r="G9" i="12" l="1"/>
  <c r="G5" i="16"/>
  <c r="H5" i="16"/>
  <c r="I5" i="16" s="1"/>
  <c r="J5" i="16" s="1"/>
  <c r="G6" i="16"/>
  <c r="H6" i="16"/>
  <c r="I6" i="16" s="1"/>
  <c r="J6" i="16" s="1"/>
  <c r="G7" i="16"/>
  <c r="H7" i="16"/>
  <c r="I7" i="16" s="1"/>
  <c r="J7" i="16" s="1"/>
  <c r="G8" i="16"/>
  <c r="H8" i="16"/>
  <c r="I8" i="16" s="1"/>
  <c r="J8" i="16" s="1"/>
  <c r="G9" i="16"/>
  <c r="H9" i="16"/>
  <c r="I9" i="16" s="1"/>
  <c r="J9" i="16" s="1"/>
  <c r="G10" i="16"/>
  <c r="H10" i="16"/>
  <c r="I10" i="16" s="1"/>
  <c r="J10" i="16" s="1"/>
  <c r="G11" i="16"/>
  <c r="H11" i="16"/>
  <c r="I11" i="16" s="1"/>
  <c r="J11" i="16" s="1"/>
  <c r="G12" i="16"/>
  <c r="H12" i="16"/>
  <c r="I12" i="16" s="1"/>
  <c r="J12" i="16" s="1"/>
  <c r="G13" i="16"/>
  <c r="H13" i="16"/>
  <c r="I13" i="16" s="1"/>
  <c r="J13" i="16" s="1"/>
  <c r="G14" i="16"/>
  <c r="H14" i="16"/>
  <c r="I14" i="16" s="1"/>
  <c r="J14" i="16" s="1"/>
  <c r="G15" i="16"/>
  <c r="H15" i="16"/>
  <c r="I15" i="16" s="1"/>
  <c r="J15" i="16" s="1"/>
  <c r="G16" i="16"/>
  <c r="H16" i="16"/>
  <c r="I16" i="16" s="1"/>
  <c r="J16" i="16" s="1"/>
  <c r="G17" i="16"/>
  <c r="H17" i="16"/>
  <c r="I17" i="16" s="1"/>
  <c r="J17" i="16" s="1"/>
  <c r="G18" i="16"/>
  <c r="H18" i="16"/>
  <c r="I18" i="16" s="1"/>
  <c r="J18" i="16" s="1"/>
  <c r="G19" i="16"/>
  <c r="H19" i="16"/>
  <c r="I19" i="16" s="1"/>
  <c r="J19" i="16" s="1"/>
  <c r="G20" i="16"/>
  <c r="H20" i="16"/>
  <c r="I20" i="16" s="1"/>
  <c r="J20" i="16" s="1"/>
  <c r="G21" i="16"/>
  <c r="H21" i="16"/>
  <c r="I21" i="16" s="1"/>
  <c r="J21" i="16" s="1"/>
  <c r="G22" i="16"/>
  <c r="H22" i="16"/>
  <c r="I22" i="16" s="1"/>
  <c r="J22" i="16" s="1"/>
  <c r="G23" i="16"/>
  <c r="H23" i="16"/>
  <c r="I23" i="16" s="1"/>
  <c r="J23" i="16" s="1"/>
  <c r="G24" i="16"/>
  <c r="H24" i="16"/>
  <c r="I24" i="16" s="1"/>
  <c r="J24" i="16" s="1"/>
  <c r="G25" i="16"/>
  <c r="H25" i="16"/>
  <c r="I25" i="16" s="1"/>
  <c r="J25" i="16" s="1"/>
  <c r="G26" i="16"/>
  <c r="H26" i="16"/>
  <c r="I26" i="16" s="1"/>
  <c r="J26" i="16" s="1"/>
  <c r="G27" i="16"/>
  <c r="H27" i="16"/>
  <c r="I27" i="16" s="1"/>
  <c r="J27" i="16" s="1"/>
  <c r="I4" i="16"/>
  <c r="J4" i="16" s="1"/>
  <c r="H4" i="16"/>
  <c r="G4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8" i="16"/>
  <c r="D92" i="14"/>
  <c r="W13" i="16" s="1"/>
  <c r="W14" i="16" s="1"/>
  <c r="H266" i="16"/>
  <c r="I266" i="16" s="1"/>
  <c r="J266" i="16" s="1"/>
  <c r="H265" i="16"/>
  <c r="I265" i="16" s="1"/>
  <c r="J265" i="16" s="1"/>
  <c r="H264" i="16"/>
  <c r="I264" i="16" s="1"/>
  <c r="J264" i="16" s="1"/>
  <c r="H263" i="16"/>
  <c r="I263" i="16" s="1"/>
  <c r="J263" i="16" s="1"/>
  <c r="H262" i="16"/>
  <c r="I262" i="16" s="1"/>
  <c r="J262" i="16" s="1"/>
  <c r="H261" i="16"/>
  <c r="I261" i="16" s="1"/>
  <c r="J261" i="16" s="1"/>
  <c r="H260" i="16"/>
  <c r="I260" i="16" s="1"/>
  <c r="J260" i="16" s="1"/>
  <c r="H259" i="16"/>
  <c r="I259" i="16" s="1"/>
  <c r="J259" i="16" s="1"/>
  <c r="H258" i="16"/>
  <c r="I258" i="16" s="1"/>
  <c r="J258" i="16" s="1"/>
  <c r="H257" i="16"/>
  <c r="I257" i="16" s="1"/>
  <c r="J257" i="16" s="1"/>
  <c r="H256" i="16"/>
  <c r="I256" i="16" s="1"/>
  <c r="J256" i="16" s="1"/>
  <c r="H255" i="16"/>
  <c r="I255" i="16" s="1"/>
  <c r="J255" i="16" s="1"/>
  <c r="H254" i="16"/>
  <c r="I254" i="16" s="1"/>
  <c r="J254" i="16" s="1"/>
  <c r="H253" i="16"/>
  <c r="I253" i="16" s="1"/>
  <c r="J253" i="16" s="1"/>
  <c r="H252" i="16"/>
  <c r="I252" i="16" s="1"/>
  <c r="J252" i="16" s="1"/>
  <c r="H251" i="16"/>
  <c r="I251" i="16" s="1"/>
  <c r="J251" i="16" s="1"/>
  <c r="H250" i="16"/>
  <c r="I250" i="16" s="1"/>
  <c r="J250" i="16" s="1"/>
  <c r="H249" i="16"/>
  <c r="I249" i="16" s="1"/>
  <c r="J249" i="16" s="1"/>
  <c r="H248" i="16"/>
  <c r="I248" i="16" s="1"/>
  <c r="J248" i="16" s="1"/>
  <c r="H247" i="16"/>
  <c r="I247" i="16" s="1"/>
  <c r="J247" i="16" s="1"/>
  <c r="H246" i="16"/>
  <c r="I246" i="16" s="1"/>
  <c r="J246" i="16" s="1"/>
  <c r="H245" i="16"/>
  <c r="I245" i="16" s="1"/>
  <c r="J245" i="16" s="1"/>
  <c r="H244" i="16"/>
  <c r="I244" i="16" s="1"/>
  <c r="J244" i="16" s="1"/>
  <c r="H243" i="16"/>
  <c r="I243" i="16" s="1"/>
  <c r="J243" i="16" s="1"/>
  <c r="H242" i="16"/>
  <c r="I242" i="16" s="1"/>
  <c r="J242" i="16" s="1"/>
  <c r="H241" i="16"/>
  <c r="I241" i="16" s="1"/>
  <c r="J241" i="16" s="1"/>
  <c r="H240" i="16"/>
  <c r="I240" i="16" s="1"/>
  <c r="J240" i="16" s="1"/>
  <c r="H239" i="16"/>
  <c r="I239" i="16" s="1"/>
  <c r="J239" i="16" s="1"/>
  <c r="H238" i="16"/>
  <c r="I238" i="16" s="1"/>
  <c r="J238" i="16" s="1"/>
  <c r="H237" i="16"/>
  <c r="I237" i="16" s="1"/>
  <c r="J237" i="16" s="1"/>
  <c r="H236" i="16"/>
  <c r="I236" i="16" s="1"/>
  <c r="J236" i="16" s="1"/>
  <c r="H235" i="16"/>
  <c r="I235" i="16" s="1"/>
  <c r="J235" i="16" s="1"/>
  <c r="H234" i="16"/>
  <c r="I234" i="16" s="1"/>
  <c r="J234" i="16" s="1"/>
  <c r="H233" i="16"/>
  <c r="I233" i="16" s="1"/>
  <c r="J233" i="16" s="1"/>
  <c r="H232" i="16"/>
  <c r="I232" i="16" s="1"/>
  <c r="J232" i="16" s="1"/>
  <c r="H231" i="16"/>
  <c r="I231" i="16" s="1"/>
  <c r="J231" i="16" s="1"/>
  <c r="H230" i="16"/>
  <c r="I230" i="16" s="1"/>
  <c r="J230" i="16" s="1"/>
  <c r="H229" i="16"/>
  <c r="I229" i="16" s="1"/>
  <c r="J229" i="16" s="1"/>
  <c r="H228" i="16"/>
  <c r="I228" i="16" s="1"/>
  <c r="J228" i="16" s="1"/>
  <c r="H227" i="16"/>
  <c r="I227" i="16" s="1"/>
  <c r="J227" i="16" s="1"/>
  <c r="H226" i="16"/>
  <c r="I226" i="16" s="1"/>
  <c r="J226" i="16" s="1"/>
  <c r="H225" i="16"/>
  <c r="I225" i="16" s="1"/>
  <c r="J225" i="16" s="1"/>
  <c r="H224" i="16"/>
  <c r="I224" i="16" s="1"/>
  <c r="J224" i="16" s="1"/>
  <c r="H223" i="16"/>
  <c r="I223" i="16" s="1"/>
  <c r="J223" i="16" s="1"/>
  <c r="H222" i="16"/>
  <c r="I222" i="16" s="1"/>
  <c r="J222" i="16" s="1"/>
  <c r="H221" i="16"/>
  <c r="I221" i="16" s="1"/>
  <c r="J221" i="16" s="1"/>
  <c r="H220" i="16"/>
  <c r="I220" i="16" s="1"/>
  <c r="J220" i="16" s="1"/>
  <c r="H219" i="16"/>
  <c r="I219" i="16" s="1"/>
  <c r="J219" i="16" s="1"/>
  <c r="H218" i="16"/>
  <c r="I218" i="16" s="1"/>
  <c r="J218" i="16" s="1"/>
  <c r="H217" i="16"/>
  <c r="I217" i="16" s="1"/>
  <c r="J217" i="16" s="1"/>
  <c r="H216" i="16"/>
  <c r="I216" i="16" s="1"/>
  <c r="J216" i="16" s="1"/>
  <c r="H215" i="16"/>
  <c r="I215" i="16" s="1"/>
  <c r="J215" i="16" s="1"/>
  <c r="H214" i="16"/>
  <c r="I214" i="16" s="1"/>
  <c r="J214" i="16" s="1"/>
  <c r="H213" i="16"/>
  <c r="I213" i="16" s="1"/>
  <c r="J213" i="16" s="1"/>
  <c r="H212" i="16"/>
  <c r="I212" i="16" s="1"/>
  <c r="J212" i="16" s="1"/>
  <c r="H211" i="16"/>
  <c r="I211" i="16" s="1"/>
  <c r="J211" i="16" s="1"/>
  <c r="H210" i="16"/>
  <c r="I210" i="16" s="1"/>
  <c r="J210" i="16" s="1"/>
  <c r="H209" i="16"/>
  <c r="I209" i="16" s="1"/>
  <c r="J209" i="16" s="1"/>
  <c r="H208" i="16"/>
  <c r="I208" i="16" s="1"/>
  <c r="J208" i="16" s="1"/>
  <c r="H207" i="16"/>
  <c r="I207" i="16" s="1"/>
  <c r="J207" i="16" s="1"/>
  <c r="H206" i="16"/>
  <c r="I206" i="16" s="1"/>
  <c r="J206" i="16" s="1"/>
  <c r="H205" i="16"/>
  <c r="I205" i="16" s="1"/>
  <c r="J205" i="16" s="1"/>
  <c r="H204" i="16"/>
  <c r="I204" i="16" s="1"/>
  <c r="J204" i="16" s="1"/>
  <c r="H203" i="16"/>
  <c r="I203" i="16" s="1"/>
  <c r="J203" i="16" s="1"/>
  <c r="H202" i="16"/>
  <c r="I202" i="16" s="1"/>
  <c r="J202" i="16" s="1"/>
  <c r="H201" i="16"/>
  <c r="I201" i="16" s="1"/>
  <c r="J201" i="16" s="1"/>
  <c r="H200" i="16"/>
  <c r="I200" i="16" s="1"/>
  <c r="J200" i="16" s="1"/>
  <c r="H199" i="16"/>
  <c r="I199" i="16" s="1"/>
  <c r="J199" i="16" s="1"/>
  <c r="H198" i="16"/>
  <c r="I198" i="16" s="1"/>
  <c r="J198" i="16" s="1"/>
  <c r="H197" i="16"/>
  <c r="I197" i="16" s="1"/>
  <c r="J197" i="16" s="1"/>
  <c r="H196" i="16"/>
  <c r="I196" i="16" s="1"/>
  <c r="J196" i="16" s="1"/>
  <c r="H195" i="16"/>
  <c r="I195" i="16" s="1"/>
  <c r="J195" i="16" s="1"/>
  <c r="H194" i="16"/>
  <c r="I194" i="16" s="1"/>
  <c r="J194" i="16" s="1"/>
  <c r="H193" i="16"/>
  <c r="I193" i="16" s="1"/>
  <c r="J193" i="16" s="1"/>
  <c r="H192" i="16"/>
  <c r="I192" i="16" s="1"/>
  <c r="J192" i="16" s="1"/>
  <c r="H191" i="16"/>
  <c r="I191" i="16" s="1"/>
  <c r="J191" i="16" s="1"/>
  <c r="H190" i="16"/>
  <c r="I190" i="16" s="1"/>
  <c r="J190" i="16" s="1"/>
  <c r="H189" i="16"/>
  <c r="I189" i="16" s="1"/>
  <c r="J189" i="16" s="1"/>
  <c r="H188" i="16"/>
  <c r="I188" i="16" s="1"/>
  <c r="J188" i="16" s="1"/>
  <c r="H187" i="16"/>
  <c r="I187" i="16" s="1"/>
  <c r="J187" i="16" s="1"/>
  <c r="H186" i="16"/>
  <c r="I186" i="16" s="1"/>
  <c r="J186" i="16" s="1"/>
  <c r="H185" i="16"/>
  <c r="I185" i="16" s="1"/>
  <c r="J185" i="16" s="1"/>
  <c r="H184" i="16"/>
  <c r="I184" i="16" s="1"/>
  <c r="J184" i="16" s="1"/>
  <c r="H183" i="16"/>
  <c r="I183" i="16" s="1"/>
  <c r="J183" i="16" s="1"/>
  <c r="H182" i="16"/>
  <c r="I182" i="16" s="1"/>
  <c r="J182" i="16" s="1"/>
  <c r="H181" i="16"/>
  <c r="I181" i="16" s="1"/>
  <c r="J181" i="16" s="1"/>
  <c r="H180" i="16"/>
  <c r="I180" i="16" s="1"/>
  <c r="J180" i="16" s="1"/>
  <c r="H179" i="16"/>
  <c r="I179" i="16" s="1"/>
  <c r="J179" i="16" s="1"/>
  <c r="H178" i="16"/>
  <c r="I178" i="16" s="1"/>
  <c r="J178" i="16" s="1"/>
  <c r="H177" i="16"/>
  <c r="I177" i="16" s="1"/>
  <c r="J177" i="16" s="1"/>
  <c r="H176" i="16"/>
  <c r="I176" i="16" s="1"/>
  <c r="J176" i="16" s="1"/>
  <c r="H175" i="16"/>
  <c r="I175" i="16" s="1"/>
  <c r="J175" i="16" s="1"/>
  <c r="H174" i="16"/>
  <c r="I174" i="16" s="1"/>
  <c r="J174" i="16" s="1"/>
  <c r="H173" i="16"/>
  <c r="I173" i="16" s="1"/>
  <c r="J173" i="16" s="1"/>
  <c r="H172" i="16"/>
  <c r="I172" i="16" s="1"/>
  <c r="J172" i="16" s="1"/>
  <c r="H171" i="16"/>
  <c r="I171" i="16" s="1"/>
  <c r="J171" i="16" s="1"/>
  <c r="H170" i="16"/>
  <c r="I170" i="16" s="1"/>
  <c r="J170" i="16" s="1"/>
  <c r="H169" i="16"/>
  <c r="I169" i="16" s="1"/>
  <c r="J169" i="16" s="1"/>
  <c r="H168" i="16"/>
  <c r="I168" i="16" s="1"/>
  <c r="J168" i="16" s="1"/>
  <c r="H167" i="16"/>
  <c r="I167" i="16" s="1"/>
  <c r="J167" i="16" s="1"/>
  <c r="H166" i="16"/>
  <c r="I166" i="16" s="1"/>
  <c r="J166" i="16" s="1"/>
  <c r="H165" i="16"/>
  <c r="I165" i="16" s="1"/>
  <c r="J165" i="16" s="1"/>
  <c r="H164" i="16"/>
  <c r="I164" i="16" s="1"/>
  <c r="J164" i="16" s="1"/>
  <c r="H163" i="16"/>
  <c r="I163" i="16" s="1"/>
  <c r="J163" i="16" s="1"/>
  <c r="H162" i="16"/>
  <c r="I162" i="16" s="1"/>
  <c r="J162" i="16" s="1"/>
  <c r="H161" i="16"/>
  <c r="I161" i="16" s="1"/>
  <c r="J161" i="16" s="1"/>
  <c r="H160" i="16"/>
  <c r="I160" i="16" s="1"/>
  <c r="J160" i="16" s="1"/>
  <c r="H159" i="16"/>
  <c r="I159" i="16" s="1"/>
  <c r="J159" i="16" s="1"/>
  <c r="H158" i="16"/>
  <c r="I158" i="16" s="1"/>
  <c r="J158" i="16" s="1"/>
  <c r="H157" i="16"/>
  <c r="I157" i="16" s="1"/>
  <c r="J157" i="16" s="1"/>
  <c r="H156" i="16"/>
  <c r="I156" i="16" s="1"/>
  <c r="J156" i="16" s="1"/>
  <c r="H155" i="16"/>
  <c r="I155" i="16" s="1"/>
  <c r="J155" i="16" s="1"/>
  <c r="H154" i="16"/>
  <c r="I154" i="16" s="1"/>
  <c r="J154" i="16" s="1"/>
  <c r="H153" i="16"/>
  <c r="I153" i="16" s="1"/>
  <c r="J153" i="16" s="1"/>
  <c r="H152" i="16"/>
  <c r="I152" i="16" s="1"/>
  <c r="J152" i="16" s="1"/>
  <c r="H151" i="16"/>
  <c r="I151" i="16" s="1"/>
  <c r="J151" i="16" s="1"/>
  <c r="H150" i="16"/>
  <c r="I150" i="16" s="1"/>
  <c r="J150" i="16" s="1"/>
  <c r="H149" i="16"/>
  <c r="I149" i="16" s="1"/>
  <c r="J149" i="16" s="1"/>
  <c r="H148" i="16"/>
  <c r="I148" i="16" s="1"/>
  <c r="J148" i="16" s="1"/>
  <c r="H147" i="16"/>
  <c r="I147" i="16" s="1"/>
  <c r="J147" i="16" s="1"/>
  <c r="H146" i="16"/>
  <c r="I146" i="16" s="1"/>
  <c r="J146" i="16" s="1"/>
  <c r="H145" i="16"/>
  <c r="I145" i="16" s="1"/>
  <c r="J145" i="16" s="1"/>
  <c r="H144" i="16"/>
  <c r="I144" i="16" s="1"/>
  <c r="J144" i="16" s="1"/>
  <c r="H143" i="16"/>
  <c r="I143" i="16" s="1"/>
  <c r="J143" i="16" s="1"/>
  <c r="H142" i="16"/>
  <c r="I142" i="16" s="1"/>
  <c r="J142" i="16" s="1"/>
  <c r="H141" i="16"/>
  <c r="I141" i="16" s="1"/>
  <c r="J141" i="16" s="1"/>
  <c r="H140" i="16"/>
  <c r="I140" i="16" s="1"/>
  <c r="J140" i="16" s="1"/>
  <c r="H139" i="16"/>
  <c r="I139" i="16" s="1"/>
  <c r="J139" i="16" s="1"/>
  <c r="H138" i="16"/>
  <c r="I138" i="16" s="1"/>
  <c r="J138" i="16" s="1"/>
  <c r="H137" i="16"/>
  <c r="I137" i="16" s="1"/>
  <c r="J137" i="16" s="1"/>
  <c r="H136" i="16"/>
  <c r="I136" i="16" s="1"/>
  <c r="J136" i="16" s="1"/>
  <c r="H135" i="16"/>
  <c r="I135" i="16" s="1"/>
  <c r="J135" i="16" s="1"/>
  <c r="H134" i="16"/>
  <c r="I134" i="16" s="1"/>
  <c r="J134" i="16" s="1"/>
  <c r="H133" i="16"/>
  <c r="I133" i="16" s="1"/>
  <c r="J133" i="16" s="1"/>
  <c r="H132" i="16"/>
  <c r="I132" i="16" s="1"/>
  <c r="J132" i="16" s="1"/>
  <c r="H131" i="16"/>
  <c r="I131" i="16" s="1"/>
  <c r="J131" i="16" s="1"/>
  <c r="H130" i="16"/>
  <c r="I130" i="16" s="1"/>
  <c r="J130" i="16" s="1"/>
  <c r="H129" i="16"/>
  <c r="I129" i="16" s="1"/>
  <c r="J129" i="16" s="1"/>
  <c r="H128" i="16"/>
  <c r="I128" i="16" s="1"/>
  <c r="J128" i="16" s="1"/>
  <c r="H127" i="16"/>
  <c r="I127" i="16" s="1"/>
  <c r="J127" i="16" s="1"/>
  <c r="H126" i="16"/>
  <c r="I126" i="16" s="1"/>
  <c r="J126" i="16" s="1"/>
  <c r="H125" i="16"/>
  <c r="I125" i="16" s="1"/>
  <c r="J125" i="16" s="1"/>
  <c r="H124" i="16"/>
  <c r="I124" i="16" s="1"/>
  <c r="J124" i="16" s="1"/>
  <c r="H123" i="16"/>
  <c r="I123" i="16" s="1"/>
  <c r="J123" i="16" s="1"/>
  <c r="H122" i="16"/>
  <c r="I122" i="16" s="1"/>
  <c r="J122" i="16" s="1"/>
  <c r="H121" i="16"/>
  <c r="I121" i="16" s="1"/>
  <c r="J121" i="16" s="1"/>
  <c r="H120" i="16"/>
  <c r="I120" i="16" s="1"/>
  <c r="J120" i="16" s="1"/>
  <c r="H119" i="16"/>
  <c r="I119" i="16" s="1"/>
  <c r="J119" i="16" s="1"/>
  <c r="H118" i="16"/>
  <c r="I118" i="16" s="1"/>
  <c r="J118" i="16" s="1"/>
  <c r="H117" i="16"/>
  <c r="I117" i="16" s="1"/>
  <c r="J117" i="16" s="1"/>
  <c r="H116" i="16"/>
  <c r="I116" i="16" s="1"/>
  <c r="J116" i="16" s="1"/>
  <c r="H115" i="16"/>
  <c r="I115" i="16" s="1"/>
  <c r="J115" i="16" s="1"/>
  <c r="H114" i="16"/>
  <c r="I114" i="16" s="1"/>
  <c r="J114" i="16" s="1"/>
  <c r="H113" i="16"/>
  <c r="I113" i="16" s="1"/>
  <c r="J113" i="16" s="1"/>
  <c r="H112" i="16"/>
  <c r="I112" i="16" s="1"/>
  <c r="J112" i="16" s="1"/>
  <c r="H111" i="16"/>
  <c r="I111" i="16" s="1"/>
  <c r="J111" i="16" s="1"/>
  <c r="H110" i="16"/>
  <c r="I110" i="16" s="1"/>
  <c r="J110" i="16" s="1"/>
  <c r="H109" i="16"/>
  <c r="I109" i="16" s="1"/>
  <c r="J109" i="16" s="1"/>
  <c r="H108" i="16"/>
  <c r="I108" i="16" s="1"/>
  <c r="J108" i="16" s="1"/>
  <c r="H107" i="16"/>
  <c r="I107" i="16" s="1"/>
  <c r="J107" i="16" s="1"/>
  <c r="H106" i="16"/>
  <c r="I106" i="16" s="1"/>
  <c r="J106" i="16" s="1"/>
  <c r="H105" i="16"/>
  <c r="I105" i="16" s="1"/>
  <c r="J105" i="16" s="1"/>
  <c r="H104" i="16"/>
  <c r="I104" i="16" s="1"/>
  <c r="J104" i="16" s="1"/>
  <c r="H103" i="16"/>
  <c r="I103" i="16" s="1"/>
  <c r="J103" i="16" s="1"/>
  <c r="H102" i="16"/>
  <c r="I102" i="16" s="1"/>
  <c r="J102" i="16" s="1"/>
  <c r="H101" i="16"/>
  <c r="I101" i="16" s="1"/>
  <c r="J101" i="16" s="1"/>
  <c r="H100" i="16"/>
  <c r="I100" i="16" s="1"/>
  <c r="J100" i="16" s="1"/>
  <c r="H99" i="16"/>
  <c r="I99" i="16" s="1"/>
  <c r="J99" i="16" s="1"/>
  <c r="H98" i="16"/>
  <c r="I98" i="16" s="1"/>
  <c r="J98" i="16" s="1"/>
  <c r="H97" i="16"/>
  <c r="I97" i="16" s="1"/>
  <c r="J97" i="16" s="1"/>
  <c r="H96" i="16"/>
  <c r="I96" i="16" s="1"/>
  <c r="J96" i="16" s="1"/>
  <c r="H95" i="16"/>
  <c r="I95" i="16" s="1"/>
  <c r="J95" i="16" s="1"/>
  <c r="H94" i="16"/>
  <c r="I94" i="16" s="1"/>
  <c r="J94" i="16" s="1"/>
  <c r="H93" i="16"/>
  <c r="I93" i="16" s="1"/>
  <c r="J93" i="16" s="1"/>
  <c r="H92" i="16"/>
  <c r="I92" i="16" s="1"/>
  <c r="J92" i="16" s="1"/>
  <c r="H91" i="16"/>
  <c r="I91" i="16" s="1"/>
  <c r="J91" i="16" s="1"/>
  <c r="H90" i="16"/>
  <c r="I90" i="16" s="1"/>
  <c r="J90" i="16" s="1"/>
  <c r="H89" i="16"/>
  <c r="I89" i="16" s="1"/>
  <c r="J89" i="16" s="1"/>
  <c r="H88" i="16"/>
  <c r="I88" i="16" s="1"/>
  <c r="J88" i="16" s="1"/>
  <c r="H87" i="16"/>
  <c r="I87" i="16" s="1"/>
  <c r="J87" i="16" s="1"/>
  <c r="H86" i="16"/>
  <c r="I86" i="16" s="1"/>
  <c r="J86" i="16" s="1"/>
  <c r="H85" i="16"/>
  <c r="I85" i="16" s="1"/>
  <c r="J85" i="16" s="1"/>
  <c r="H84" i="16"/>
  <c r="I84" i="16" s="1"/>
  <c r="J84" i="16" s="1"/>
  <c r="H83" i="16"/>
  <c r="I83" i="16" s="1"/>
  <c r="J83" i="16" s="1"/>
  <c r="H82" i="16"/>
  <c r="I82" i="16" s="1"/>
  <c r="J82" i="16" s="1"/>
  <c r="H81" i="16"/>
  <c r="I81" i="16" s="1"/>
  <c r="J81" i="16" s="1"/>
  <c r="H80" i="16"/>
  <c r="I80" i="16" s="1"/>
  <c r="J80" i="16" s="1"/>
  <c r="H79" i="16"/>
  <c r="I79" i="16" s="1"/>
  <c r="J79" i="16" s="1"/>
  <c r="H78" i="16"/>
  <c r="I78" i="16" s="1"/>
  <c r="J78" i="16" s="1"/>
  <c r="H77" i="16"/>
  <c r="I77" i="16" s="1"/>
  <c r="J77" i="16" s="1"/>
  <c r="H76" i="16"/>
  <c r="I76" i="16" s="1"/>
  <c r="J76" i="16" s="1"/>
  <c r="H75" i="16"/>
  <c r="I75" i="16" s="1"/>
  <c r="J75" i="16" s="1"/>
  <c r="H74" i="16"/>
  <c r="I74" i="16" s="1"/>
  <c r="J74" i="16" s="1"/>
  <c r="H73" i="16"/>
  <c r="I73" i="16" s="1"/>
  <c r="J73" i="16" s="1"/>
  <c r="H72" i="16"/>
  <c r="I72" i="16" s="1"/>
  <c r="J72" i="16" s="1"/>
  <c r="H71" i="16"/>
  <c r="I71" i="16" s="1"/>
  <c r="J71" i="16" s="1"/>
  <c r="H70" i="16"/>
  <c r="I70" i="16" s="1"/>
  <c r="J70" i="16" s="1"/>
  <c r="H69" i="16"/>
  <c r="I69" i="16" s="1"/>
  <c r="J69" i="16" s="1"/>
  <c r="H68" i="16"/>
  <c r="I68" i="16" s="1"/>
  <c r="J68" i="16" s="1"/>
  <c r="H67" i="16"/>
  <c r="I67" i="16" s="1"/>
  <c r="J67" i="16" s="1"/>
  <c r="H66" i="16"/>
  <c r="I66" i="16" s="1"/>
  <c r="J66" i="16" s="1"/>
  <c r="H65" i="16"/>
  <c r="I65" i="16" s="1"/>
  <c r="J65" i="16" s="1"/>
  <c r="H64" i="16"/>
  <c r="I64" i="16" s="1"/>
  <c r="J64" i="16" s="1"/>
  <c r="H63" i="16"/>
  <c r="I63" i="16" s="1"/>
  <c r="J63" i="16" s="1"/>
  <c r="H62" i="16"/>
  <c r="I62" i="16" s="1"/>
  <c r="J62" i="16" s="1"/>
  <c r="H61" i="16"/>
  <c r="I61" i="16" s="1"/>
  <c r="J61" i="16" s="1"/>
  <c r="H60" i="16"/>
  <c r="I60" i="16" s="1"/>
  <c r="J60" i="16" s="1"/>
  <c r="H59" i="16"/>
  <c r="I59" i="16" s="1"/>
  <c r="J59" i="16" s="1"/>
  <c r="H58" i="16"/>
  <c r="I58" i="16" s="1"/>
  <c r="J58" i="16" s="1"/>
  <c r="H57" i="16"/>
  <c r="I57" i="16" s="1"/>
  <c r="J57" i="16" s="1"/>
  <c r="H56" i="16"/>
  <c r="I56" i="16" s="1"/>
  <c r="J56" i="16" s="1"/>
  <c r="H55" i="16"/>
  <c r="I55" i="16" s="1"/>
  <c r="J55" i="16" s="1"/>
  <c r="H54" i="16"/>
  <c r="I54" i="16" s="1"/>
  <c r="J54" i="16" s="1"/>
  <c r="H53" i="16"/>
  <c r="I53" i="16" s="1"/>
  <c r="J53" i="16" s="1"/>
  <c r="H52" i="16"/>
  <c r="I52" i="16" s="1"/>
  <c r="J52" i="16" s="1"/>
  <c r="H51" i="16"/>
  <c r="I51" i="16" s="1"/>
  <c r="J51" i="16" s="1"/>
  <c r="H50" i="16"/>
  <c r="I50" i="16" s="1"/>
  <c r="J50" i="16" s="1"/>
  <c r="H49" i="16"/>
  <c r="I49" i="16" s="1"/>
  <c r="J49" i="16" s="1"/>
  <c r="H48" i="16"/>
  <c r="I48" i="16" s="1"/>
  <c r="J48" i="16" s="1"/>
  <c r="H47" i="16"/>
  <c r="I47" i="16" s="1"/>
  <c r="J47" i="16" s="1"/>
  <c r="H46" i="16"/>
  <c r="I46" i="16" s="1"/>
  <c r="J46" i="16" s="1"/>
  <c r="H45" i="16"/>
  <c r="I45" i="16" s="1"/>
  <c r="J45" i="16" s="1"/>
  <c r="H44" i="16"/>
  <c r="I44" i="16" s="1"/>
  <c r="J44" i="16" s="1"/>
  <c r="H43" i="16"/>
  <c r="I43" i="16" s="1"/>
  <c r="J43" i="16" s="1"/>
  <c r="H42" i="16"/>
  <c r="I42" i="16" s="1"/>
  <c r="J42" i="16" s="1"/>
  <c r="H41" i="16"/>
  <c r="I41" i="16" s="1"/>
  <c r="J41" i="16" s="1"/>
  <c r="H40" i="16"/>
  <c r="I40" i="16" s="1"/>
  <c r="J40" i="16" s="1"/>
  <c r="H39" i="16"/>
  <c r="I39" i="16" s="1"/>
  <c r="J39" i="16" s="1"/>
  <c r="H38" i="16"/>
  <c r="I38" i="16" s="1"/>
  <c r="J38" i="16" s="1"/>
  <c r="H37" i="16"/>
  <c r="I37" i="16" s="1"/>
  <c r="J37" i="16" s="1"/>
  <c r="H36" i="16"/>
  <c r="I36" i="16" s="1"/>
  <c r="J36" i="16" s="1"/>
  <c r="H35" i="16"/>
  <c r="I35" i="16" s="1"/>
  <c r="J35" i="16" s="1"/>
  <c r="H34" i="16"/>
  <c r="I34" i="16" s="1"/>
  <c r="J34" i="16" s="1"/>
  <c r="H33" i="16"/>
  <c r="I33" i="16" s="1"/>
  <c r="J33" i="16" s="1"/>
  <c r="H32" i="16"/>
  <c r="I32" i="16" s="1"/>
  <c r="J32" i="16" s="1"/>
  <c r="H31" i="16"/>
  <c r="I31" i="16" s="1"/>
  <c r="J31" i="16" s="1"/>
  <c r="H30" i="16"/>
  <c r="I30" i="16" s="1"/>
  <c r="J30" i="16" s="1"/>
  <c r="H29" i="16"/>
  <c r="I29" i="16" s="1"/>
  <c r="J29" i="16" s="1"/>
  <c r="H28" i="16"/>
  <c r="I28" i="16" s="1"/>
  <c r="J28" i="16" s="1"/>
  <c r="E55" i="12"/>
  <c r="E60" i="12"/>
  <c r="E59" i="12"/>
  <c r="D109" i="11"/>
  <c r="E20" i="12"/>
  <c r="E19" i="12"/>
  <c r="D27" i="10"/>
  <c r="D26" i="10"/>
  <c r="D112" i="15"/>
  <c r="E21" i="12"/>
  <c r="G21" i="12" s="1"/>
  <c r="E12" i="12"/>
  <c r="G12" i="12" s="1"/>
  <c r="D15" i="15"/>
  <c r="D103" i="14"/>
  <c r="D104" i="15"/>
  <c r="D96" i="15"/>
  <c r="D78" i="15"/>
  <c r="D44" i="15"/>
  <c r="D37" i="12"/>
  <c r="D38" i="12"/>
  <c r="D36" i="12"/>
  <c r="E37" i="12"/>
  <c r="G37" i="12" s="1"/>
  <c r="E38" i="12"/>
  <c r="G38" i="12" s="1"/>
  <c r="D31" i="12"/>
  <c r="G31" i="12" s="1"/>
  <c r="E11" i="12"/>
  <c r="G11" i="12" s="1"/>
  <c r="G10" i="12"/>
  <c r="F13" i="12"/>
  <c r="E13" i="12"/>
  <c r="G13" i="12" s="1"/>
  <c r="D42" i="15"/>
  <c r="D107" i="14"/>
  <c r="B81" i="10" s="1"/>
  <c r="D77" i="10"/>
  <c r="C80" i="12" l="1"/>
  <c r="G8" i="12" a="1"/>
  <c r="G8" i="12" s="1"/>
  <c r="G19" i="12"/>
  <c r="D80" i="12"/>
  <c r="D85" i="12"/>
  <c r="G85" i="12" s="1"/>
  <c r="D90" i="12"/>
  <c r="G90" i="12" s="1"/>
  <c r="E125" i="15"/>
  <c r="D64" i="10"/>
  <c r="E80" i="12"/>
  <c r="E75" i="12"/>
  <c r="G75" i="12" l="1"/>
  <c r="G74" i="12"/>
  <c r="G80" i="12"/>
  <c r="G79" i="12"/>
  <c r="G59" i="12"/>
  <c r="G60" i="12"/>
  <c r="E58" i="12"/>
  <c r="G58" i="12" s="1"/>
  <c r="E57" i="12"/>
  <c r="G57" i="12" s="1"/>
  <c r="E56" i="12"/>
  <c r="G55" i="12"/>
  <c r="E50" i="12"/>
  <c r="G50" i="12" s="1"/>
  <c r="E49" i="12"/>
  <c r="G49" i="12" s="1"/>
  <c r="E47" i="12"/>
  <c r="G47" i="12" s="1"/>
  <c r="E46" i="12"/>
  <c r="G46" i="12" s="1"/>
  <c r="E46" i="15"/>
  <c r="E78" i="15"/>
  <c r="E77" i="15"/>
  <c r="E74" i="15"/>
  <c r="E73" i="15"/>
  <c r="E59" i="14"/>
  <c r="E15" i="14"/>
  <c r="E18" i="12"/>
  <c r="D12" i="10"/>
  <c r="D78" i="14"/>
  <c r="D90" i="14"/>
  <c r="D6" i="15" s="1"/>
  <c r="D91" i="14"/>
  <c r="D95" i="14"/>
  <c r="D89" i="10" s="1"/>
  <c r="B96" i="14"/>
  <c r="C96" i="14"/>
  <c r="D96" i="14"/>
  <c r="E96" i="14"/>
  <c r="D97" i="14"/>
  <c r="W8" i="16" s="1"/>
  <c r="D98" i="14"/>
  <c r="D61" i="15" s="1"/>
  <c r="D99" i="14"/>
  <c r="D102" i="14"/>
  <c r="D15" i="2" s="1"/>
  <c r="D104" i="14"/>
  <c r="D106" i="14"/>
  <c r="D108" i="14"/>
  <c r="B109" i="14"/>
  <c r="C109" i="14"/>
  <c r="D109" i="14"/>
  <c r="E109" i="14"/>
  <c r="D111" i="14"/>
  <c r="D112" i="14"/>
  <c r="D113" i="14"/>
  <c r="D114" i="14"/>
  <c r="D5" i="15"/>
  <c r="M141" i="15"/>
  <c r="AV122" i="15"/>
  <c r="D46" i="15"/>
  <c r="D43" i="15"/>
  <c r="D41" i="15"/>
  <c r="E31" i="15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D18" i="10"/>
  <c r="D17" i="10"/>
  <c r="D15" i="10"/>
  <c r="D16" i="10"/>
  <c r="D14" i="10"/>
  <c r="D48" i="10"/>
  <c r="D47" i="10"/>
  <c r="G49" i="10"/>
  <c r="D22" i="10" l="1"/>
  <c r="W11" i="16" s="1"/>
  <c r="G18" i="12"/>
  <c r="G17" i="12" a="1"/>
  <c r="G17" i="12" s="1"/>
  <c r="W7" i="16"/>
  <c r="W9" i="16" s="1"/>
  <c r="L4" i="16" s="1"/>
  <c r="M4" i="16" s="1"/>
  <c r="D100" i="11"/>
  <c r="G56" i="12"/>
  <c r="G54" i="12" a="1"/>
  <c r="G54" i="12" s="1"/>
  <c r="D7" i="15"/>
  <c r="D33" i="10"/>
  <c r="F5" i="4"/>
  <c r="D4" i="15"/>
  <c r="D80" i="14"/>
  <c r="D20" i="14" s="1"/>
  <c r="G20" i="12"/>
  <c r="D38" i="15"/>
  <c r="Z14" i="9"/>
  <c r="D46" i="11"/>
  <c r="F12" i="12"/>
  <c r="D27" i="11"/>
  <c r="D29" i="11"/>
  <c r="D90" i="11"/>
  <c r="D94" i="11"/>
  <c r="D95" i="11"/>
  <c r="D97" i="11" s="1"/>
  <c r="D96" i="11" l="1"/>
  <c r="D98" i="11" s="1"/>
  <c r="D99" i="11" s="1"/>
  <c r="L12" i="16"/>
  <c r="M12" i="16" s="1"/>
  <c r="L20" i="16"/>
  <c r="M20" i="16" s="1"/>
  <c r="L5" i="16"/>
  <c r="M5" i="16" s="1"/>
  <c r="L13" i="16"/>
  <c r="M13" i="16" s="1"/>
  <c r="L21" i="16"/>
  <c r="M21" i="16" s="1"/>
  <c r="L6" i="16"/>
  <c r="M6" i="16" s="1"/>
  <c r="L14" i="16"/>
  <c r="M14" i="16" s="1"/>
  <c r="L22" i="16"/>
  <c r="M22" i="16" s="1"/>
  <c r="L7" i="16"/>
  <c r="M7" i="16" s="1"/>
  <c r="L15" i="16"/>
  <c r="M15" i="16" s="1"/>
  <c r="L23" i="16"/>
  <c r="M23" i="16" s="1"/>
  <c r="L8" i="16"/>
  <c r="M8" i="16" s="1"/>
  <c r="L16" i="16"/>
  <c r="M16" i="16" s="1"/>
  <c r="L24" i="16"/>
  <c r="M24" i="16" s="1"/>
  <c r="L11" i="16"/>
  <c r="M11" i="16" s="1"/>
  <c r="L9" i="16"/>
  <c r="M9" i="16" s="1"/>
  <c r="L17" i="16"/>
  <c r="M17" i="16" s="1"/>
  <c r="L25" i="16"/>
  <c r="M25" i="16" s="1"/>
  <c r="L27" i="16"/>
  <c r="M27" i="16" s="1"/>
  <c r="L10" i="16"/>
  <c r="M10" i="16" s="1"/>
  <c r="L18" i="16"/>
  <c r="M18" i="16" s="1"/>
  <c r="L26" i="16"/>
  <c r="M26" i="16" s="1"/>
  <c r="L19" i="16"/>
  <c r="M19" i="16" s="1"/>
  <c r="L50" i="16"/>
  <c r="L216" i="16"/>
  <c r="L140" i="16"/>
  <c r="L202" i="16"/>
  <c r="L237" i="16"/>
  <c r="L249" i="16"/>
  <c r="L92" i="16"/>
  <c r="L164" i="16"/>
  <c r="L194" i="16"/>
  <c r="L84" i="16"/>
  <c r="L57" i="16"/>
  <c r="L215" i="16"/>
  <c r="L71" i="16"/>
  <c r="L126" i="16"/>
  <c r="L176" i="16"/>
  <c r="L236" i="16"/>
  <c r="L132" i="16"/>
  <c r="L56" i="16"/>
  <c r="L68" i="16"/>
  <c r="L93" i="16"/>
  <c r="L53" i="16"/>
  <c r="L251" i="16"/>
  <c r="L203" i="16"/>
  <c r="L163" i="16"/>
  <c r="L123" i="16"/>
  <c r="L67" i="16"/>
  <c r="L110" i="16"/>
  <c r="L66" i="16"/>
  <c r="L141" i="16"/>
  <c r="L250" i="16"/>
  <c r="L230" i="16"/>
  <c r="L64" i="16"/>
  <c r="L197" i="16"/>
  <c r="L254" i="16"/>
  <c r="L112" i="16"/>
  <c r="L201" i="16"/>
  <c r="L40" i="16"/>
  <c r="L149" i="16"/>
  <c r="L193" i="16"/>
  <c r="L52" i="16"/>
  <c r="L89" i="16"/>
  <c r="L49" i="16"/>
  <c r="L247" i="16"/>
  <c r="L199" i="16"/>
  <c r="L159" i="16"/>
  <c r="L107" i="16"/>
  <c r="L63" i="16"/>
  <c r="L106" i="16"/>
  <c r="L62" i="16"/>
  <c r="L80" i="16"/>
  <c r="L214" i="16"/>
  <c r="L206" i="16"/>
  <c r="L265" i="16"/>
  <c r="L234" i="16"/>
  <c r="L198" i="16"/>
  <c r="L184" i="16"/>
  <c r="L76" i="16"/>
  <c r="L245" i="16"/>
  <c r="L180" i="16"/>
  <c r="L85" i="16"/>
  <c r="L235" i="16"/>
  <c r="L155" i="16"/>
  <c r="L59" i="16"/>
  <c r="L46" i="16"/>
  <c r="L240" i="16"/>
  <c r="L208" i="16"/>
  <c r="L173" i="16"/>
  <c r="L185" i="16"/>
  <c r="L32" i="16"/>
  <c r="L178" i="16"/>
  <c r="L209" i="16"/>
  <c r="L60" i="16"/>
  <c r="L182" i="16"/>
  <c r="L232" i="16"/>
  <c r="L130" i="16"/>
  <c r="L174" i="16"/>
  <c r="L121" i="16"/>
  <c r="L81" i="16"/>
  <c r="L41" i="16"/>
  <c r="L231" i="16"/>
  <c r="L191" i="16"/>
  <c r="L151" i="16"/>
  <c r="L99" i="16"/>
  <c r="L43" i="16"/>
  <c r="L98" i="16"/>
  <c r="L42" i="16"/>
  <c r="L220" i="16"/>
  <c r="L212" i="16"/>
  <c r="L105" i="16"/>
  <c r="L255" i="16"/>
  <c r="L167" i="16"/>
  <c r="L127" i="16"/>
  <c r="L70" i="16"/>
  <c r="L192" i="16"/>
  <c r="L210" i="16"/>
  <c r="L260" i="16"/>
  <c r="L162" i="16"/>
  <c r="L224" i="16"/>
  <c r="L48" i="16"/>
  <c r="L222" i="16"/>
  <c r="L188" i="16"/>
  <c r="L136" i="16"/>
  <c r="L125" i="16"/>
  <c r="L45" i="16"/>
  <c r="L195" i="16"/>
  <c r="L103" i="16"/>
  <c r="L102" i="16"/>
  <c r="L189" i="16"/>
  <c r="L157" i="16"/>
  <c r="L170" i="16"/>
  <c r="L172" i="16"/>
  <c r="L28" i="16"/>
  <c r="L146" i="16"/>
  <c r="L196" i="16"/>
  <c r="L44" i="16"/>
  <c r="L137" i="16"/>
  <c r="L226" i="16"/>
  <c r="L108" i="16"/>
  <c r="L142" i="16"/>
  <c r="L117" i="16"/>
  <c r="L77" i="16"/>
  <c r="L29" i="16"/>
  <c r="L227" i="16"/>
  <c r="L187" i="16"/>
  <c r="L139" i="16"/>
  <c r="L95" i="16"/>
  <c r="L39" i="16"/>
  <c r="L94" i="16"/>
  <c r="L38" i="16"/>
  <c r="L72" i="16"/>
  <c r="L138" i="16"/>
  <c r="L256" i="16"/>
  <c r="L144" i="16"/>
  <c r="L166" i="16"/>
  <c r="L261" i="16"/>
  <c r="L133" i="16"/>
  <c r="L190" i="16"/>
  <c r="L150" i="16"/>
  <c r="L120" i="16"/>
  <c r="L213" i="16"/>
  <c r="L257" i="16"/>
  <c r="L128" i="16"/>
  <c r="L113" i="16"/>
  <c r="L73" i="16"/>
  <c r="L263" i="16"/>
  <c r="L223" i="16"/>
  <c r="L183" i="16"/>
  <c r="L135" i="16"/>
  <c r="L91" i="16"/>
  <c r="L35" i="16"/>
  <c r="L78" i="16"/>
  <c r="L34" i="16"/>
  <c r="L100" i="16"/>
  <c r="L253" i="16"/>
  <c r="L262" i="16"/>
  <c r="L153" i="16"/>
  <c r="L229" i="16"/>
  <c r="L124" i="16"/>
  <c r="L177" i="16"/>
  <c r="L233" i="16"/>
  <c r="L88" i="16"/>
  <c r="L200" i="16"/>
  <c r="L225" i="16"/>
  <c r="L96" i="16"/>
  <c r="L109" i="16"/>
  <c r="L61" i="16"/>
  <c r="L259" i="16"/>
  <c r="L219" i="16"/>
  <c r="L171" i="16"/>
  <c r="L131" i="16"/>
  <c r="L75" i="16"/>
  <c r="L31" i="16"/>
  <c r="L74" i="16"/>
  <c r="L30" i="16"/>
  <c r="L119" i="16"/>
  <c r="L87" i="16"/>
  <c r="L55" i="16"/>
  <c r="L122" i="16"/>
  <c r="L90" i="16"/>
  <c r="L58" i="16"/>
  <c r="L266" i="16"/>
  <c r="L186" i="16"/>
  <c r="L205" i="16"/>
  <c r="L116" i="16"/>
  <c r="L217" i="16"/>
  <c r="L134" i="16"/>
  <c r="L248" i="16"/>
  <c r="L165" i="16"/>
  <c r="L241" i="16"/>
  <c r="L158" i="16"/>
  <c r="L252" i="16"/>
  <c r="L169" i="16"/>
  <c r="L264" i="16"/>
  <c r="L181" i="16"/>
  <c r="L244" i="16"/>
  <c r="L161" i="16"/>
  <c r="L36" i="16"/>
  <c r="L101" i="16"/>
  <c r="L69" i="16"/>
  <c r="L37" i="16"/>
  <c r="L243" i="16"/>
  <c r="L211" i="16"/>
  <c r="L179" i="16"/>
  <c r="L147" i="16"/>
  <c r="L115" i="16"/>
  <c r="L83" i="16"/>
  <c r="L51" i="16"/>
  <c r="L118" i="16"/>
  <c r="L86" i="16"/>
  <c r="L54" i="16"/>
  <c r="L218" i="16"/>
  <c r="L160" i="16"/>
  <c r="L154" i="16"/>
  <c r="L221" i="16"/>
  <c r="L204" i="16"/>
  <c r="L104" i="16"/>
  <c r="L242" i="16"/>
  <c r="L152" i="16"/>
  <c r="L228" i="16"/>
  <c r="L145" i="16"/>
  <c r="L246" i="16"/>
  <c r="L156" i="16"/>
  <c r="L258" i="16"/>
  <c r="L168" i="16"/>
  <c r="L238" i="16"/>
  <c r="L148" i="16"/>
  <c r="L129" i="16"/>
  <c r="L97" i="16"/>
  <c r="L65" i="16"/>
  <c r="L33" i="16"/>
  <c r="L239" i="16"/>
  <c r="L207" i="16"/>
  <c r="L175" i="16"/>
  <c r="L143" i="16"/>
  <c r="L111" i="16"/>
  <c r="L79" i="16"/>
  <c r="L47" i="16"/>
  <c r="L114" i="16"/>
  <c r="L82" i="16"/>
  <c r="D116" i="15"/>
  <c r="D68" i="15"/>
  <c r="D87" i="14"/>
  <c r="AR8" i="4" s="1"/>
  <c r="E36" i="12"/>
  <c r="D48" i="11"/>
  <c r="D79" i="14"/>
  <c r="B80" i="14" s="1"/>
  <c r="D65" i="15"/>
  <c r="D37" i="15"/>
  <c r="E48" i="12" s="1"/>
  <c r="D83" i="14"/>
  <c r="D61" i="11"/>
  <c r="D52" i="15"/>
  <c r="M14" i="9"/>
  <c r="U14" i="9"/>
  <c r="AJ14" i="9"/>
  <c r="E14" i="9"/>
  <c r="G14" i="9"/>
  <c r="V14" i="9"/>
  <c r="Y14" i="9"/>
  <c r="AD14" i="9"/>
  <c r="AF14" i="9"/>
  <c r="P14" i="9"/>
  <c r="AA14" i="9"/>
  <c r="AC14" i="9"/>
  <c r="I14" i="9"/>
  <c r="D14" i="9"/>
  <c r="AI14" i="9"/>
  <c r="AK14" i="9"/>
  <c r="Q14" i="9"/>
  <c r="L14" i="9"/>
  <c r="S14" i="9"/>
  <c r="AL14" i="9"/>
  <c r="C14" i="9"/>
  <c r="C6" i="9"/>
  <c r="J6" i="9"/>
  <c r="W6" i="9"/>
  <c r="AE6" i="9"/>
  <c r="AM6" i="9"/>
  <c r="K6" i="9"/>
  <c r="X6" i="9"/>
  <c r="AF6" i="9"/>
  <c r="D6" i="9"/>
  <c r="L6" i="9"/>
  <c r="Y6" i="9"/>
  <c r="AG6" i="9"/>
  <c r="O6" i="9"/>
  <c r="T6" i="9"/>
  <c r="AJ6" i="9"/>
  <c r="E6" i="9"/>
  <c r="M6" i="9"/>
  <c r="R6" i="9"/>
  <c r="Z6" i="9"/>
  <c r="AH6" i="9"/>
  <c r="F6" i="9"/>
  <c r="N6" i="9"/>
  <c r="S6" i="9"/>
  <c r="AA6" i="9"/>
  <c r="AI6" i="9"/>
  <c r="AK6" i="9"/>
  <c r="H6" i="9"/>
  <c r="P6" i="9"/>
  <c r="U6" i="9"/>
  <c r="AC6" i="9"/>
  <c r="I6" i="9"/>
  <c r="Q6" i="9"/>
  <c r="V6" i="9"/>
  <c r="AD6" i="9"/>
  <c r="AL6" i="9"/>
  <c r="G6" i="9"/>
  <c r="AB6" i="9"/>
  <c r="T14" i="9"/>
  <c r="J14" i="9"/>
  <c r="W14" i="9"/>
  <c r="R14" i="9"/>
  <c r="AB14" i="9"/>
  <c r="X14" i="9"/>
  <c r="AE14" i="9"/>
  <c r="I10" i="9"/>
  <c r="Q10" i="9"/>
  <c r="U10" i="9"/>
  <c r="AC10" i="9"/>
  <c r="AK10" i="9"/>
  <c r="J10" i="9"/>
  <c r="V10" i="9"/>
  <c r="AD10" i="9"/>
  <c r="AL10" i="9"/>
  <c r="AA10" i="9"/>
  <c r="C10" i="9"/>
  <c r="K10" i="9"/>
  <c r="W10" i="9"/>
  <c r="AE10" i="9"/>
  <c r="AM10" i="9"/>
  <c r="N10" i="9"/>
  <c r="R10" i="9"/>
  <c r="AH10" i="9"/>
  <c r="S10" i="9"/>
  <c r="D10" i="9"/>
  <c r="L10" i="9"/>
  <c r="X10" i="9"/>
  <c r="AF10" i="9"/>
  <c r="E10" i="9"/>
  <c r="M10" i="9"/>
  <c r="F14" i="9"/>
  <c r="Y10" i="9"/>
  <c r="AG10" i="9"/>
  <c r="C23" i="9"/>
  <c r="G10" i="9"/>
  <c r="O10" i="9"/>
  <c r="N14" i="9"/>
  <c r="AI10" i="9"/>
  <c r="H10" i="9"/>
  <c r="P10" i="9"/>
  <c r="T10" i="9"/>
  <c r="AB10" i="9"/>
  <c r="AJ10" i="9"/>
  <c r="F10" i="9"/>
  <c r="K14" i="9"/>
  <c r="Z10" i="9"/>
  <c r="O14" i="9"/>
  <c r="AG14" i="9"/>
  <c r="H5" i="9"/>
  <c r="P5" i="9"/>
  <c r="U5" i="9"/>
  <c r="AC5" i="9"/>
  <c r="AK5" i="9"/>
  <c r="C5" i="9"/>
  <c r="I5" i="9"/>
  <c r="Q5" i="9"/>
  <c r="V5" i="9"/>
  <c r="AD5" i="9"/>
  <c r="AL5" i="9"/>
  <c r="D5" i="9"/>
  <c r="J5" i="9"/>
  <c r="W5" i="9"/>
  <c r="AE5" i="9"/>
  <c r="AM5" i="9"/>
  <c r="E5" i="9"/>
  <c r="M5" i="9"/>
  <c r="Z5" i="9"/>
  <c r="Z15" i="9" s="1"/>
  <c r="K5" i="9"/>
  <c r="X5" i="9"/>
  <c r="AF5" i="9"/>
  <c r="L5" i="9"/>
  <c r="Y5" i="9"/>
  <c r="AG5" i="9"/>
  <c r="C17" i="9"/>
  <c r="F5" i="9"/>
  <c r="N5" i="9"/>
  <c r="S5" i="9"/>
  <c r="AA5" i="9"/>
  <c r="AI5" i="9"/>
  <c r="G5" i="9"/>
  <c r="O5" i="9"/>
  <c r="T5" i="9"/>
  <c r="AB5" i="9"/>
  <c r="AJ5" i="9"/>
  <c r="R5" i="9"/>
  <c r="AH5" i="9"/>
  <c r="H14" i="9"/>
  <c r="AM14" i="9"/>
  <c r="AH14" i="9"/>
  <c r="D67" i="11"/>
  <c r="D102" i="11"/>
  <c r="D108" i="11" s="1"/>
  <c r="D64" i="11"/>
  <c r="D65" i="11" s="1"/>
  <c r="G36" i="12" l="1"/>
  <c r="G35" i="12" a="1"/>
  <c r="G35" i="12" s="1"/>
  <c r="G48" i="12"/>
  <c r="AM15" i="9"/>
  <c r="S8" i="4"/>
  <c r="Z8" i="4"/>
  <c r="BG8" i="4"/>
  <c r="AW8" i="4"/>
  <c r="X8" i="4"/>
  <c r="AF8" i="4"/>
  <c r="BY8" i="4"/>
  <c r="M8" i="4"/>
  <c r="AT8" i="4"/>
  <c r="AJ8" i="4"/>
  <c r="CB8" i="4"/>
  <c r="CD8" i="4"/>
  <c r="R8" i="4"/>
  <c r="AQ8" i="4"/>
  <c r="AO8" i="4"/>
  <c r="AE8" i="4"/>
  <c r="BS8" i="4"/>
  <c r="BQ8" i="4"/>
  <c r="E8" i="4"/>
  <c r="AD8" i="4"/>
  <c r="AB8" i="4"/>
  <c r="D89" i="14"/>
  <c r="J8" i="4"/>
  <c r="AA8" i="4"/>
  <c r="AG8" i="4"/>
  <c r="C8" i="4"/>
  <c r="AM8" i="4"/>
  <c r="BI8" i="4"/>
  <c r="AV8" i="4"/>
  <c r="CF8" i="4"/>
  <c r="T8" i="4"/>
  <c r="BC8" i="4"/>
  <c r="BN8" i="4"/>
  <c r="BL8" i="4"/>
  <c r="K8" i="4"/>
  <c r="Y8" i="4"/>
  <c r="BJ8" i="4"/>
  <c r="G8" i="4"/>
  <c r="BA8" i="4"/>
  <c r="P8" i="4"/>
  <c r="BX8" i="4"/>
  <c r="L8" i="4"/>
  <c r="CE8" i="4"/>
  <c r="BF8" i="4"/>
  <c r="AN8" i="4"/>
  <c r="CC8" i="4"/>
  <c r="Q8" i="4"/>
  <c r="AL8" i="4"/>
  <c r="BZ8" i="4"/>
  <c r="AS8" i="4"/>
  <c r="BK8" i="4"/>
  <c r="BP8" i="4"/>
  <c r="D8" i="4"/>
  <c r="AK8" i="4"/>
  <c r="BV8" i="4"/>
  <c r="BO8" i="4"/>
  <c r="CA8" i="4"/>
  <c r="I8" i="4"/>
  <c r="N8" i="4"/>
  <c r="BB8" i="4"/>
  <c r="BH8" i="4"/>
  <c r="AY8" i="4"/>
  <c r="AP8" i="4"/>
  <c r="AU8" i="4"/>
  <c r="BM8" i="4"/>
  <c r="H8" i="4"/>
  <c r="F8" i="4"/>
  <c r="V8" i="4"/>
  <c r="AC8" i="4"/>
  <c r="O8" i="4"/>
  <c r="AZ8" i="4"/>
  <c r="AX8" i="4"/>
  <c r="BU8" i="4"/>
  <c r="W8" i="4"/>
  <c r="AI8" i="4"/>
  <c r="AH8" i="4"/>
  <c r="BW8" i="4"/>
  <c r="BE8" i="4"/>
  <c r="BD8" i="4"/>
  <c r="BT8" i="4"/>
  <c r="CG8" i="4"/>
  <c r="U8" i="4"/>
  <c r="BR8" i="4"/>
  <c r="D78" i="11"/>
  <c r="D86" i="11" s="1"/>
  <c r="H15" i="9"/>
  <c r="AH15" i="9"/>
  <c r="W15" i="9"/>
  <c r="D15" i="9"/>
  <c r="V15" i="9"/>
  <c r="C15" i="9"/>
  <c r="G15" i="9"/>
  <c r="F15" i="9"/>
  <c r="AA15" i="9"/>
  <c r="K15" i="9"/>
  <c r="N15" i="9"/>
  <c r="AE15" i="9"/>
  <c r="Q15" i="9"/>
  <c r="AF15" i="9"/>
  <c r="M15" i="9"/>
  <c r="F11" i="9"/>
  <c r="F12" i="9"/>
  <c r="F13" i="9"/>
  <c r="O11" i="9"/>
  <c r="O13" i="9"/>
  <c r="O12" i="9"/>
  <c r="AF12" i="9"/>
  <c r="AF13" i="9"/>
  <c r="AF11" i="9"/>
  <c r="AM11" i="9"/>
  <c r="AM12" i="9"/>
  <c r="AM13" i="9"/>
  <c r="V12" i="9"/>
  <c r="V11" i="9"/>
  <c r="V13" i="9"/>
  <c r="X15" i="9"/>
  <c r="AK15" i="9"/>
  <c r="AD15" i="9"/>
  <c r="AJ11" i="9"/>
  <c r="AJ13" i="9"/>
  <c r="AJ12" i="9"/>
  <c r="G11" i="9"/>
  <c r="G12" i="9"/>
  <c r="G13" i="9"/>
  <c r="X11" i="9"/>
  <c r="X12" i="9"/>
  <c r="X13" i="9"/>
  <c r="AE11" i="9"/>
  <c r="AE13" i="9"/>
  <c r="AE12" i="9"/>
  <c r="J11" i="9"/>
  <c r="J13" i="9"/>
  <c r="J12" i="9"/>
  <c r="AB15" i="9"/>
  <c r="AI15" i="9"/>
  <c r="Y15" i="9"/>
  <c r="AB13" i="9"/>
  <c r="AB11" i="9"/>
  <c r="AB12" i="9"/>
  <c r="L11" i="9"/>
  <c r="L13" i="9"/>
  <c r="L12" i="9"/>
  <c r="R15" i="9"/>
  <c r="T12" i="9"/>
  <c r="T11" i="9"/>
  <c r="T13" i="9"/>
  <c r="AG13" i="9"/>
  <c r="AG12" i="9"/>
  <c r="AG11" i="9"/>
  <c r="D11" i="9"/>
  <c r="D13" i="9"/>
  <c r="D12" i="9"/>
  <c r="K13" i="9"/>
  <c r="K12" i="9"/>
  <c r="K11" i="9"/>
  <c r="AC12" i="9"/>
  <c r="AC11" i="9"/>
  <c r="AC13" i="9"/>
  <c r="I15" i="9"/>
  <c r="AG15" i="9"/>
  <c r="P13" i="9"/>
  <c r="P12" i="9"/>
  <c r="P11" i="9"/>
  <c r="Y13" i="9"/>
  <c r="Y11" i="9"/>
  <c r="Y12" i="9"/>
  <c r="S13" i="9"/>
  <c r="S12" i="9"/>
  <c r="S11" i="9"/>
  <c r="C11" i="9"/>
  <c r="C12" i="9"/>
  <c r="C13" i="9"/>
  <c r="U12" i="9"/>
  <c r="U11" i="9"/>
  <c r="U13" i="9"/>
  <c r="J15" i="9"/>
  <c r="AL15" i="9"/>
  <c r="AC15" i="9"/>
  <c r="E15" i="9"/>
  <c r="AD12" i="9"/>
  <c r="AD11" i="9"/>
  <c r="AD13" i="9"/>
  <c r="N12" i="9"/>
  <c r="N11" i="9"/>
  <c r="N13" i="9"/>
  <c r="W13" i="9"/>
  <c r="W12" i="9"/>
  <c r="W11" i="9"/>
  <c r="AK12" i="9"/>
  <c r="AK11" i="9"/>
  <c r="AK13" i="9"/>
  <c r="O15" i="9"/>
  <c r="H13" i="9"/>
  <c r="H12" i="9"/>
  <c r="H11" i="9"/>
  <c r="AH11" i="9"/>
  <c r="AH12" i="9"/>
  <c r="AH13" i="9"/>
  <c r="AA11" i="9"/>
  <c r="AA12" i="9"/>
  <c r="AA13" i="9"/>
  <c r="Q12" i="9"/>
  <c r="Q13" i="9"/>
  <c r="Q11" i="9"/>
  <c r="T15" i="9"/>
  <c r="S15" i="9"/>
  <c r="AJ15" i="9"/>
  <c r="Z11" i="9"/>
  <c r="Z12" i="9"/>
  <c r="Z13" i="9"/>
  <c r="AI13" i="9"/>
  <c r="AI12" i="9"/>
  <c r="AI11" i="9"/>
  <c r="M11" i="9"/>
  <c r="M13" i="9"/>
  <c r="M12" i="9"/>
  <c r="R11" i="9"/>
  <c r="R13" i="9"/>
  <c r="R12" i="9"/>
  <c r="AL12" i="9"/>
  <c r="AL11" i="9"/>
  <c r="AL13" i="9"/>
  <c r="I12" i="9"/>
  <c r="I13" i="9"/>
  <c r="I11" i="9"/>
  <c r="L15" i="9"/>
  <c r="P15" i="9"/>
  <c r="U15" i="9"/>
  <c r="E11" i="9"/>
  <c r="E12" i="9"/>
  <c r="E13" i="9"/>
  <c r="D8" i="3"/>
  <c r="D12" i="3" s="1"/>
  <c r="CJ139" i="4"/>
  <c r="CJ141" i="4"/>
  <c r="CK141" i="4" s="1"/>
  <c r="CI153" i="4" s="1"/>
  <c r="CJ143" i="4"/>
  <c r="CK143" i="4" s="1"/>
  <c r="E49" i="9"/>
  <c r="D49" i="9"/>
  <c r="C49" i="9"/>
  <c r="BF174" i="4"/>
  <c r="BC189" i="4" s="1"/>
  <c r="BF175" i="4"/>
  <c r="BF176" i="4"/>
  <c r="BC185" i="4" s="1"/>
  <c r="BF177" i="4"/>
  <c r="BC192" i="4" s="1"/>
  <c r="BF178" i="4"/>
  <c r="BC187" i="4" s="1"/>
  <c r="BF173" i="4"/>
  <c r="BE174" i="4"/>
  <c r="BE175" i="4"/>
  <c r="BE176" i="4"/>
  <c r="BE177" i="4"/>
  <c r="BE178" i="4"/>
  <c r="BE173" i="4"/>
  <c r="BE194" i="4"/>
  <c r="BE193" i="4"/>
  <c r="BC193" i="4"/>
  <c r="BE192" i="4"/>
  <c r="BE191" i="4"/>
  <c r="BE190" i="4"/>
  <c r="BE189" i="4"/>
  <c r="BE188" i="4"/>
  <c r="BE187" i="4"/>
  <c r="BE186" i="4"/>
  <c r="BE185" i="4"/>
  <c r="BE184" i="4"/>
  <c r="BE183" i="4"/>
  <c r="BC183" i="4"/>
  <c r="BE182" i="4"/>
  <c r="BC190" i="4"/>
  <c r="BC188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CA11" i="4"/>
  <c r="CB11" i="4"/>
  <c r="CC11" i="4"/>
  <c r="CD11" i="4"/>
  <c r="CE11" i="4"/>
  <c r="CF11" i="4"/>
  <c r="CG11" i="4"/>
  <c r="C11" i="4"/>
  <c r="BC218" i="4"/>
  <c r="BE206" i="4"/>
  <c r="BE207" i="4"/>
  <c r="BE208" i="4"/>
  <c r="BE209" i="4"/>
  <c r="BE210" i="4"/>
  <c r="BE211" i="4"/>
  <c r="BE212" i="4"/>
  <c r="BE213" i="4"/>
  <c r="BE214" i="4"/>
  <c r="BE215" i="4"/>
  <c r="BE216" i="4"/>
  <c r="BE217" i="4"/>
  <c r="BE218" i="4"/>
  <c r="BE169" i="4"/>
  <c r="BE168" i="4"/>
  <c r="BE167" i="4"/>
  <c r="BE166" i="4"/>
  <c r="BE165" i="4"/>
  <c r="BE164" i="4"/>
  <c r="BE163" i="4"/>
  <c r="BE162" i="4"/>
  <c r="BE161" i="4"/>
  <c r="BE160" i="4"/>
  <c r="BE159" i="4"/>
  <c r="BE158" i="4"/>
  <c r="BE198" i="4"/>
  <c r="BE199" i="4"/>
  <c r="BE200" i="4"/>
  <c r="BE201" i="4"/>
  <c r="BE202" i="4"/>
  <c r="BE197" i="4"/>
  <c r="BE150" i="4"/>
  <c r="BE151" i="4"/>
  <c r="BE152" i="4"/>
  <c r="BE153" i="4"/>
  <c r="BE154" i="4"/>
  <c r="BE149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Z38" i="4"/>
  <c r="BA38" i="4"/>
  <c r="BB38" i="4"/>
  <c r="BC38" i="4"/>
  <c r="BD38" i="4"/>
  <c r="BE38" i="4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BY38" i="4"/>
  <c r="BZ38" i="4"/>
  <c r="CA38" i="4"/>
  <c r="CB38" i="4"/>
  <c r="CC38" i="4"/>
  <c r="CD38" i="4"/>
  <c r="CE38" i="4"/>
  <c r="CF38" i="4"/>
  <c r="CG38" i="4"/>
  <c r="C38" i="4"/>
  <c r="BF202" i="4" s="1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BY34" i="4"/>
  <c r="BZ34" i="4"/>
  <c r="CA34" i="4"/>
  <c r="CB34" i="4"/>
  <c r="CC34" i="4"/>
  <c r="CD34" i="4"/>
  <c r="CE34" i="4"/>
  <c r="CF34" i="4"/>
  <c r="CG34" i="4"/>
  <c r="C34" i="4"/>
  <c r="BF198" i="4" s="1"/>
  <c r="BC213" i="4" s="1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Z37" i="4"/>
  <c r="BA37" i="4"/>
  <c r="BB37" i="4"/>
  <c r="BC37" i="4"/>
  <c r="BD37" i="4"/>
  <c r="BE37" i="4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BY37" i="4"/>
  <c r="BZ37" i="4"/>
  <c r="CA37" i="4"/>
  <c r="CB37" i="4"/>
  <c r="CC37" i="4"/>
  <c r="CD37" i="4"/>
  <c r="CE37" i="4"/>
  <c r="CF37" i="4"/>
  <c r="CG37" i="4"/>
  <c r="C37" i="4"/>
  <c r="BF153" i="4" s="1"/>
  <c r="BC168" i="4" s="1"/>
  <c r="C36" i="4"/>
  <c r="BF200" i="4" s="1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Z36" i="4"/>
  <c r="BA36" i="4"/>
  <c r="BB36" i="4"/>
  <c r="BC36" i="4"/>
  <c r="BD36" i="4"/>
  <c r="BE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BY36" i="4"/>
  <c r="BZ36" i="4"/>
  <c r="CA36" i="4"/>
  <c r="CB36" i="4"/>
  <c r="CC36" i="4"/>
  <c r="CD36" i="4"/>
  <c r="CE36" i="4"/>
  <c r="CF36" i="4"/>
  <c r="CG36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Z35" i="4"/>
  <c r="BA35" i="4"/>
  <c r="BB35" i="4"/>
  <c r="BC35" i="4"/>
  <c r="BD35" i="4"/>
  <c r="BE35" i="4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BY35" i="4"/>
  <c r="BZ35" i="4"/>
  <c r="CA35" i="4"/>
  <c r="CB35" i="4"/>
  <c r="CC35" i="4"/>
  <c r="CD35" i="4"/>
  <c r="CE35" i="4"/>
  <c r="CF35" i="4"/>
  <c r="CG35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BY33" i="4"/>
  <c r="BZ33" i="4"/>
  <c r="CA33" i="4"/>
  <c r="CB33" i="4"/>
  <c r="CC33" i="4"/>
  <c r="CD33" i="4"/>
  <c r="CE33" i="4"/>
  <c r="CF33" i="4"/>
  <c r="CG33" i="4"/>
  <c r="C35" i="4"/>
  <c r="BF151" i="4" s="1"/>
  <c r="C33" i="4"/>
  <c r="BF149" i="4" s="1"/>
  <c r="E36" i="9"/>
  <c r="D36" i="9"/>
  <c r="C36" i="9"/>
  <c r="E23" i="9"/>
  <c r="D23" i="9"/>
  <c r="E9" i="2"/>
  <c r="BE170" i="4"/>
  <c r="CI150" i="4"/>
  <c r="CI152" i="4"/>
  <c r="D9" i="2" l="1"/>
  <c r="D91" i="11"/>
  <c r="D88" i="11"/>
  <c r="D89" i="11" s="1"/>
  <c r="D87" i="11"/>
  <c r="D79" i="11"/>
  <c r="D83" i="11" s="1"/>
  <c r="BC191" i="4"/>
  <c r="BC182" i="4"/>
  <c r="BC184" i="4"/>
  <c r="BC186" i="4"/>
  <c r="BF201" i="4"/>
  <c r="BC210" i="4" s="1"/>
  <c r="BF150" i="4"/>
  <c r="BC165" i="4" s="1"/>
  <c r="BF199" i="4"/>
  <c r="BC208" i="4" s="1"/>
  <c r="BF152" i="4"/>
  <c r="BC161" i="4" s="1"/>
  <c r="BC158" i="4"/>
  <c r="BC164" i="4"/>
  <c r="BC215" i="4"/>
  <c r="BC209" i="4"/>
  <c r="BC166" i="4"/>
  <c r="BC160" i="4"/>
  <c r="BC217" i="4"/>
  <c r="BC211" i="4"/>
  <c r="BC162" i="4"/>
  <c r="BC216" i="4"/>
  <c r="BC207" i="4"/>
  <c r="BF154" i="4"/>
  <c r="BC159" i="4"/>
  <c r="BF197" i="4"/>
  <c r="CI154" i="4"/>
  <c r="CI151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CA5" i="4"/>
  <c r="CB5" i="4"/>
  <c r="CC5" i="4"/>
  <c r="CD5" i="4"/>
  <c r="CE5" i="4"/>
  <c r="CF5" i="4"/>
  <c r="CG5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CA6" i="4"/>
  <c r="CB6" i="4"/>
  <c r="CC6" i="4"/>
  <c r="CD6" i="4"/>
  <c r="CE6" i="4"/>
  <c r="CF6" i="4"/>
  <c r="CG6" i="4"/>
  <c r="BN12" i="4"/>
  <c r="BN15" i="4" s="1"/>
  <c r="BO12" i="4"/>
  <c r="BO15" i="4" s="1"/>
  <c r="BP12" i="4"/>
  <c r="BP15" i="4" s="1"/>
  <c r="BQ12" i="4"/>
  <c r="BQ15" i="4" s="1"/>
  <c r="BR12" i="4"/>
  <c r="BR15" i="4" s="1"/>
  <c r="BS12" i="4"/>
  <c r="BS15" i="4" s="1"/>
  <c r="BT12" i="4"/>
  <c r="BT15" i="4" s="1"/>
  <c r="BU12" i="4"/>
  <c r="BU15" i="4" s="1"/>
  <c r="BV12" i="4"/>
  <c r="BV15" i="4" s="1"/>
  <c r="BW12" i="4"/>
  <c r="BW15" i="4" s="1"/>
  <c r="BX12" i="4"/>
  <c r="BX15" i="4" s="1"/>
  <c r="BY12" i="4"/>
  <c r="BY15" i="4" s="1"/>
  <c r="BZ12" i="4"/>
  <c r="BZ15" i="4" s="1"/>
  <c r="CA12" i="4"/>
  <c r="CA15" i="4" s="1"/>
  <c r="CB12" i="4"/>
  <c r="CB15" i="4" s="1"/>
  <c r="CC12" i="4"/>
  <c r="CC15" i="4" s="1"/>
  <c r="CD12" i="4"/>
  <c r="CD15" i="4" s="1"/>
  <c r="CE12" i="4"/>
  <c r="CE15" i="4" s="1"/>
  <c r="CF12" i="4"/>
  <c r="CF15" i="4" s="1"/>
  <c r="CG12" i="4"/>
  <c r="CG15" i="4" s="1"/>
  <c r="BM5" i="4"/>
  <c r="BM6" i="4"/>
  <c r="BM12" i="4"/>
  <c r="BM15" i="4" s="1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AR12" i="4"/>
  <c r="AR15" i="4" s="1"/>
  <c r="AS12" i="4"/>
  <c r="AS15" i="4" s="1"/>
  <c r="AT12" i="4"/>
  <c r="AT15" i="4" s="1"/>
  <c r="AU12" i="4"/>
  <c r="AU15" i="4" s="1"/>
  <c r="AV12" i="4"/>
  <c r="AV15" i="4" s="1"/>
  <c r="AW12" i="4"/>
  <c r="AW15" i="4" s="1"/>
  <c r="AX12" i="4"/>
  <c r="AX15" i="4" s="1"/>
  <c r="AY12" i="4"/>
  <c r="AY15" i="4" s="1"/>
  <c r="AZ12" i="4"/>
  <c r="AZ15" i="4" s="1"/>
  <c r="BA12" i="4"/>
  <c r="BA15" i="4" s="1"/>
  <c r="BB12" i="4"/>
  <c r="BB15" i="4" s="1"/>
  <c r="BC12" i="4"/>
  <c r="BC15" i="4" s="1"/>
  <c r="BD12" i="4"/>
  <c r="BD15" i="4" s="1"/>
  <c r="BE12" i="4"/>
  <c r="BE15" i="4" s="1"/>
  <c r="BF12" i="4"/>
  <c r="BF15" i="4" s="1"/>
  <c r="BG12" i="4"/>
  <c r="BG15" i="4" s="1"/>
  <c r="BH12" i="4"/>
  <c r="BH15" i="4" s="1"/>
  <c r="BI12" i="4"/>
  <c r="BI15" i="4" s="1"/>
  <c r="BJ12" i="4"/>
  <c r="BJ15" i="4" s="1"/>
  <c r="BK12" i="4"/>
  <c r="BK15" i="4" s="1"/>
  <c r="BL12" i="4"/>
  <c r="BL15" i="4" s="1"/>
  <c r="AP5" i="4"/>
  <c r="AQ5" i="4"/>
  <c r="AP6" i="4"/>
  <c r="AQ6" i="4"/>
  <c r="AP12" i="4"/>
  <c r="AP15" i="4" s="1"/>
  <c r="AQ12" i="4"/>
  <c r="AQ15" i="4" s="1"/>
  <c r="AN5" i="4"/>
  <c r="AO5" i="4"/>
  <c r="AN6" i="4"/>
  <c r="AO6" i="4"/>
  <c r="AN12" i="4"/>
  <c r="AN15" i="4" s="1"/>
  <c r="AO12" i="4"/>
  <c r="AO15" i="4" s="1"/>
  <c r="AI5" i="4"/>
  <c r="AJ5" i="4"/>
  <c r="AK5" i="4"/>
  <c r="AL5" i="4"/>
  <c r="AM5" i="4"/>
  <c r="AI6" i="4"/>
  <c r="AJ6" i="4"/>
  <c r="AK6" i="4"/>
  <c r="AL6" i="4"/>
  <c r="AM6" i="4"/>
  <c r="AI12" i="4"/>
  <c r="AI15" i="4" s="1"/>
  <c r="AJ12" i="4"/>
  <c r="AJ15" i="4" s="1"/>
  <c r="AK12" i="4"/>
  <c r="AK15" i="4" s="1"/>
  <c r="AL12" i="4"/>
  <c r="AL15" i="4" s="1"/>
  <c r="AM12" i="4"/>
  <c r="AM15" i="4" s="1"/>
  <c r="D12" i="4"/>
  <c r="D15" i="4" s="1"/>
  <c r="E12" i="4"/>
  <c r="E15" i="4" s="1"/>
  <c r="F12" i="4"/>
  <c r="F15" i="4" s="1"/>
  <c r="G12" i="4"/>
  <c r="G15" i="4" s="1"/>
  <c r="H12" i="4"/>
  <c r="H15" i="4" s="1"/>
  <c r="I12" i="4"/>
  <c r="I15" i="4" s="1"/>
  <c r="J12" i="4"/>
  <c r="J15" i="4" s="1"/>
  <c r="K12" i="4"/>
  <c r="K15" i="4" s="1"/>
  <c r="L12" i="4"/>
  <c r="L15" i="4" s="1"/>
  <c r="M12" i="4"/>
  <c r="M15" i="4" s="1"/>
  <c r="N12" i="4"/>
  <c r="N15" i="4" s="1"/>
  <c r="O12" i="4"/>
  <c r="O15" i="4" s="1"/>
  <c r="P12" i="4"/>
  <c r="P15" i="4" s="1"/>
  <c r="Q12" i="4"/>
  <c r="Q15" i="4" s="1"/>
  <c r="R12" i="4"/>
  <c r="R15" i="4" s="1"/>
  <c r="S12" i="4"/>
  <c r="S15" i="4" s="1"/>
  <c r="T12" i="4"/>
  <c r="T15" i="4" s="1"/>
  <c r="U12" i="4"/>
  <c r="U15" i="4" s="1"/>
  <c r="V12" i="4"/>
  <c r="V15" i="4" s="1"/>
  <c r="W12" i="4"/>
  <c r="W15" i="4" s="1"/>
  <c r="X12" i="4"/>
  <c r="X15" i="4" s="1"/>
  <c r="Y12" i="4"/>
  <c r="Y15" i="4" s="1"/>
  <c r="Z12" i="4"/>
  <c r="Z15" i="4" s="1"/>
  <c r="AA12" i="4"/>
  <c r="AA15" i="4" s="1"/>
  <c r="AB12" i="4"/>
  <c r="AB15" i="4" s="1"/>
  <c r="AC12" i="4"/>
  <c r="AC15" i="4" s="1"/>
  <c r="AD12" i="4"/>
  <c r="AD15" i="4" s="1"/>
  <c r="AE12" i="4"/>
  <c r="AE15" i="4" s="1"/>
  <c r="AF12" i="4"/>
  <c r="AF15" i="4" s="1"/>
  <c r="AG12" i="4"/>
  <c r="AG15" i="4" s="1"/>
  <c r="AH12" i="4"/>
  <c r="AH15" i="4" s="1"/>
  <c r="C12" i="4"/>
  <c r="C15" i="4" s="1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C6" i="4"/>
  <c r="D5" i="4"/>
  <c r="E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C5" i="4"/>
  <c r="E29" i="2"/>
  <c r="E28" i="2"/>
  <c r="E26" i="2"/>
  <c r="E20" i="2"/>
  <c r="E19" i="2"/>
  <c r="E18" i="2"/>
  <c r="E16" i="2"/>
  <c r="E14" i="2"/>
  <c r="E13" i="2"/>
  <c r="E12" i="2"/>
  <c r="E11" i="2"/>
  <c r="E10" i="2"/>
  <c r="E42" i="2"/>
  <c r="E54" i="2"/>
  <c r="E51" i="2"/>
  <c r="E50" i="2"/>
  <c r="D31" i="2"/>
  <c r="D9" i="3"/>
  <c r="D13" i="3" s="1"/>
  <c r="D7" i="3"/>
  <c r="D13" i="10" s="1"/>
  <c r="D31" i="10" s="1"/>
  <c r="D32" i="10" s="1"/>
  <c r="D21" i="10" l="1"/>
  <c r="W10" i="16" s="1"/>
  <c r="W12" i="16" s="1"/>
  <c r="C19" i="4"/>
  <c r="C22" i="4"/>
  <c r="BC214" i="4"/>
  <c r="BC167" i="4"/>
  <c r="BC163" i="4"/>
  <c r="BC169" i="4"/>
  <c r="BC206" i="4"/>
  <c r="BC212" i="4"/>
  <c r="AY13" i="4"/>
  <c r="AY14" i="4"/>
  <c r="AG19" i="4"/>
  <c r="AG14" i="4"/>
  <c r="AG13" i="4"/>
  <c r="Y19" i="4"/>
  <c r="Y14" i="4"/>
  <c r="Y21" i="4" s="1"/>
  <c r="Y13" i="4"/>
  <c r="Q19" i="4"/>
  <c r="Q14" i="4"/>
  <c r="Q13" i="4"/>
  <c r="Q20" i="4" s="1"/>
  <c r="I19" i="4"/>
  <c r="I13" i="4"/>
  <c r="I20" i="4" s="1"/>
  <c r="I14" i="4"/>
  <c r="AN14" i="4"/>
  <c r="AN13" i="4"/>
  <c r="BF13" i="4"/>
  <c r="BF14" i="4"/>
  <c r="AX13" i="4"/>
  <c r="AX14" i="4"/>
  <c r="BZ14" i="4"/>
  <c r="BZ13" i="4"/>
  <c r="BR14" i="4"/>
  <c r="BR13" i="4"/>
  <c r="J19" i="4"/>
  <c r="J13" i="4"/>
  <c r="J20" i="4" s="1"/>
  <c r="J14" i="4"/>
  <c r="J21" i="4" s="1"/>
  <c r="BG13" i="4"/>
  <c r="BG14" i="4"/>
  <c r="CA14" i="4"/>
  <c r="CA13" i="4"/>
  <c r="BS14" i="4"/>
  <c r="BS13" i="4"/>
  <c r="AF19" i="4"/>
  <c r="AF14" i="4"/>
  <c r="AF13" i="4"/>
  <c r="X19" i="4"/>
  <c r="X14" i="4"/>
  <c r="X13" i="4"/>
  <c r="P19" i="4"/>
  <c r="P13" i="4"/>
  <c r="P20" i="4" s="1"/>
  <c r="P14" i="4"/>
  <c r="H19" i="4"/>
  <c r="H13" i="4"/>
  <c r="H14" i="4"/>
  <c r="AM14" i="4"/>
  <c r="AM13" i="4"/>
  <c r="BE14" i="4"/>
  <c r="BE13" i="4"/>
  <c r="AW14" i="4"/>
  <c r="AW13" i="4"/>
  <c r="CG13" i="4"/>
  <c r="CG14" i="4"/>
  <c r="BY13" i="4"/>
  <c r="BY14" i="4"/>
  <c r="BQ13" i="4"/>
  <c r="BQ14" i="4"/>
  <c r="Z19" i="4"/>
  <c r="Z13" i="4"/>
  <c r="Z14" i="4"/>
  <c r="AD19" i="4"/>
  <c r="AD14" i="4"/>
  <c r="AD13" i="4"/>
  <c r="V19" i="4"/>
  <c r="V14" i="4"/>
  <c r="V13" i="4"/>
  <c r="V22" i="4"/>
  <c r="N19" i="4"/>
  <c r="N14" i="4"/>
  <c r="N13" i="4"/>
  <c r="F19" i="4"/>
  <c r="F13" i="4"/>
  <c r="F14" i="4"/>
  <c r="AK13" i="4"/>
  <c r="AK14" i="4"/>
  <c r="AQ13" i="4"/>
  <c r="AQ14" i="4"/>
  <c r="BK14" i="4"/>
  <c r="BK13" i="4"/>
  <c r="BC14" i="4"/>
  <c r="BC13" i="4"/>
  <c r="AU14" i="4"/>
  <c r="AU13" i="4"/>
  <c r="BM14" i="4"/>
  <c r="BM13" i="4"/>
  <c r="CE13" i="4"/>
  <c r="CE14" i="4"/>
  <c r="BW13" i="4"/>
  <c r="BW14" i="4"/>
  <c r="BO13" i="4"/>
  <c r="BO14" i="4"/>
  <c r="AH19" i="4"/>
  <c r="AH13" i="4"/>
  <c r="AH14" i="4"/>
  <c r="AE19" i="4"/>
  <c r="AE14" i="4"/>
  <c r="AE13" i="4"/>
  <c r="G19" i="4"/>
  <c r="G14" i="4"/>
  <c r="G13" i="4"/>
  <c r="G20" i="4" s="1"/>
  <c r="AV14" i="4"/>
  <c r="AV13" i="4"/>
  <c r="BP14" i="4"/>
  <c r="BP13" i="4"/>
  <c r="AC19" i="4"/>
  <c r="AC13" i="4"/>
  <c r="AC20" i="4" s="1"/>
  <c r="AC14" i="4"/>
  <c r="U19" i="4"/>
  <c r="U13" i="4"/>
  <c r="U14" i="4"/>
  <c r="M19" i="4"/>
  <c r="M13" i="4"/>
  <c r="M14" i="4"/>
  <c r="E19" i="4"/>
  <c r="E22" i="4"/>
  <c r="E14" i="4"/>
  <c r="E21" i="4" s="1"/>
  <c r="E13" i="4"/>
  <c r="AJ14" i="4"/>
  <c r="AJ13" i="4"/>
  <c r="AP13" i="4"/>
  <c r="AP14" i="4"/>
  <c r="BJ14" i="4"/>
  <c r="BJ13" i="4"/>
  <c r="BB14" i="4"/>
  <c r="BB13" i="4"/>
  <c r="AT14" i="4"/>
  <c r="AT13" i="4"/>
  <c r="CD13" i="4"/>
  <c r="CD14" i="4"/>
  <c r="BV13" i="4"/>
  <c r="BV14" i="4"/>
  <c r="BN13" i="4"/>
  <c r="BN14" i="4"/>
  <c r="AO14" i="4"/>
  <c r="AO13" i="4"/>
  <c r="W19" i="4"/>
  <c r="W14" i="4"/>
  <c r="W13" i="4"/>
  <c r="W20" i="4" s="1"/>
  <c r="BD13" i="4"/>
  <c r="BD14" i="4"/>
  <c r="BX13" i="4"/>
  <c r="BX14" i="4"/>
  <c r="AB19" i="4"/>
  <c r="AB14" i="4"/>
  <c r="AB21" i="4" s="1"/>
  <c r="AB13" i="4"/>
  <c r="T19" i="4"/>
  <c r="T14" i="4"/>
  <c r="T13" i="4"/>
  <c r="T22" i="4"/>
  <c r="L19" i="4"/>
  <c r="L14" i="4"/>
  <c r="L13" i="4"/>
  <c r="D19" i="4"/>
  <c r="D22" i="4"/>
  <c r="D14" i="4"/>
  <c r="D13" i="4"/>
  <c r="AI13" i="4"/>
  <c r="AI14" i="4"/>
  <c r="BI13" i="4"/>
  <c r="BI14" i="4"/>
  <c r="BA13" i="4"/>
  <c r="BA14" i="4"/>
  <c r="AS13" i="4"/>
  <c r="AS14" i="4"/>
  <c r="CC14" i="4"/>
  <c r="CC13" i="4"/>
  <c r="BU14" i="4"/>
  <c r="BU13" i="4"/>
  <c r="R19" i="4"/>
  <c r="R13" i="4"/>
  <c r="R14" i="4"/>
  <c r="O19" i="4"/>
  <c r="O14" i="4"/>
  <c r="O13" i="4"/>
  <c r="AL14" i="4"/>
  <c r="AL13" i="4"/>
  <c r="BL14" i="4"/>
  <c r="BL13" i="4"/>
  <c r="CF13" i="4"/>
  <c r="CF14" i="4"/>
  <c r="C13" i="4"/>
  <c r="C20" i="4" s="1"/>
  <c r="C14" i="4"/>
  <c r="AA19" i="4"/>
  <c r="AA13" i="4"/>
  <c r="AA22" i="4"/>
  <c r="AA14" i="4"/>
  <c r="S19" i="4"/>
  <c r="S13" i="4"/>
  <c r="S14" i="4"/>
  <c r="K19" i="4"/>
  <c r="K13" i="4"/>
  <c r="K22" i="4"/>
  <c r="K14" i="4"/>
  <c r="BH14" i="4"/>
  <c r="BH13" i="4"/>
  <c r="AZ14" i="4"/>
  <c r="AZ13" i="4"/>
  <c r="AR14" i="4"/>
  <c r="AR13" i="4"/>
  <c r="CB13" i="4"/>
  <c r="CB14" i="4"/>
  <c r="BT13" i="4"/>
  <c r="BT14" i="4"/>
  <c r="D17" i="3"/>
  <c r="D10" i="3"/>
  <c r="D11" i="3" s="1"/>
  <c r="M37" i="16" l="1"/>
  <c r="M258" i="16"/>
  <c r="M177" i="16"/>
  <c r="M210" i="16"/>
  <c r="M230" i="16"/>
  <c r="M231" i="16"/>
  <c r="M101" i="16"/>
  <c r="M166" i="16"/>
  <c r="M178" i="16"/>
  <c r="M249" i="16"/>
  <c r="M246" i="16"/>
  <c r="M229" i="16"/>
  <c r="M70" i="16"/>
  <c r="M141" i="16"/>
  <c r="M79" i="16"/>
  <c r="M31" i="16"/>
  <c r="M189" i="16"/>
  <c r="M199" i="16"/>
  <c r="M60" i="16"/>
  <c r="M225" i="16"/>
  <c r="M48" i="16"/>
  <c r="M112" i="16"/>
  <c r="M163" i="16"/>
  <c r="M181" i="16"/>
  <c r="M72" i="16"/>
  <c r="M208" i="16"/>
  <c r="M216" i="16"/>
  <c r="M62" i="16"/>
  <c r="M34" i="16"/>
  <c r="M204" i="16"/>
  <c r="M78" i="16"/>
  <c r="M220" i="16"/>
  <c r="M203" i="16"/>
  <c r="M106" i="16"/>
  <c r="M158" i="16"/>
  <c r="M95" i="16"/>
  <c r="M155" i="16"/>
  <c r="M169" i="16"/>
  <c r="M154" i="16"/>
  <c r="M91" i="16"/>
  <c r="M98" i="16"/>
  <c r="M53" i="16"/>
  <c r="M97" i="16"/>
  <c r="M96" i="16"/>
  <c r="M222" i="16"/>
  <c r="M201" i="16"/>
  <c r="M111" i="16"/>
  <c r="M262" i="16"/>
  <c r="M167" i="16"/>
  <c r="M110" i="16"/>
  <c r="M129" i="16"/>
  <c r="M134" i="16"/>
  <c r="M29" i="16"/>
  <c r="M245" i="16"/>
  <c r="M175" i="16"/>
  <c r="M171" i="16"/>
  <c r="M195" i="16"/>
  <c r="M89" i="16"/>
  <c r="M45" i="16"/>
  <c r="M51" i="16"/>
  <c r="M113" i="16"/>
  <c r="M41" i="16"/>
  <c r="M176" i="16"/>
  <c r="M236" i="16"/>
  <c r="M186" i="16"/>
  <c r="M108" i="16"/>
  <c r="M234" i="16"/>
  <c r="M94" i="16"/>
  <c r="M115" i="16"/>
  <c r="M257" i="16"/>
  <c r="M121" i="16"/>
  <c r="M71" i="16"/>
  <c r="M145" i="16"/>
  <c r="M153" i="16"/>
  <c r="M127" i="16"/>
  <c r="M66" i="16"/>
  <c r="M228" i="16"/>
  <c r="M183" i="16"/>
  <c r="M99" i="16"/>
  <c r="M68" i="16"/>
  <c r="M179" i="16"/>
  <c r="M122" i="16"/>
  <c r="M196" i="16"/>
  <c r="M80" i="16"/>
  <c r="M238" i="16"/>
  <c r="M88" i="16"/>
  <c r="M162" i="16"/>
  <c r="M197" i="16"/>
  <c r="M46" i="16"/>
  <c r="M69" i="16"/>
  <c r="M261" i="16"/>
  <c r="M209" i="16"/>
  <c r="M92" i="16"/>
  <c r="M114" i="16"/>
  <c r="M30" i="16"/>
  <c r="M170" i="16"/>
  <c r="M107" i="16"/>
  <c r="M212" i="16"/>
  <c r="M36" i="16"/>
  <c r="M144" i="16"/>
  <c r="M32" i="16"/>
  <c r="M237" i="16"/>
  <c r="M160" i="16"/>
  <c r="M135" i="16"/>
  <c r="M43" i="16"/>
  <c r="M93" i="16"/>
  <c r="M218" i="16"/>
  <c r="M120" i="16"/>
  <c r="M130" i="16"/>
  <c r="M57" i="16"/>
  <c r="M143" i="16"/>
  <c r="M131" i="16"/>
  <c r="M103" i="16"/>
  <c r="M49" i="16"/>
  <c r="M242" i="16"/>
  <c r="M100" i="16"/>
  <c r="M105" i="16"/>
  <c r="M123" i="16"/>
  <c r="M52" i="16"/>
  <c r="M252" i="16"/>
  <c r="M39" i="16"/>
  <c r="M59" i="16"/>
  <c r="M168" i="16"/>
  <c r="M33" i="16"/>
  <c r="M61" i="16"/>
  <c r="M136" i="16"/>
  <c r="M149" i="16"/>
  <c r="M184" i="16"/>
  <c r="M241" i="16"/>
  <c r="M139" i="16"/>
  <c r="M235" i="16"/>
  <c r="M207" i="16"/>
  <c r="M147" i="16"/>
  <c r="M213" i="16"/>
  <c r="M174" i="16"/>
  <c r="M215" i="16"/>
  <c r="M244" i="16"/>
  <c r="M138" i="16"/>
  <c r="M173" i="16"/>
  <c r="M140" i="16"/>
  <c r="M148" i="16"/>
  <c r="M200" i="16"/>
  <c r="M224" i="16"/>
  <c r="M254" i="16"/>
  <c r="M86" i="16"/>
  <c r="M263" i="16"/>
  <c r="M191" i="16"/>
  <c r="M132" i="16"/>
  <c r="M239" i="16"/>
  <c r="M193" i="16"/>
  <c r="M117" i="16"/>
  <c r="M128" i="16"/>
  <c r="M65" i="16"/>
  <c r="M40" i="16"/>
  <c r="M137" i="16"/>
  <c r="M75" i="16"/>
  <c r="M28" i="16"/>
  <c r="M217" i="16"/>
  <c r="M146" i="16"/>
  <c r="M164" i="16"/>
  <c r="M205" i="16"/>
  <c r="M142" i="16"/>
  <c r="M198" i="16"/>
  <c r="M116" i="16"/>
  <c r="M156" i="16"/>
  <c r="M124" i="16"/>
  <c r="M192" i="16"/>
  <c r="M250" i="16"/>
  <c r="M64" i="16"/>
  <c r="M266" i="16"/>
  <c r="M226" i="16"/>
  <c r="M265" i="16"/>
  <c r="M87" i="16"/>
  <c r="M161" i="16"/>
  <c r="M256" i="16"/>
  <c r="M185" i="16"/>
  <c r="M202" i="16"/>
  <c r="M248" i="16"/>
  <c r="M227" i="16"/>
  <c r="M180" i="16"/>
  <c r="M118" i="16"/>
  <c r="M152" i="16"/>
  <c r="M253" i="16"/>
  <c r="M255" i="16"/>
  <c r="M67" i="16"/>
  <c r="M243" i="16"/>
  <c r="M190" i="16"/>
  <c r="M182" i="16"/>
  <c r="M194" i="16"/>
  <c r="M125" i="16"/>
  <c r="M83" i="16"/>
  <c r="M126" i="16"/>
  <c r="M188" i="16"/>
  <c r="M260" i="16"/>
  <c r="M206" i="16"/>
  <c r="M102" i="16"/>
  <c r="M150" i="16"/>
  <c r="M84" i="16"/>
  <c r="M76" i="16"/>
  <c r="M55" i="16"/>
  <c r="M82" i="16"/>
  <c r="M119" i="16"/>
  <c r="M172" i="16"/>
  <c r="M63" i="16"/>
  <c r="M73" i="16"/>
  <c r="M221" i="16"/>
  <c r="M35" i="16"/>
  <c r="M42" i="16"/>
  <c r="M251" i="16"/>
  <c r="M47" i="16"/>
  <c r="M74" i="16"/>
  <c r="M157" i="16"/>
  <c r="M159" i="16"/>
  <c r="M133" i="16"/>
  <c r="M165" i="16"/>
  <c r="M187" i="16"/>
  <c r="M85" i="16"/>
  <c r="M104" i="16"/>
  <c r="M90" i="16"/>
  <c r="M44" i="16"/>
  <c r="M214" i="16"/>
  <c r="M233" i="16"/>
  <c r="M54" i="16"/>
  <c r="M223" i="16"/>
  <c r="M151" i="16"/>
  <c r="M56" i="16"/>
  <c r="M264" i="16"/>
  <c r="M38" i="16"/>
  <c r="M240" i="16"/>
  <c r="M50" i="16"/>
  <c r="M259" i="16"/>
  <c r="M81" i="16"/>
  <c r="M109" i="16"/>
  <c r="M58" i="16"/>
  <c r="M219" i="16"/>
  <c r="M247" i="16"/>
  <c r="M211" i="16"/>
  <c r="M232" i="16"/>
  <c r="M77" i="16"/>
  <c r="D51" i="15"/>
  <c r="D14" i="3"/>
  <c r="D45" i="10"/>
  <c r="D15" i="3"/>
  <c r="K39" i="4"/>
  <c r="S39" i="4"/>
  <c r="AA39" i="4"/>
  <c r="AI39" i="4"/>
  <c r="AQ39" i="4"/>
  <c r="AY39" i="4"/>
  <c r="BG39" i="4"/>
  <c r="BO39" i="4"/>
  <c r="BW39" i="4"/>
  <c r="CE39" i="4"/>
  <c r="BF39" i="4"/>
  <c r="D39" i="4"/>
  <c r="L39" i="4"/>
  <c r="T39" i="4"/>
  <c r="AB39" i="4"/>
  <c r="AJ39" i="4"/>
  <c r="AR39" i="4"/>
  <c r="AZ39" i="4"/>
  <c r="BH39" i="4"/>
  <c r="BP39" i="4"/>
  <c r="BX39" i="4"/>
  <c r="CF39" i="4"/>
  <c r="AX39" i="4"/>
  <c r="E39" i="4"/>
  <c r="M39" i="4"/>
  <c r="U39" i="4"/>
  <c r="AC39" i="4"/>
  <c r="AK39" i="4"/>
  <c r="AS39" i="4"/>
  <c r="BA39" i="4"/>
  <c r="BI39" i="4"/>
  <c r="BQ39" i="4"/>
  <c r="BY39" i="4"/>
  <c r="CG39" i="4"/>
  <c r="AH39" i="4"/>
  <c r="F39" i="4"/>
  <c r="N39" i="4"/>
  <c r="V39" i="4"/>
  <c r="AD39" i="4"/>
  <c r="AL39" i="4"/>
  <c r="AT39" i="4"/>
  <c r="BB39" i="4"/>
  <c r="BJ39" i="4"/>
  <c r="BR39" i="4"/>
  <c r="BZ39" i="4"/>
  <c r="C39" i="4"/>
  <c r="AP39" i="4"/>
  <c r="G39" i="4"/>
  <c r="O39" i="4"/>
  <c r="W39" i="4"/>
  <c r="AE39" i="4"/>
  <c r="AM39" i="4"/>
  <c r="AU39" i="4"/>
  <c r="BC39" i="4"/>
  <c r="BK39" i="4"/>
  <c r="BS39" i="4"/>
  <c r="CA39" i="4"/>
  <c r="Z39" i="4"/>
  <c r="H39" i="4"/>
  <c r="P39" i="4"/>
  <c r="X39" i="4"/>
  <c r="AF39" i="4"/>
  <c r="AN39" i="4"/>
  <c r="AV39" i="4"/>
  <c r="BD39" i="4"/>
  <c r="BL39" i="4"/>
  <c r="BT39" i="4"/>
  <c r="CB39" i="4"/>
  <c r="R39" i="4"/>
  <c r="BN39" i="4"/>
  <c r="BV39" i="4"/>
  <c r="CD39" i="4"/>
  <c r="I39" i="4"/>
  <c r="Q39" i="4"/>
  <c r="Y39" i="4"/>
  <c r="AG39" i="4"/>
  <c r="AO39" i="4"/>
  <c r="AW39" i="4"/>
  <c r="BE39" i="4"/>
  <c r="BM39" i="4"/>
  <c r="BU39" i="4"/>
  <c r="CC39" i="4"/>
  <c r="J39" i="4"/>
  <c r="W21" i="4"/>
  <c r="AD21" i="4"/>
  <c r="S21" i="4"/>
  <c r="C21" i="4"/>
  <c r="D21" i="4"/>
  <c r="T20" i="4"/>
  <c r="M21" i="4"/>
  <c r="AC21" i="4"/>
  <c r="AE21" i="4"/>
  <c r="H22" i="4"/>
  <c r="X22" i="4"/>
  <c r="AG20" i="4"/>
  <c r="AG22" i="4"/>
  <c r="S22" i="4"/>
  <c r="R21" i="4"/>
  <c r="T21" i="4"/>
  <c r="M22" i="4"/>
  <c r="AC22" i="4"/>
  <c r="F21" i="4"/>
  <c r="Z21" i="4"/>
  <c r="H20" i="4"/>
  <c r="X21" i="4"/>
  <c r="J22" i="4"/>
  <c r="Q21" i="4"/>
  <c r="AG21" i="4"/>
  <c r="S20" i="4"/>
  <c r="R22" i="4"/>
  <c r="M20" i="4"/>
  <c r="AH21" i="4"/>
  <c r="F22" i="4"/>
  <c r="V20" i="4"/>
  <c r="Z22" i="4"/>
  <c r="L22" i="4"/>
  <c r="AB22" i="4"/>
  <c r="AH22" i="4"/>
  <c r="D20" i="4"/>
  <c r="Q22" i="4"/>
  <c r="O21" i="4"/>
  <c r="AE20" i="4"/>
  <c r="N21" i="4"/>
  <c r="H21" i="4"/>
  <c r="X20" i="4"/>
  <c r="O22" i="4"/>
  <c r="L21" i="4"/>
  <c r="W22" i="4"/>
  <c r="U22" i="4"/>
  <c r="N22" i="4"/>
  <c r="AD22" i="4"/>
  <c r="AF21" i="4"/>
  <c r="K20" i="4"/>
  <c r="AA20" i="4"/>
  <c r="O20" i="4"/>
  <c r="U20" i="4"/>
  <c r="AE22" i="4"/>
  <c r="N20" i="4"/>
  <c r="AD20" i="4"/>
  <c r="AB20" i="4"/>
  <c r="AH20" i="4"/>
  <c r="AF20" i="4"/>
  <c r="K21" i="4"/>
  <c r="E20" i="4"/>
  <c r="I22" i="4"/>
  <c r="AA21" i="4"/>
  <c r="U21" i="4"/>
  <c r="G22" i="4"/>
  <c r="P22" i="4"/>
  <c r="L20" i="4"/>
  <c r="Y20" i="4"/>
  <c r="R20" i="4"/>
  <c r="G21" i="4"/>
  <c r="F20" i="4"/>
  <c r="V21" i="4"/>
  <c r="Z20" i="4"/>
  <c r="P21" i="4"/>
  <c r="AF22" i="4"/>
  <c r="I21" i="4"/>
  <c r="Y22" i="4"/>
  <c r="N191" i="16" l="1"/>
  <c r="O191" i="16" s="1"/>
  <c r="N222" i="16"/>
  <c r="O222" i="16" s="1"/>
  <c r="N220" i="16"/>
  <c r="N188" i="16"/>
  <c r="N226" i="16"/>
  <c r="N71" i="16"/>
  <c r="N147" i="16"/>
  <c r="N252" i="16"/>
  <c r="N55" i="16"/>
  <c r="N90" i="16"/>
  <c r="N103" i="16"/>
  <c r="N248" i="16"/>
  <c r="N51" i="16"/>
  <c r="N195" i="16"/>
  <c r="N158" i="16"/>
  <c r="N34" i="16"/>
  <c r="N79" i="16"/>
  <c r="N49" i="16"/>
  <c r="N48" i="16"/>
  <c r="N77" i="16"/>
  <c r="N240" i="16"/>
  <c r="N94" i="16"/>
  <c r="N218" i="16"/>
  <c r="N76" i="16"/>
  <c r="N137" i="16"/>
  <c r="N106" i="16"/>
  <c r="N123" i="16"/>
  <c r="N136" i="16"/>
  <c r="N197" i="16"/>
  <c r="N227" i="16"/>
  <c r="N119" i="16"/>
  <c r="N68" i="16"/>
  <c r="N129" i="16"/>
  <c r="N192" i="16"/>
  <c r="N253" i="16"/>
  <c r="N20" i="16"/>
  <c r="N12" i="16"/>
  <c r="N26" i="16"/>
  <c r="N216" i="16"/>
  <c r="N245" i="16"/>
  <c r="N163" i="16"/>
  <c r="N247" i="16"/>
  <c r="N244" i="16"/>
  <c r="N47" i="16"/>
  <c r="N230" i="16"/>
  <c r="N75" i="16"/>
  <c r="N45" i="16"/>
  <c r="N166" i="16"/>
  <c r="N62" i="16"/>
  <c r="N167" i="16"/>
  <c r="N44" i="16"/>
  <c r="N105" i="16"/>
  <c r="N42" i="16"/>
  <c r="N258" i="16"/>
  <c r="N104" i="16"/>
  <c r="N165" i="16"/>
  <c r="N198" i="16"/>
  <c r="N154" i="16"/>
  <c r="N36" i="16"/>
  <c r="N97" i="16"/>
  <c r="N160" i="16"/>
  <c r="N221" i="16"/>
  <c r="N23" i="16"/>
  <c r="N7" i="16"/>
  <c r="N22" i="16"/>
  <c r="N249" i="16"/>
  <c r="N151" i="16"/>
  <c r="N241" i="16"/>
  <c r="N95" i="16"/>
  <c r="N243" i="16"/>
  <c r="N72" i="16"/>
  <c r="N146" i="16"/>
  <c r="N63" i="16"/>
  <c r="N128" i="16"/>
  <c r="N189" i="16"/>
  <c r="N15" i="16"/>
  <c r="N18" i="16"/>
  <c r="N102" i="16"/>
  <c r="N114" i="16"/>
  <c r="N156" i="16"/>
  <c r="N185" i="16"/>
  <c r="N199" i="16"/>
  <c r="N206" i="16"/>
  <c r="N152" i="16"/>
  <c r="N181" i="16"/>
  <c r="N122" i="16"/>
  <c r="N175" i="16"/>
  <c r="N180" i="16"/>
  <c r="N209" i="16"/>
  <c r="N208" i="16"/>
  <c r="N237" i="16"/>
  <c r="N74" i="16"/>
  <c r="N182" i="16"/>
  <c r="N183" i="16"/>
  <c r="N236" i="16"/>
  <c r="N39" i="16"/>
  <c r="N41" i="16"/>
  <c r="N246" i="16"/>
  <c r="N263" i="16"/>
  <c r="N40" i="16"/>
  <c r="N101" i="16"/>
  <c r="N235" i="16"/>
  <c r="N228" i="16"/>
  <c r="N31" i="16"/>
  <c r="N33" i="16"/>
  <c r="N96" i="16"/>
  <c r="N157" i="16"/>
  <c r="N13" i="16"/>
  <c r="N19" i="16"/>
  <c r="N14" i="16"/>
  <c r="N171" i="16"/>
  <c r="N179" i="16"/>
  <c r="N134" i="16"/>
  <c r="N73" i="16"/>
  <c r="N207" i="16"/>
  <c r="N133" i="16"/>
  <c r="N260" i="16"/>
  <c r="N65" i="16"/>
  <c r="N27" i="16"/>
  <c r="N256" i="16"/>
  <c r="N91" i="16"/>
  <c r="N124" i="16"/>
  <c r="N153" i="16"/>
  <c r="N259" i="16"/>
  <c r="N155" i="16"/>
  <c r="N120" i="16"/>
  <c r="N149" i="16"/>
  <c r="N66" i="16"/>
  <c r="N110" i="16"/>
  <c r="N148" i="16"/>
  <c r="N177" i="16"/>
  <c r="N176" i="16"/>
  <c r="N205" i="16"/>
  <c r="N203" i="16"/>
  <c r="N127" i="16"/>
  <c r="N162" i="16"/>
  <c r="N204" i="16"/>
  <c r="N265" i="16"/>
  <c r="N58" i="16"/>
  <c r="N255" i="16"/>
  <c r="N264" i="16"/>
  <c r="N67" i="16"/>
  <c r="N69" i="16"/>
  <c r="N30" i="16"/>
  <c r="N196" i="16"/>
  <c r="N257" i="16"/>
  <c r="N194" i="16"/>
  <c r="N64" i="16"/>
  <c r="N125" i="16"/>
  <c r="N8" i="16"/>
  <c r="N17" i="16"/>
  <c r="N10" i="16"/>
  <c r="R191" i="16"/>
  <c r="N266" i="16"/>
  <c r="N184" i="16"/>
  <c r="N54" i="16"/>
  <c r="N234" i="16"/>
  <c r="N239" i="16"/>
  <c r="N150" i="16"/>
  <c r="N111" i="16"/>
  <c r="N145" i="16"/>
  <c r="N238" i="16"/>
  <c r="N254" i="16"/>
  <c r="N232" i="16"/>
  <c r="N37" i="16"/>
  <c r="N164" i="16"/>
  <c r="N225" i="16"/>
  <c r="N219" i="16"/>
  <c r="N32" i="16"/>
  <c r="N93" i="16"/>
  <c r="N11" i="16"/>
  <c r="N25" i="16"/>
  <c r="N6" i="16"/>
  <c r="N242" i="16"/>
  <c r="N215" i="16"/>
  <c r="N212" i="16"/>
  <c r="N107" i="16"/>
  <c r="N121" i="16"/>
  <c r="N88" i="16"/>
  <c r="N251" i="16"/>
  <c r="N144" i="16"/>
  <c r="N138" i="16"/>
  <c r="N233" i="16"/>
  <c r="N35" i="16"/>
  <c r="N211" i="16"/>
  <c r="N60" i="16"/>
  <c r="N178" i="16"/>
  <c r="N186" i="16"/>
  <c r="N56" i="16"/>
  <c r="N85" i="16"/>
  <c r="N223" i="16"/>
  <c r="N70" i="16"/>
  <c r="N84" i="16"/>
  <c r="N113" i="16"/>
  <c r="N112" i="16"/>
  <c r="N141" i="16"/>
  <c r="N142" i="16"/>
  <c r="N210" i="16"/>
  <c r="N187" i="16"/>
  <c r="N140" i="16"/>
  <c r="N201" i="16"/>
  <c r="N78" i="16"/>
  <c r="N139" i="16"/>
  <c r="N200" i="16"/>
  <c r="N261" i="16"/>
  <c r="N262" i="16"/>
  <c r="N143" i="16"/>
  <c r="N132" i="16"/>
  <c r="N193" i="16"/>
  <c r="N250" i="16"/>
  <c r="N59" i="16"/>
  <c r="N61" i="16"/>
  <c r="N24" i="16"/>
  <c r="N16" i="16"/>
  <c r="N9" i="16"/>
  <c r="N202" i="16"/>
  <c r="N217" i="16"/>
  <c r="N213" i="16"/>
  <c r="N43" i="16"/>
  <c r="N214" i="16"/>
  <c r="N92" i="16"/>
  <c r="N86" i="16"/>
  <c r="N117" i="16"/>
  <c r="N116" i="16"/>
  <c r="N173" i="16"/>
  <c r="N82" i="16"/>
  <c r="N172" i="16"/>
  <c r="N190" i="16"/>
  <c r="N170" i="16"/>
  <c r="N130" i="16"/>
  <c r="N89" i="16"/>
  <c r="N50" i="16"/>
  <c r="N98" i="16"/>
  <c r="N87" i="16"/>
  <c r="N57" i="16"/>
  <c r="N126" i="16"/>
  <c r="N135" i="16"/>
  <c r="N83" i="16"/>
  <c r="N53" i="16"/>
  <c r="N115" i="16"/>
  <c r="N231" i="16"/>
  <c r="N52" i="16"/>
  <c r="N81" i="16"/>
  <c r="N80" i="16"/>
  <c r="N109" i="16"/>
  <c r="N118" i="16"/>
  <c r="N159" i="16"/>
  <c r="N38" i="16"/>
  <c r="N108" i="16"/>
  <c r="N169" i="16"/>
  <c r="N99" i="16"/>
  <c r="N46" i="16"/>
  <c r="N168" i="16"/>
  <c r="N229" i="16"/>
  <c r="N131" i="16"/>
  <c r="N174" i="16"/>
  <c r="N100" i="16"/>
  <c r="N161" i="16"/>
  <c r="N224" i="16"/>
  <c r="N28" i="16"/>
  <c r="N29" i="16"/>
  <c r="N21" i="16"/>
  <c r="N4" i="16"/>
  <c r="N5" i="16"/>
  <c r="D64" i="15"/>
  <c r="D67" i="15" s="1"/>
  <c r="D73" i="15" s="1"/>
  <c r="D83" i="15" s="1"/>
  <c r="D115" i="15"/>
  <c r="D117" i="15"/>
  <c r="I123" i="15" s="1"/>
  <c r="D54" i="10"/>
  <c r="D53" i="10"/>
  <c r="D16" i="3"/>
  <c r="S191" i="16" l="1"/>
  <c r="Q191" i="16"/>
  <c r="Q222" i="16"/>
  <c r="P191" i="16"/>
  <c r="R222" i="16"/>
  <c r="S222" i="16"/>
  <c r="P222" i="16"/>
  <c r="O231" i="16"/>
  <c r="R231" i="16"/>
  <c r="P231" i="16"/>
  <c r="Q231" i="16"/>
  <c r="S231" i="16"/>
  <c r="O201" i="16"/>
  <c r="P201" i="16"/>
  <c r="R201" i="16"/>
  <c r="S201" i="16"/>
  <c r="Q201" i="16"/>
  <c r="S264" i="16"/>
  <c r="P264" i="16"/>
  <c r="Q264" i="16"/>
  <c r="O264" i="16"/>
  <c r="R264" i="16"/>
  <c r="Q155" i="16"/>
  <c r="O155" i="16"/>
  <c r="S155" i="16"/>
  <c r="R155" i="16"/>
  <c r="P155" i="16"/>
  <c r="O246" i="16"/>
  <c r="R246" i="16"/>
  <c r="P246" i="16"/>
  <c r="S246" i="16"/>
  <c r="Q246" i="16"/>
  <c r="O199" i="16"/>
  <c r="R199" i="16"/>
  <c r="P199" i="16"/>
  <c r="Q199" i="16"/>
  <c r="S199" i="16"/>
  <c r="O128" i="16"/>
  <c r="R128" i="16"/>
  <c r="P128" i="16"/>
  <c r="Q128" i="16"/>
  <c r="S128" i="16"/>
  <c r="O249" i="16"/>
  <c r="P249" i="16"/>
  <c r="R249" i="16"/>
  <c r="S249" i="16"/>
  <c r="Q249" i="16"/>
  <c r="R154" i="16"/>
  <c r="O154" i="16"/>
  <c r="S154" i="16"/>
  <c r="P154" i="16"/>
  <c r="Q154" i="16"/>
  <c r="Q167" i="16"/>
  <c r="O167" i="16"/>
  <c r="P167" i="16"/>
  <c r="S167" i="16"/>
  <c r="R167" i="16"/>
  <c r="Q247" i="16"/>
  <c r="O247" i="16"/>
  <c r="P247" i="16"/>
  <c r="R247" i="16"/>
  <c r="S247" i="16"/>
  <c r="R192" i="16"/>
  <c r="S192" i="16"/>
  <c r="O192" i="16"/>
  <c r="P192" i="16"/>
  <c r="Q192" i="16"/>
  <c r="P106" i="16"/>
  <c r="O106" i="16"/>
  <c r="R106" i="16"/>
  <c r="Q106" i="16"/>
  <c r="S106" i="16"/>
  <c r="P49" i="16"/>
  <c r="R49" i="16"/>
  <c r="S49" i="16"/>
  <c r="Q49" i="16"/>
  <c r="O49" i="16"/>
  <c r="P90" i="16"/>
  <c r="O90" i="16"/>
  <c r="R90" i="16"/>
  <c r="Q90" i="16"/>
  <c r="S90" i="16"/>
  <c r="P173" i="16"/>
  <c r="S173" i="16"/>
  <c r="R173" i="16"/>
  <c r="O173" i="16"/>
  <c r="Q173" i="16"/>
  <c r="O32" i="16"/>
  <c r="Q32" i="16"/>
  <c r="S32" i="16"/>
  <c r="R32" i="16"/>
  <c r="P32" i="16"/>
  <c r="P125" i="16"/>
  <c r="Q125" i="16"/>
  <c r="S125" i="16"/>
  <c r="R125" i="16"/>
  <c r="O125" i="16"/>
  <c r="R205" i="16"/>
  <c r="Q205" i="16"/>
  <c r="S205" i="16"/>
  <c r="P205" i="16"/>
  <c r="O205" i="16"/>
  <c r="S260" i="16"/>
  <c r="P260" i="16"/>
  <c r="Q260" i="16"/>
  <c r="O260" i="16"/>
  <c r="R260" i="16"/>
  <c r="O96" i="16"/>
  <c r="S96" i="16"/>
  <c r="R96" i="16"/>
  <c r="Q96" i="16"/>
  <c r="P96" i="16"/>
  <c r="O208" i="16"/>
  <c r="P208" i="16"/>
  <c r="Q208" i="16"/>
  <c r="R208" i="16"/>
  <c r="S208" i="16"/>
  <c r="O5" i="16"/>
  <c r="S5" i="16"/>
  <c r="Q5" i="16"/>
  <c r="P5" i="16"/>
  <c r="R5" i="16"/>
  <c r="P174" i="16"/>
  <c r="Q174" i="16"/>
  <c r="O174" i="16"/>
  <c r="S174" i="16"/>
  <c r="R174" i="16"/>
  <c r="O38" i="16"/>
  <c r="P38" i="16"/>
  <c r="Q38" i="16"/>
  <c r="S38" i="16"/>
  <c r="R38" i="16"/>
  <c r="S115" i="16"/>
  <c r="O115" i="16"/>
  <c r="Q115" i="16"/>
  <c r="R115" i="16"/>
  <c r="P115" i="16"/>
  <c r="O50" i="16"/>
  <c r="P50" i="16"/>
  <c r="R50" i="16"/>
  <c r="Q50" i="16"/>
  <c r="S50" i="16"/>
  <c r="Q116" i="16"/>
  <c r="O116" i="16"/>
  <c r="R116" i="16"/>
  <c r="S116" i="16"/>
  <c r="P116" i="16"/>
  <c r="O202" i="16"/>
  <c r="P202" i="16"/>
  <c r="S202" i="16"/>
  <c r="Q202" i="16"/>
  <c r="R202" i="16"/>
  <c r="O132" i="16"/>
  <c r="P132" i="16"/>
  <c r="R132" i="16"/>
  <c r="S132" i="16"/>
  <c r="Q132" i="16"/>
  <c r="R140" i="16"/>
  <c r="S140" i="16"/>
  <c r="O140" i="16"/>
  <c r="Q140" i="16"/>
  <c r="P140" i="16"/>
  <c r="O70" i="16"/>
  <c r="P70" i="16"/>
  <c r="Q70" i="16"/>
  <c r="S70" i="16"/>
  <c r="R70" i="16"/>
  <c r="S35" i="16"/>
  <c r="O35" i="16"/>
  <c r="P35" i="16"/>
  <c r="R35" i="16"/>
  <c r="Q35" i="16"/>
  <c r="Q212" i="16"/>
  <c r="R212" i="16"/>
  <c r="O212" i="16"/>
  <c r="S212" i="16"/>
  <c r="P212" i="16"/>
  <c r="R219" i="16"/>
  <c r="O219" i="16"/>
  <c r="S219" i="16"/>
  <c r="P219" i="16"/>
  <c r="Q219" i="16"/>
  <c r="O111" i="16"/>
  <c r="Q111" i="16"/>
  <c r="R111" i="16"/>
  <c r="S111" i="16"/>
  <c r="P111" i="16"/>
  <c r="O64" i="16"/>
  <c r="P64" i="16"/>
  <c r="Q64" i="16"/>
  <c r="R64" i="16"/>
  <c r="S64" i="16"/>
  <c r="Q255" i="16"/>
  <c r="P255" i="16"/>
  <c r="S255" i="16"/>
  <c r="O255" i="16"/>
  <c r="R255" i="16"/>
  <c r="S176" i="16"/>
  <c r="O176" i="16"/>
  <c r="P176" i="16"/>
  <c r="Q176" i="16"/>
  <c r="R176" i="16"/>
  <c r="Q259" i="16"/>
  <c r="O259" i="16"/>
  <c r="R259" i="16"/>
  <c r="S259" i="16"/>
  <c r="P259" i="16"/>
  <c r="Q133" i="16"/>
  <c r="R133" i="16"/>
  <c r="O133" i="16"/>
  <c r="S133" i="16"/>
  <c r="P133" i="16"/>
  <c r="P33" i="16"/>
  <c r="R33" i="16"/>
  <c r="S33" i="16"/>
  <c r="O33" i="16"/>
  <c r="Q33" i="16"/>
  <c r="R41" i="16"/>
  <c r="S41" i="16"/>
  <c r="P41" i="16"/>
  <c r="O41" i="16"/>
  <c r="Q41" i="16"/>
  <c r="S209" i="16"/>
  <c r="P209" i="16"/>
  <c r="Q209" i="16"/>
  <c r="R209" i="16"/>
  <c r="O209" i="16"/>
  <c r="S185" i="16"/>
  <c r="P185" i="16"/>
  <c r="Q185" i="16"/>
  <c r="R185" i="16"/>
  <c r="O185" i="16"/>
  <c r="S63" i="16"/>
  <c r="O63" i="16"/>
  <c r="R63" i="16"/>
  <c r="Q63" i="16"/>
  <c r="P63" i="16"/>
  <c r="O22" i="16"/>
  <c r="Q22" i="16"/>
  <c r="S22" i="16"/>
  <c r="P22" i="16"/>
  <c r="R22" i="16"/>
  <c r="O198" i="16"/>
  <c r="P198" i="16"/>
  <c r="Q198" i="16"/>
  <c r="S198" i="16"/>
  <c r="R198" i="16"/>
  <c r="O62" i="16"/>
  <c r="P62" i="16"/>
  <c r="R62" i="16"/>
  <c r="Q62" i="16"/>
  <c r="S62" i="16"/>
  <c r="R163" i="16"/>
  <c r="P163" i="16"/>
  <c r="S163" i="16"/>
  <c r="O163" i="16"/>
  <c r="Q163" i="16"/>
  <c r="P129" i="16"/>
  <c r="S129" i="16"/>
  <c r="O129" i="16"/>
  <c r="R129" i="16"/>
  <c r="Q129" i="16"/>
  <c r="P137" i="16"/>
  <c r="Q137" i="16"/>
  <c r="S137" i="16"/>
  <c r="O137" i="16"/>
  <c r="R137" i="16"/>
  <c r="S79" i="16"/>
  <c r="O79" i="16"/>
  <c r="R79" i="16"/>
  <c r="Q79" i="16"/>
  <c r="P79" i="16"/>
  <c r="S55" i="16"/>
  <c r="O55" i="16"/>
  <c r="P55" i="16"/>
  <c r="Q55" i="16"/>
  <c r="R55" i="16"/>
  <c r="Q100" i="16"/>
  <c r="O100" i="16"/>
  <c r="R100" i="16"/>
  <c r="S100" i="16"/>
  <c r="P100" i="16"/>
  <c r="O84" i="16"/>
  <c r="Q84" i="16"/>
  <c r="R84" i="16"/>
  <c r="P84" i="16"/>
  <c r="S84" i="16"/>
  <c r="O131" i="16"/>
  <c r="P131" i="16"/>
  <c r="Q131" i="16"/>
  <c r="R131" i="16"/>
  <c r="S131" i="16"/>
  <c r="R9" i="16"/>
  <c r="Q9" i="16"/>
  <c r="P9" i="16"/>
  <c r="O9" i="16"/>
  <c r="S9" i="16"/>
  <c r="O215" i="16"/>
  <c r="R215" i="16"/>
  <c r="Q215" i="16"/>
  <c r="P215" i="16"/>
  <c r="S215" i="16"/>
  <c r="P194" i="16"/>
  <c r="O194" i="16"/>
  <c r="R194" i="16"/>
  <c r="S194" i="16"/>
  <c r="Q194" i="16"/>
  <c r="R146" i="16"/>
  <c r="S146" i="16"/>
  <c r="O146" i="16"/>
  <c r="P146" i="16"/>
  <c r="Q146" i="16"/>
  <c r="O76" i="16"/>
  <c r="P76" i="16"/>
  <c r="R76" i="16"/>
  <c r="Q76" i="16"/>
  <c r="S76" i="16"/>
  <c r="O118" i="16"/>
  <c r="R118" i="16"/>
  <c r="S118" i="16"/>
  <c r="P118" i="16"/>
  <c r="Q118" i="16"/>
  <c r="S83" i="16"/>
  <c r="O83" i="16"/>
  <c r="Q83" i="16"/>
  <c r="P83" i="16"/>
  <c r="R83" i="16"/>
  <c r="O130" i="16"/>
  <c r="R130" i="16"/>
  <c r="P130" i="16"/>
  <c r="Q130" i="16"/>
  <c r="S130" i="16"/>
  <c r="O86" i="16"/>
  <c r="R86" i="16"/>
  <c r="Q86" i="16"/>
  <c r="S86" i="16"/>
  <c r="P86" i="16"/>
  <c r="O16" i="16"/>
  <c r="Q16" i="16"/>
  <c r="R16" i="16"/>
  <c r="S16" i="16"/>
  <c r="P16" i="16"/>
  <c r="O262" i="16"/>
  <c r="Q262" i="16"/>
  <c r="R262" i="16"/>
  <c r="P262" i="16"/>
  <c r="S262" i="16"/>
  <c r="O210" i="16"/>
  <c r="Q210" i="16"/>
  <c r="R210" i="16"/>
  <c r="S210" i="16"/>
  <c r="P210" i="16"/>
  <c r="R85" i="16"/>
  <c r="S85" i="16"/>
  <c r="O85" i="16"/>
  <c r="Q85" i="16"/>
  <c r="P85" i="16"/>
  <c r="O138" i="16"/>
  <c r="R138" i="16"/>
  <c r="S138" i="16"/>
  <c r="Q138" i="16"/>
  <c r="P138" i="16"/>
  <c r="O242" i="16"/>
  <c r="P242" i="16"/>
  <c r="S242" i="16"/>
  <c r="R242" i="16"/>
  <c r="Q242" i="16"/>
  <c r="S164" i="16"/>
  <c r="O164" i="16"/>
  <c r="Q164" i="16"/>
  <c r="R164" i="16"/>
  <c r="P164" i="16"/>
  <c r="R239" i="16"/>
  <c r="S239" i="16"/>
  <c r="O239" i="16"/>
  <c r="P239" i="16"/>
  <c r="Q239" i="16"/>
  <c r="R257" i="16"/>
  <c r="Q257" i="16"/>
  <c r="P257" i="16"/>
  <c r="O257" i="16"/>
  <c r="S257" i="16"/>
  <c r="P265" i="16"/>
  <c r="O265" i="16"/>
  <c r="R265" i="16"/>
  <c r="S265" i="16"/>
  <c r="Q265" i="16"/>
  <c r="P148" i="16"/>
  <c r="O148" i="16"/>
  <c r="Q148" i="16"/>
  <c r="R148" i="16"/>
  <c r="S148" i="16"/>
  <c r="O124" i="16"/>
  <c r="Q124" i="16"/>
  <c r="S124" i="16"/>
  <c r="R124" i="16"/>
  <c r="P124" i="16"/>
  <c r="P73" i="16"/>
  <c r="R73" i="16"/>
  <c r="S73" i="16"/>
  <c r="O73" i="16"/>
  <c r="Q73" i="16"/>
  <c r="P228" i="16"/>
  <c r="Q228" i="16"/>
  <c r="O228" i="16"/>
  <c r="S228" i="16"/>
  <c r="R228" i="16"/>
  <c r="O236" i="16"/>
  <c r="P236" i="16"/>
  <c r="Q236" i="16"/>
  <c r="R236" i="16"/>
  <c r="S236" i="16"/>
  <c r="Q175" i="16"/>
  <c r="O175" i="16"/>
  <c r="P175" i="16"/>
  <c r="R175" i="16"/>
  <c r="S175" i="16"/>
  <c r="O114" i="16"/>
  <c r="P114" i="16"/>
  <c r="R114" i="16"/>
  <c r="Q114" i="16"/>
  <c r="S114" i="16"/>
  <c r="R72" i="16"/>
  <c r="Q72" i="16"/>
  <c r="S72" i="16"/>
  <c r="O72" i="16"/>
  <c r="P72" i="16"/>
  <c r="R23" i="16"/>
  <c r="P23" i="16"/>
  <c r="O23" i="16"/>
  <c r="S23" i="16"/>
  <c r="Q23" i="16"/>
  <c r="R104" i="16"/>
  <c r="S104" i="16"/>
  <c r="O104" i="16"/>
  <c r="P104" i="16"/>
  <c r="Q104" i="16"/>
  <c r="P45" i="16"/>
  <c r="O45" i="16"/>
  <c r="Q45" i="16"/>
  <c r="R45" i="16"/>
  <c r="S45" i="16"/>
  <c r="O216" i="16"/>
  <c r="P216" i="16"/>
  <c r="Q216" i="16"/>
  <c r="R216" i="16"/>
  <c r="S216" i="16"/>
  <c r="R119" i="16"/>
  <c r="P119" i="16"/>
  <c r="O119" i="16"/>
  <c r="Q119" i="16"/>
  <c r="S119" i="16"/>
  <c r="O218" i="16"/>
  <c r="Q218" i="16"/>
  <c r="R218" i="16"/>
  <c r="S218" i="16"/>
  <c r="P218" i="16"/>
  <c r="Q158" i="16"/>
  <c r="O158" i="16"/>
  <c r="R158" i="16"/>
  <c r="S158" i="16"/>
  <c r="P158" i="16"/>
  <c r="O147" i="16"/>
  <c r="P147" i="16"/>
  <c r="Q147" i="16"/>
  <c r="S147" i="16"/>
  <c r="R147" i="16"/>
  <c r="R98" i="16"/>
  <c r="P98" i="16"/>
  <c r="O98" i="16"/>
  <c r="Q98" i="16"/>
  <c r="S98" i="16"/>
  <c r="S107" i="16"/>
  <c r="Q107" i="16"/>
  <c r="O107" i="16"/>
  <c r="P107" i="16"/>
  <c r="R107" i="16"/>
  <c r="O53" i="16"/>
  <c r="Q53" i="16"/>
  <c r="P53" i="16"/>
  <c r="R53" i="16"/>
  <c r="S53" i="16"/>
  <c r="P187" i="16"/>
  <c r="O187" i="16"/>
  <c r="Q187" i="16"/>
  <c r="R187" i="16"/>
  <c r="S187" i="16"/>
  <c r="P150" i="16"/>
  <c r="Q150" i="16"/>
  <c r="O150" i="16"/>
  <c r="R150" i="16"/>
  <c r="S150" i="16"/>
  <c r="O207" i="16"/>
  <c r="S207" i="16"/>
  <c r="R207" i="16"/>
  <c r="P207" i="16"/>
  <c r="Q207" i="16"/>
  <c r="P156" i="16"/>
  <c r="S156" i="16"/>
  <c r="R156" i="16"/>
  <c r="Q156" i="16"/>
  <c r="O156" i="16"/>
  <c r="P166" i="16"/>
  <c r="Q166" i="16"/>
  <c r="O166" i="16"/>
  <c r="R166" i="16"/>
  <c r="S166" i="16"/>
  <c r="S252" i="16"/>
  <c r="R252" i="16"/>
  <c r="P252" i="16"/>
  <c r="Q252" i="16"/>
  <c r="O252" i="16"/>
  <c r="S168" i="16"/>
  <c r="R168" i="16"/>
  <c r="O168" i="16"/>
  <c r="P168" i="16"/>
  <c r="Q168" i="16"/>
  <c r="P109" i="16"/>
  <c r="O109" i="16"/>
  <c r="R109" i="16"/>
  <c r="Q109" i="16"/>
  <c r="S109" i="16"/>
  <c r="P135" i="16"/>
  <c r="O135" i="16"/>
  <c r="Q135" i="16"/>
  <c r="S135" i="16"/>
  <c r="R135" i="16"/>
  <c r="S170" i="16"/>
  <c r="R170" i="16"/>
  <c r="O170" i="16"/>
  <c r="P170" i="16"/>
  <c r="Q170" i="16"/>
  <c r="O92" i="16"/>
  <c r="Q92" i="16"/>
  <c r="R92" i="16"/>
  <c r="S92" i="16"/>
  <c r="P92" i="16"/>
  <c r="R24" i="16"/>
  <c r="O24" i="16"/>
  <c r="P24" i="16"/>
  <c r="Q24" i="16"/>
  <c r="S24" i="16"/>
  <c r="R261" i="16"/>
  <c r="Q261" i="16"/>
  <c r="S261" i="16"/>
  <c r="O261" i="16"/>
  <c r="P261" i="16"/>
  <c r="P142" i="16"/>
  <c r="R142" i="16"/>
  <c r="S142" i="16"/>
  <c r="Q142" i="16"/>
  <c r="O142" i="16"/>
  <c r="R56" i="16"/>
  <c r="O56" i="16"/>
  <c r="P56" i="16"/>
  <c r="S56" i="16"/>
  <c r="Q56" i="16"/>
  <c r="Q144" i="16"/>
  <c r="R144" i="16"/>
  <c r="S144" i="16"/>
  <c r="P144" i="16"/>
  <c r="O144" i="16"/>
  <c r="P6" i="16"/>
  <c r="O6" i="16"/>
  <c r="Q6" i="16"/>
  <c r="S6" i="16"/>
  <c r="R6" i="16"/>
  <c r="R37" i="16"/>
  <c r="S37" i="16"/>
  <c r="P37" i="16"/>
  <c r="O37" i="16"/>
  <c r="Q37" i="16"/>
  <c r="O234" i="16"/>
  <c r="Q234" i="16"/>
  <c r="R234" i="16"/>
  <c r="S234" i="16"/>
  <c r="P234" i="16"/>
  <c r="P196" i="16"/>
  <c r="Q196" i="16"/>
  <c r="O196" i="16"/>
  <c r="R196" i="16"/>
  <c r="S196" i="16"/>
  <c r="Q204" i="16"/>
  <c r="O204" i="16"/>
  <c r="P204" i="16"/>
  <c r="R204" i="16"/>
  <c r="S204" i="16"/>
  <c r="R110" i="16"/>
  <c r="P110" i="16"/>
  <c r="S110" i="16"/>
  <c r="O110" i="16"/>
  <c r="Q110" i="16"/>
  <c r="S91" i="16"/>
  <c r="Q91" i="16"/>
  <c r="O91" i="16"/>
  <c r="P91" i="16"/>
  <c r="R91" i="16"/>
  <c r="O134" i="16"/>
  <c r="P134" i="16"/>
  <c r="R134" i="16"/>
  <c r="Q134" i="16"/>
  <c r="S134" i="16"/>
  <c r="P14" i="16"/>
  <c r="R14" i="16"/>
  <c r="O14" i="16"/>
  <c r="Q14" i="16"/>
  <c r="S14" i="16"/>
  <c r="R235" i="16"/>
  <c r="S235" i="16"/>
  <c r="O235" i="16"/>
  <c r="P235" i="16"/>
  <c r="Q235" i="16"/>
  <c r="O183" i="16"/>
  <c r="Q183" i="16"/>
  <c r="S183" i="16"/>
  <c r="R183" i="16"/>
  <c r="P183" i="16"/>
  <c r="O122" i="16"/>
  <c r="R122" i="16"/>
  <c r="P122" i="16"/>
  <c r="Q122" i="16"/>
  <c r="S122" i="16"/>
  <c r="O102" i="16"/>
  <c r="Q102" i="16"/>
  <c r="S102" i="16"/>
  <c r="P102" i="16"/>
  <c r="R102" i="16"/>
  <c r="Q243" i="16"/>
  <c r="O243" i="16"/>
  <c r="R243" i="16"/>
  <c r="S243" i="16"/>
  <c r="P243" i="16"/>
  <c r="R221" i="16"/>
  <c r="P221" i="16"/>
  <c r="Q221" i="16"/>
  <c r="O221" i="16"/>
  <c r="S221" i="16"/>
  <c r="O258" i="16"/>
  <c r="S258" i="16"/>
  <c r="Q258" i="16"/>
  <c r="P258" i="16"/>
  <c r="R258" i="16"/>
  <c r="S75" i="16"/>
  <c r="Q75" i="16"/>
  <c r="P75" i="16"/>
  <c r="O75" i="16"/>
  <c r="R75" i="16"/>
  <c r="O26" i="16"/>
  <c r="R26" i="16"/>
  <c r="P26" i="16"/>
  <c r="S26" i="16"/>
  <c r="Q26" i="16"/>
  <c r="P227" i="16"/>
  <c r="Q227" i="16"/>
  <c r="O227" i="16"/>
  <c r="S227" i="16"/>
  <c r="R227" i="16"/>
  <c r="R94" i="16"/>
  <c r="Q94" i="16"/>
  <c r="O94" i="16"/>
  <c r="P94" i="16"/>
  <c r="S94" i="16"/>
  <c r="R195" i="16"/>
  <c r="Q195" i="16"/>
  <c r="S195" i="16"/>
  <c r="O195" i="16"/>
  <c r="P195" i="16"/>
  <c r="R71" i="16"/>
  <c r="P71" i="16"/>
  <c r="O71" i="16"/>
  <c r="S71" i="16"/>
  <c r="Q71" i="16"/>
  <c r="P193" i="16"/>
  <c r="R193" i="16"/>
  <c r="S193" i="16"/>
  <c r="O193" i="16"/>
  <c r="Q193" i="16"/>
  <c r="R4" i="16"/>
  <c r="Q4" i="16"/>
  <c r="U4" i="16"/>
  <c r="P4" i="16"/>
  <c r="O4" i="16"/>
  <c r="S4" i="16"/>
  <c r="S117" i="16"/>
  <c r="O117" i="16"/>
  <c r="R117" i="16"/>
  <c r="P117" i="16"/>
  <c r="Q117" i="16"/>
  <c r="O233" i="16"/>
  <c r="P233" i="16"/>
  <c r="S233" i="16"/>
  <c r="R233" i="16"/>
  <c r="Q233" i="16"/>
  <c r="O58" i="16"/>
  <c r="P58" i="16"/>
  <c r="R58" i="16"/>
  <c r="S58" i="16"/>
  <c r="Q58" i="16"/>
  <c r="S31" i="16"/>
  <c r="O31" i="16"/>
  <c r="R31" i="16"/>
  <c r="Q31" i="16"/>
  <c r="P31" i="16"/>
  <c r="S7" i="16"/>
  <c r="O7" i="16"/>
  <c r="P7" i="16"/>
  <c r="R7" i="16"/>
  <c r="Q7" i="16"/>
  <c r="O34" i="16"/>
  <c r="P34" i="16"/>
  <c r="R34" i="16"/>
  <c r="Q34" i="16"/>
  <c r="S34" i="16"/>
  <c r="P29" i="16"/>
  <c r="S29" i="16"/>
  <c r="Q29" i="16"/>
  <c r="R29" i="16"/>
  <c r="O29" i="16"/>
  <c r="O28" i="16"/>
  <c r="P28" i="16"/>
  <c r="R28" i="16"/>
  <c r="S28" i="16"/>
  <c r="Q28" i="16"/>
  <c r="O46" i="16"/>
  <c r="P46" i="16"/>
  <c r="R46" i="16"/>
  <c r="Q46" i="16"/>
  <c r="S46" i="16"/>
  <c r="O80" i="16"/>
  <c r="Q80" i="16"/>
  <c r="R80" i="16"/>
  <c r="S80" i="16"/>
  <c r="P80" i="16"/>
  <c r="R126" i="16"/>
  <c r="O126" i="16"/>
  <c r="Q126" i="16"/>
  <c r="P126" i="16"/>
  <c r="S126" i="16"/>
  <c r="O190" i="16"/>
  <c r="Q190" i="16"/>
  <c r="R190" i="16"/>
  <c r="S190" i="16"/>
  <c r="P190" i="16"/>
  <c r="O214" i="16"/>
  <c r="Q214" i="16"/>
  <c r="S214" i="16"/>
  <c r="P214" i="16"/>
  <c r="R214" i="16"/>
  <c r="P61" i="16"/>
  <c r="S61" i="16"/>
  <c r="O61" i="16"/>
  <c r="Q61" i="16"/>
  <c r="R61" i="16"/>
  <c r="O200" i="16"/>
  <c r="Q200" i="16"/>
  <c r="P200" i="16"/>
  <c r="S200" i="16"/>
  <c r="R200" i="16"/>
  <c r="O141" i="16"/>
  <c r="Q141" i="16"/>
  <c r="R141" i="16"/>
  <c r="S141" i="16"/>
  <c r="P141" i="16"/>
  <c r="P186" i="16"/>
  <c r="O186" i="16"/>
  <c r="Q186" i="16"/>
  <c r="R186" i="16"/>
  <c r="S186" i="16"/>
  <c r="Q251" i="16"/>
  <c r="O251" i="16"/>
  <c r="P251" i="16"/>
  <c r="S251" i="16"/>
  <c r="R251" i="16"/>
  <c r="R25" i="16"/>
  <c r="S25" i="16"/>
  <c r="P25" i="16"/>
  <c r="O25" i="16"/>
  <c r="Q25" i="16"/>
  <c r="O232" i="16"/>
  <c r="R232" i="16"/>
  <c r="P232" i="16"/>
  <c r="S232" i="16"/>
  <c r="Q232" i="16"/>
  <c r="O54" i="16"/>
  <c r="R54" i="16"/>
  <c r="P54" i="16"/>
  <c r="Q54" i="16"/>
  <c r="S54" i="16"/>
  <c r="O10" i="16"/>
  <c r="S10" i="16"/>
  <c r="P10" i="16"/>
  <c r="Q10" i="16"/>
  <c r="R10" i="16"/>
  <c r="P30" i="16"/>
  <c r="R30" i="16"/>
  <c r="S30" i="16"/>
  <c r="Q30" i="16"/>
  <c r="O30" i="16"/>
  <c r="R162" i="16"/>
  <c r="O162" i="16"/>
  <c r="S162" i="16"/>
  <c r="P162" i="16"/>
  <c r="Q162" i="16"/>
  <c r="R66" i="16"/>
  <c r="P66" i="16"/>
  <c r="O66" i="16"/>
  <c r="S66" i="16"/>
  <c r="Q66" i="16"/>
  <c r="S256" i="16"/>
  <c r="R256" i="16"/>
  <c r="O256" i="16"/>
  <c r="Q256" i="16"/>
  <c r="P256" i="16"/>
  <c r="R179" i="16"/>
  <c r="S179" i="16"/>
  <c r="Q179" i="16"/>
  <c r="P179" i="16"/>
  <c r="O179" i="16"/>
  <c r="S19" i="16"/>
  <c r="O19" i="16"/>
  <c r="Q19" i="16"/>
  <c r="P19" i="16"/>
  <c r="R19" i="16"/>
  <c r="S101" i="16"/>
  <c r="P101" i="16"/>
  <c r="R101" i="16"/>
  <c r="O101" i="16"/>
  <c r="Q101" i="16"/>
  <c r="P182" i="16"/>
  <c r="S182" i="16"/>
  <c r="R182" i="16"/>
  <c r="Q182" i="16"/>
  <c r="O182" i="16"/>
  <c r="O181" i="16"/>
  <c r="P181" i="16"/>
  <c r="R181" i="16"/>
  <c r="Q181" i="16"/>
  <c r="S181" i="16"/>
  <c r="O18" i="16"/>
  <c r="P18" i="16"/>
  <c r="R18" i="16"/>
  <c r="S18" i="16"/>
  <c r="Q18" i="16"/>
  <c r="S95" i="16"/>
  <c r="R95" i="16"/>
  <c r="O95" i="16"/>
  <c r="Q95" i="16"/>
  <c r="P95" i="16"/>
  <c r="Q160" i="16"/>
  <c r="R160" i="16"/>
  <c r="S160" i="16"/>
  <c r="O160" i="16"/>
  <c r="P160" i="16"/>
  <c r="O42" i="16"/>
  <c r="P42" i="16"/>
  <c r="R42" i="16"/>
  <c r="Q42" i="16"/>
  <c r="S42" i="16"/>
  <c r="O230" i="16"/>
  <c r="P230" i="16"/>
  <c r="Q230" i="16"/>
  <c r="S230" i="16"/>
  <c r="R230" i="16"/>
  <c r="O12" i="16"/>
  <c r="P12" i="16"/>
  <c r="Q12" i="16"/>
  <c r="S12" i="16"/>
  <c r="R12" i="16"/>
  <c r="O197" i="16"/>
  <c r="P197" i="16"/>
  <c r="R197" i="16"/>
  <c r="S197" i="16"/>
  <c r="Q197" i="16"/>
  <c r="O240" i="16"/>
  <c r="P240" i="16"/>
  <c r="Q240" i="16"/>
  <c r="S240" i="16"/>
  <c r="R240" i="16"/>
  <c r="S51" i="16"/>
  <c r="O51" i="16"/>
  <c r="P51" i="16"/>
  <c r="R51" i="16"/>
  <c r="Q51" i="16"/>
  <c r="O226" i="16"/>
  <c r="P226" i="16"/>
  <c r="Q226" i="16"/>
  <c r="R226" i="16"/>
  <c r="S226" i="16"/>
  <c r="O108" i="16"/>
  <c r="Q108" i="16"/>
  <c r="P108" i="16"/>
  <c r="S108" i="16"/>
  <c r="R108" i="16"/>
  <c r="R211" i="16"/>
  <c r="S211" i="16"/>
  <c r="O211" i="16"/>
  <c r="P211" i="16"/>
  <c r="Q211" i="16"/>
  <c r="P159" i="16"/>
  <c r="Q159" i="16"/>
  <c r="O159" i="16"/>
  <c r="R159" i="16"/>
  <c r="S159" i="16"/>
  <c r="P143" i="16"/>
  <c r="Q143" i="16"/>
  <c r="O143" i="16"/>
  <c r="R143" i="16"/>
  <c r="S143" i="16"/>
  <c r="R225" i="16"/>
  <c r="P225" i="16"/>
  <c r="Q225" i="16"/>
  <c r="S225" i="16"/>
  <c r="O225" i="16"/>
  <c r="O177" i="16"/>
  <c r="Q177" i="16"/>
  <c r="R177" i="16"/>
  <c r="S177" i="16"/>
  <c r="P177" i="16"/>
  <c r="S39" i="16"/>
  <c r="O39" i="16"/>
  <c r="P39" i="16"/>
  <c r="Q39" i="16"/>
  <c r="R39" i="16"/>
  <c r="P165" i="16"/>
  <c r="O165" i="16"/>
  <c r="Q165" i="16"/>
  <c r="R165" i="16"/>
  <c r="S165" i="16"/>
  <c r="O68" i="16"/>
  <c r="Q68" i="16"/>
  <c r="R68" i="16"/>
  <c r="S68" i="16"/>
  <c r="P68" i="16"/>
  <c r="O229" i="16"/>
  <c r="R229" i="16"/>
  <c r="S229" i="16"/>
  <c r="P229" i="16"/>
  <c r="Q229" i="16"/>
  <c r="S99" i="16"/>
  <c r="P99" i="16"/>
  <c r="R99" i="16"/>
  <c r="Q99" i="16"/>
  <c r="O99" i="16"/>
  <c r="P81" i="16"/>
  <c r="S81" i="16"/>
  <c r="R81" i="16"/>
  <c r="O81" i="16"/>
  <c r="Q81" i="16"/>
  <c r="P57" i="16"/>
  <c r="R57" i="16"/>
  <c r="S57" i="16"/>
  <c r="O57" i="16"/>
  <c r="Q57" i="16"/>
  <c r="S172" i="16"/>
  <c r="P172" i="16"/>
  <c r="O172" i="16"/>
  <c r="Q172" i="16"/>
  <c r="R172" i="16"/>
  <c r="S43" i="16"/>
  <c r="O43" i="16"/>
  <c r="P43" i="16"/>
  <c r="Q43" i="16"/>
  <c r="R43" i="16"/>
  <c r="S59" i="16"/>
  <c r="P59" i="16"/>
  <c r="Q59" i="16"/>
  <c r="O59" i="16"/>
  <c r="R59" i="16"/>
  <c r="S139" i="16"/>
  <c r="O139" i="16"/>
  <c r="P139" i="16"/>
  <c r="R139" i="16"/>
  <c r="Q139" i="16"/>
  <c r="O112" i="16"/>
  <c r="P112" i="16"/>
  <c r="R112" i="16"/>
  <c r="S112" i="16"/>
  <c r="Q112" i="16"/>
  <c r="P178" i="16"/>
  <c r="R178" i="16"/>
  <c r="O178" i="16"/>
  <c r="S178" i="16"/>
  <c r="Q178" i="16"/>
  <c r="O88" i="16"/>
  <c r="P88" i="16"/>
  <c r="Q88" i="16"/>
  <c r="S88" i="16"/>
  <c r="R88" i="16"/>
  <c r="S11" i="16"/>
  <c r="O11" i="16"/>
  <c r="Q11" i="16"/>
  <c r="P11" i="16"/>
  <c r="R11" i="16"/>
  <c r="O254" i="16"/>
  <c r="P254" i="16"/>
  <c r="R254" i="16"/>
  <c r="Q254" i="16"/>
  <c r="S254" i="16"/>
  <c r="S184" i="16"/>
  <c r="P184" i="16"/>
  <c r="Q184" i="16"/>
  <c r="O184" i="16"/>
  <c r="R184" i="16"/>
  <c r="P17" i="16"/>
  <c r="S17" i="16"/>
  <c r="R17" i="16"/>
  <c r="O17" i="16"/>
  <c r="Q17" i="16"/>
  <c r="O69" i="16"/>
  <c r="Q69" i="16"/>
  <c r="S69" i="16"/>
  <c r="R69" i="16"/>
  <c r="P69" i="16"/>
  <c r="O127" i="16"/>
  <c r="Q127" i="16"/>
  <c r="S127" i="16"/>
  <c r="R127" i="16"/>
  <c r="P127" i="16"/>
  <c r="O149" i="16"/>
  <c r="R149" i="16"/>
  <c r="P149" i="16"/>
  <c r="Q149" i="16"/>
  <c r="S149" i="16"/>
  <c r="S27" i="16"/>
  <c r="P27" i="16"/>
  <c r="O27" i="16"/>
  <c r="Q27" i="16"/>
  <c r="R27" i="16"/>
  <c r="P171" i="16"/>
  <c r="Q171" i="16"/>
  <c r="R171" i="16"/>
  <c r="S171" i="16"/>
  <c r="O171" i="16"/>
  <c r="P13" i="16"/>
  <c r="R13" i="16"/>
  <c r="O13" i="16"/>
  <c r="Q13" i="16"/>
  <c r="S13" i="16"/>
  <c r="R40" i="16"/>
  <c r="Q40" i="16"/>
  <c r="S40" i="16"/>
  <c r="O40" i="16"/>
  <c r="P40" i="16"/>
  <c r="O74" i="16"/>
  <c r="R74" i="16"/>
  <c r="P74" i="16"/>
  <c r="Q74" i="16"/>
  <c r="S74" i="16"/>
  <c r="S152" i="16"/>
  <c r="O152" i="16"/>
  <c r="P152" i="16"/>
  <c r="R152" i="16"/>
  <c r="Q152" i="16"/>
  <c r="S15" i="16"/>
  <c r="O15" i="16"/>
  <c r="R15" i="16"/>
  <c r="P15" i="16"/>
  <c r="Q15" i="16"/>
  <c r="S241" i="16"/>
  <c r="Q241" i="16"/>
  <c r="R241" i="16"/>
  <c r="P241" i="16"/>
  <c r="O241" i="16"/>
  <c r="R97" i="16"/>
  <c r="P97" i="16"/>
  <c r="S97" i="16"/>
  <c r="O97" i="16"/>
  <c r="Q97" i="16"/>
  <c r="S105" i="16"/>
  <c r="R105" i="16"/>
  <c r="P105" i="16"/>
  <c r="Q105" i="16"/>
  <c r="O105" i="16"/>
  <c r="S47" i="16"/>
  <c r="O47" i="16"/>
  <c r="R47" i="16"/>
  <c r="P47" i="16"/>
  <c r="Q47" i="16"/>
  <c r="O20" i="16"/>
  <c r="Q20" i="16"/>
  <c r="P20" i="16"/>
  <c r="R20" i="16"/>
  <c r="S20" i="16"/>
  <c r="O136" i="16"/>
  <c r="S136" i="16"/>
  <c r="Q136" i="16"/>
  <c r="P136" i="16"/>
  <c r="R136" i="16"/>
  <c r="P77" i="16"/>
  <c r="Q77" i="16"/>
  <c r="S77" i="16"/>
  <c r="O77" i="16"/>
  <c r="R77" i="16"/>
  <c r="S248" i="16"/>
  <c r="R248" i="16"/>
  <c r="O248" i="16"/>
  <c r="P248" i="16"/>
  <c r="Q248" i="16"/>
  <c r="O188" i="16"/>
  <c r="R188" i="16"/>
  <c r="Q188" i="16"/>
  <c r="S188" i="16"/>
  <c r="P188" i="16"/>
  <c r="P217" i="16"/>
  <c r="O217" i="16"/>
  <c r="S217" i="16"/>
  <c r="R217" i="16"/>
  <c r="Q217" i="16"/>
  <c r="P145" i="16"/>
  <c r="S145" i="16"/>
  <c r="O145" i="16"/>
  <c r="Q145" i="16"/>
  <c r="R145" i="16"/>
  <c r="S89" i="16"/>
  <c r="P89" i="16"/>
  <c r="R89" i="16"/>
  <c r="O89" i="16"/>
  <c r="Q89" i="16"/>
  <c r="O223" i="16"/>
  <c r="S223" i="16"/>
  <c r="R223" i="16"/>
  <c r="Q223" i="16"/>
  <c r="P223" i="16"/>
  <c r="S153" i="16"/>
  <c r="R153" i="16"/>
  <c r="O153" i="16"/>
  <c r="P153" i="16"/>
  <c r="Q153" i="16"/>
  <c r="O180" i="16"/>
  <c r="P180" i="16"/>
  <c r="S180" i="16"/>
  <c r="R180" i="16"/>
  <c r="Q180" i="16"/>
  <c r="Q245" i="16"/>
  <c r="R245" i="16"/>
  <c r="S245" i="16"/>
  <c r="P245" i="16"/>
  <c r="O245" i="16"/>
  <c r="P21" i="16"/>
  <c r="O21" i="16"/>
  <c r="S21" i="16"/>
  <c r="Q21" i="16"/>
  <c r="R21" i="16"/>
  <c r="O224" i="16"/>
  <c r="P224" i="16"/>
  <c r="Q224" i="16"/>
  <c r="S224" i="16"/>
  <c r="R224" i="16"/>
  <c r="Q161" i="16"/>
  <c r="O161" i="16"/>
  <c r="R161" i="16"/>
  <c r="P161" i="16"/>
  <c r="S161" i="16"/>
  <c r="P169" i="16"/>
  <c r="S169" i="16"/>
  <c r="O169" i="16"/>
  <c r="Q169" i="16"/>
  <c r="R169" i="16"/>
  <c r="O52" i="16"/>
  <c r="Q52" i="16"/>
  <c r="P52" i="16"/>
  <c r="S52" i="16"/>
  <c r="R52" i="16"/>
  <c r="Q87" i="16"/>
  <c r="S87" i="16"/>
  <c r="O87" i="16"/>
  <c r="P87" i="16"/>
  <c r="R87" i="16"/>
  <c r="O82" i="16"/>
  <c r="P82" i="16"/>
  <c r="R82" i="16"/>
  <c r="Q82" i="16"/>
  <c r="S82" i="16"/>
  <c r="S213" i="16"/>
  <c r="O213" i="16"/>
  <c r="Q213" i="16"/>
  <c r="R213" i="16"/>
  <c r="P213" i="16"/>
  <c r="O250" i="16"/>
  <c r="S250" i="16"/>
  <c r="Q250" i="16"/>
  <c r="R250" i="16"/>
  <c r="P250" i="16"/>
  <c r="Q78" i="16"/>
  <c r="S78" i="16"/>
  <c r="O78" i="16"/>
  <c r="P78" i="16"/>
  <c r="R78" i="16"/>
  <c r="P113" i="16"/>
  <c r="S113" i="16"/>
  <c r="R113" i="16"/>
  <c r="O113" i="16"/>
  <c r="Q113" i="16"/>
  <c r="O60" i="16"/>
  <c r="P60" i="16"/>
  <c r="Q60" i="16"/>
  <c r="S60" i="16"/>
  <c r="R60" i="16"/>
  <c r="O121" i="16"/>
  <c r="P121" i="16"/>
  <c r="R121" i="16"/>
  <c r="Q121" i="16"/>
  <c r="S121" i="16"/>
  <c r="P93" i="16"/>
  <c r="S93" i="16"/>
  <c r="O93" i="16"/>
  <c r="Q93" i="16"/>
  <c r="R93" i="16"/>
  <c r="O238" i="16"/>
  <c r="P238" i="16"/>
  <c r="Q238" i="16"/>
  <c r="S238" i="16"/>
  <c r="R238" i="16"/>
  <c r="R266" i="16"/>
  <c r="P266" i="16"/>
  <c r="Q266" i="16"/>
  <c r="S266" i="16"/>
  <c r="O266" i="16"/>
  <c r="O8" i="16"/>
  <c r="S8" i="16"/>
  <c r="P8" i="16"/>
  <c r="Q8" i="16"/>
  <c r="R8" i="16"/>
  <c r="S67" i="16"/>
  <c r="O67" i="16"/>
  <c r="P67" i="16"/>
  <c r="R67" i="16"/>
  <c r="Q67" i="16"/>
  <c r="O203" i="16"/>
  <c r="R203" i="16"/>
  <c r="S203" i="16"/>
  <c r="P203" i="16"/>
  <c r="Q203" i="16"/>
  <c r="Q120" i="16"/>
  <c r="S120" i="16"/>
  <c r="O120" i="16"/>
  <c r="R120" i="16"/>
  <c r="P120" i="16"/>
  <c r="P65" i="16"/>
  <c r="R65" i="16"/>
  <c r="S65" i="16"/>
  <c r="O65" i="16"/>
  <c r="Q65" i="16"/>
  <c r="R157" i="16"/>
  <c r="O157" i="16"/>
  <c r="P157" i="16"/>
  <c r="S157" i="16"/>
  <c r="Q157" i="16"/>
  <c r="Q263" i="16"/>
  <c r="R263" i="16"/>
  <c r="P263" i="16"/>
  <c r="O263" i="16"/>
  <c r="S263" i="16"/>
  <c r="S237" i="16"/>
  <c r="P237" i="16"/>
  <c r="O237" i="16"/>
  <c r="Q237" i="16"/>
  <c r="R237" i="16"/>
  <c r="O206" i="16"/>
  <c r="P206" i="16"/>
  <c r="Q206" i="16"/>
  <c r="S206" i="16"/>
  <c r="R206" i="16"/>
  <c r="O189" i="16"/>
  <c r="P189" i="16"/>
  <c r="R189" i="16"/>
  <c r="S189" i="16"/>
  <c r="Q189" i="16"/>
  <c r="P151" i="16"/>
  <c r="O151" i="16"/>
  <c r="Q151" i="16"/>
  <c r="S151" i="16"/>
  <c r="R151" i="16"/>
  <c r="O36" i="16"/>
  <c r="Q36" i="16"/>
  <c r="S36" i="16"/>
  <c r="R36" i="16"/>
  <c r="P36" i="16"/>
  <c r="O44" i="16"/>
  <c r="P44" i="16"/>
  <c r="Q44" i="16"/>
  <c r="S44" i="16"/>
  <c r="R44" i="16"/>
  <c r="S244" i="16"/>
  <c r="O244" i="16"/>
  <c r="P244" i="16"/>
  <c r="Q244" i="16"/>
  <c r="R244" i="16"/>
  <c r="O253" i="16"/>
  <c r="P253" i="16"/>
  <c r="S253" i="16"/>
  <c r="R253" i="16"/>
  <c r="Q253" i="16"/>
  <c r="O123" i="16"/>
  <c r="Q123" i="16"/>
  <c r="P123" i="16"/>
  <c r="R123" i="16"/>
  <c r="S123" i="16"/>
  <c r="O48" i="16"/>
  <c r="P48" i="16"/>
  <c r="Q48" i="16"/>
  <c r="S48" i="16"/>
  <c r="R48" i="16"/>
  <c r="R103" i="16"/>
  <c r="Q103" i="16"/>
  <c r="P103" i="16"/>
  <c r="S103" i="16"/>
  <c r="O103" i="16"/>
  <c r="O220" i="16"/>
  <c r="P220" i="16"/>
  <c r="Q220" i="16"/>
  <c r="S220" i="16"/>
  <c r="R220" i="16"/>
  <c r="D71" i="15"/>
  <c r="D72" i="15" s="1"/>
  <c r="D66" i="15"/>
  <c r="K123" i="15"/>
  <c r="K126" i="15" s="1"/>
  <c r="S123" i="15"/>
  <c r="S126" i="15" s="1"/>
  <c r="AA123" i="15"/>
  <c r="AA126" i="15" s="1"/>
  <c r="AI123" i="15"/>
  <c r="AI126" i="15" s="1"/>
  <c r="AQ123" i="15"/>
  <c r="AQ126" i="15" s="1"/>
  <c r="L123" i="15"/>
  <c r="L126" i="15" s="1"/>
  <c r="T123" i="15"/>
  <c r="T126" i="15" s="1"/>
  <c r="AB123" i="15"/>
  <c r="AB126" i="15" s="1"/>
  <c r="AJ123" i="15"/>
  <c r="AJ126" i="15" s="1"/>
  <c r="AR123" i="15"/>
  <c r="AR126" i="15" s="1"/>
  <c r="M123" i="15"/>
  <c r="M126" i="15" s="1"/>
  <c r="AC123" i="15"/>
  <c r="AC126" i="15" s="1"/>
  <c r="AS123" i="15"/>
  <c r="AS126" i="15" s="1"/>
  <c r="N123" i="15"/>
  <c r="N126" i="15" s="1"/>
  <c r="AD123" i="15"/>
  <c r="AD126" i="15" s="1"/>
  <c r="O123" i="15"/>
  <c r="O126" i="15" s="1"/>
  <c r="AE123" i="15"/>
  <c r="AE126" i="15" s="1"/>
  <c r="P123" i="15"/>
  <c r="P126" i="15" s="1"/>
  <c r="AF123" i="15"/>
  <c r="AF126" i="15" s="1"/>
  <c r="Q123" i="15"/>
  <c r="Q126" i="15" s="1"/>
  <c r="Y123" i="15"/>
  <c r="Y126" i="15" s="1"/>
  <c r="AG123" i="15"/>
  <c r="AG126" i="15" s="1"/>
  <c r="AO123" i="15"/>
  <c r="AO126" i="15" s="1"/>
  <c r="J123" i="15"/>
  <c r="J126" i="15" s="1"/>
  <c r="R123" i="15"/>
  <c r="R126" i="15" s="1"/>
  <c r="Z123" i="15"/>
  <c r="Z126" i="15" s="1"/>
  <c r="AH123" i="15"/>
  <c r="AH126" i="15" s="1"/>
  <c r="AP123" i="15"/>
  <c r="AP126" i="15" s="1"/>
  <c r="U123" i="15"/>
  <c r="U126" i="15" s="1"/>
  <c r="AK123" i="15"/>
  <c r="AK126" i="15" s="1"/>
  <c r="V123" i="15"/>
  <c r="V126" i="15" s="1"/>
  <c r="AL123" i="15"/>
  <c r="AL126" i="15" s="1"/>
  <c r="W123" i="15"/>
  <c r="W126" i="15" s="1"/>
  <c r="AM123" i="15"/>
  <c r="AM126" i="15" s="1"/>
  <c r="X123" i="15"/>
  <c r="X126" i="15" s="1"/>
  <c r="AN123" i="15"/>
  <c r="AN126" i="15" s="1"/>
  <c r="D118" i="15"/>
  <c r="I126" i="15"/>
  <c r="D55" i="10"/>
  <c r="D18" i="3"/>
  <c r="D19" i="3" s="1"/>
  <c r="D20" i="3" s="1"/>
  <c r="X4" i="16" l="1"/>
  <c r="D35" i="14" s="1"/>
  <c r="Y4" i="16"/>
  <c r="D36" i="14" s="1"/>
  <c r="Z4" i="16"/>
  <c r="D34" i="14" s="1"/>
  <c r="V4" i="16"/>
  <c r="D32" i="14" s="1"/>
  <c r="F32" i="14" s="1"/>
  <c r="W4" i="16"/>
  <c r="D38" i="14"/>
  <c r="D31" i="11"/>
  <c r="D38" i="11" s="1"/>
  <c r="D7" i="10"/>
  <c r="C110" i="11"/>
  <c r="C111" i="11"/>
  <c r="D3" i="15"/>
  <c r="D2" i="15"/>
  <c r="AA4" i="16" l="1"/>
  <c r="D37" i="14" s="1"/>
  <c r="D33" i="14"/>
  <c r="D74" i="15"/>
  <c r="D84" i="15" s="1"/>
  <c r="D86" i="15" s="1"/>
  <c r="D42" i="2"/>
  <c r="AG9" i="9"/>
  <c r="AI9" i="9"/>
  <c r="O9" i="9"/>
  <c r="H9" i="9"/>
  <c r="P9" i="9"/>
  <c r="R9" i="9"/>
  <c r="Z9" i="9"/>
  <c r="AH9" i="9"/>
  <c r="I9" i="9"/>
  <c r="S9" i="9"/>
  <c r="Q9" i="9"/>
  <c r="J9" i="9"/>
  <c r="T9" i="9"/>
  <c r="AB9" i="9"/>
  <c r="AJ9" i="9"/>
  <c r="AD9" i="9"/>
  <c r="D9" i="9"/>
  <c r="M9" i="9"/>
  <c r="W9" i="9"/>
  <c r="AE9" i="9"/>
  <c r="F9" i="9"/>
  <c r="AF9" i="9"/>
  <c r="C9" i="9"/>
  <c r="K9" i="9"/>
  <c r="U9" i="9"/>
  <c r="AC9" i="9"/>
  <c r="AK9" i="9"/>
  <c r="C18" i="9"/>
  <c r="L9" i="9"/>
  <c r="V9" i="9"/>
  <c r="AL9" i="9"/>
  <c r="E9" i="9"/>
  <c r="AM9" i="9"/>
  <c r="N9" i="9"/>
  <c r="X9" i="9"/>
  <c r="G9" i="9"/>
  <c r="Y9" i="9"/>
  <c r="AA9" i="9"/>
  <c r="D8" i="9"/>
  <c r="L8" i="9"/>
  <c r="Y8" i="9"/>
  <c r="AG8" i="9"/>
  <c r="C8" i="9"/>
  <c r="E8" i="9"/>
  <c r="M8" i="9"/>
  <c r="R8" i="9"/>
  <c r="Z8" i="9"/>
  <c r="AH8" i="9"/>
  <c r="F8" i="9"/>
  <c r="N8" i="9"/>
  <c r="S8" i="9"/>
  <c r="AA8" i="9"/>
  <c r="AI8" i="9"/>
  <c r="I8" i="9"/>
  <c r="Q8" i="9"/>
  <c r="AD8" i="9"/>
  <c r="AE8" i="9"/>
  <c r="G8" i="9"/>
  <c r="O8" i="9"/>
  <c r="T8" i="9"/>
  <c r="AB8" i="9"/>
  <c r="AJ8" i="9"/>
  <c r="H8" i="9"/>
  <c r="P8" i="9"/>
  <c r="U8" i="9"/>
  <c r="AC8" i="9"/>
  <c r="AK8" i="9"/>
  <c r="J8" i="9"/>
  <c r="AM8" i="9"/>
  <c r="K8" i="9"/>
  <c r="X8" i="9"/>
  <c r="AF8" i="9"/>
  <c r="V8" i="9"/>
  <c r="AL8" i="9"/>
  <c r="W8" i="9"/>
  <c r="G7" i="9"/>
  <c r="O7" i="9"/>
  <c r="V7" i="9"/>
  <c r="AD7" i="9"/>
  <c r="AL7" i="9"/>
  <c r="H7" i="9"/>
  <c r="P7" i="9"/>
  <c r="W7" i="9"/>
  <c r="AE7" i="9"/>
  <c r="AM7" i="9"/>
  <c r="AJ7" i="9"/>
  <c r="AC7" i="9"/>
  <c r="I7" i="9"/>
  <c r="Q7" i="9"/>
  <c r="X7" i="9"/>
  <c r="AF7" i="9"/>
  <c r="J7" i="9"/>
  <c r="Y7" i="9"/>
  <c r="AG7" i="9"/>
  <c r="C7" i="9"/>
  <c r="K7" i="9"/>
  <c r="R7" i="9"/>
  <c r="Z7" i="9"/>
  <c r="AH7" i="9"/>
  <c r="D7" i="9"/>
  <c r="L7" i="9"/>
  <c r="S7" i="9"/>
  <c r="AA7" i="9"/>
  <c r="AI7" i="9"/>
  <c r="E7" i="9"/>
  <c r="M7" i="9"/>
  <c r="T7" i="9"/>
  <c r="AB7" i="9"/>
  <c r="F7" i="9"/>
  <c r="N7" i="9"/>
  <c r="U7" i="9"/>
  <c r="AK7" i="9"/>
  <c r="D10" i="2"/>
  <c r="AE9" i="4"/>
  <c r="AC9" i="4"/>
  <c r="AH9" i="4"/>
  <c r="BU9" i="4"/>
  <c r="R9" i="4"/>
  <c r="L9" i="4"/>
  <c r="W9" i="4"/>
  <c r="CE9" i="4"/>
  <c r="BD9" i="4"/>
  <c r="M9" i="4"/>
  <c r="X9" i="4"/>
  <c r="R10" i="4"/>
  <c r="BA10" i="4"/>
  <c r="BC10" i="4"/>
  <c r="AA10" i="4"/>
  <c r="BN10" i="4"/>
  <c r="O10" i="4"/>
  <c r="H10" i="4"/>
  <c r="J10" i="4"/>
  <c r="BI10" i="4"/>
  <c r="AZ10" i="4"/>
  <c r="T10" i="4"/>
  <c r="AL10" i="4"/>
  <c r="M10" i="4"/>
  <c r="L10" i="4"/>
  <c r="BY10" i="4"/>
  <c r="BD10" i="4"/>
  <c r="BP10" i="4"/>
  <c r="AD10" i="4"/>
  <c r="K10" i="4"/>
  <c r="BB10" i="4"/>
  <c r="W10" i="4"/>
  <c r="AC10" i="4"/>
  <c r="N10" i="4"/>
  <c r="BS10" i="4"/>
  <c r="BR10" i="4"/>
  <c r="Z10" i="4"/>
  <c r="BV10" i="4"/>
  <c r="BX10" i="4"/>
  <c r="AO10" i="4"/>
  <c r="CB10" i="4"/>
  <c r="BH10" i="4"/>
  <c r="AB10" i="4"/>
  <c r="AT10" i="4"/>
  <c r="CC10" i="4"/>
  <c r="U10" i="4"/>
  <c r="AS10" i="4"/>
  <c r="F10" i="4"/>
  <c r="BQ10" i="4"/>
  <c r="AJ10" i="4"/>
  <c r="BG10" i="4"/>
  <c r="BJ10" i="4"/>
  <c r="G10" i="4"/>
  <c r="BF10" i="4"/>
  <c r="CE10" i="4"/>
  <c r="AY10" i="4"/>
  <c r="AR10" i="4"/>
  <c r="D10" i="4"/>
  <c r="AF10" i="4"/>
  <c r="BK10" i="4"/>
  <c r="AG10" i="4"/>
  <c r="AQ10" i="4"/>
  <c r="CD10" i="4"/>
  <c r="AU10" i="4"/>
  <c r="AX10" i="4"/>
  <c r="BE10" i="4"/>
  <c r="AN10" i="4"/>
  <c r="X10" i="4"/>
  <c r="AM10" i="4"/>
  <c r="Q10" i="4"/>
  <c r="CF10" i="4"/>
  <c r="BZ10" i="4"/>
  <c r="AP10" i="4"/>
  <c r="BL10" i="4"/>
  <c r="BT10" i="4"/>
  <c r="S10" i="4"/>
  <c r="AW10" i="4"/>
  <c r="AV10" i="4"/>
  <c r="BU10" i="4"/>
  <c r="BO10" i="4"/>
  <c r="AH10" i="4"/>
  <c r="V10" i="4"/>
  <c r="CG10" i="4"/>
  <c r="AE10" i="4"/>
  <c r="AI10" i="4"/>
  <c r="P10" i="4"/>
  <c r="Y10" i="4"/>
  <c r="AK10" i="4"/>
  <c r="E10" i="4"/>
  <c r="BW10" i="4"/>
  <c r="CA10" i="4"/>
  <c r="C10" i="4"/>
  <c r="D11" i="2"/>
  <c r="D12" i="2" s="1"/>
  <c r="I10" i="4"/>
  <c r="BM10" i="4"/>
  <c r="D17" i="2"/>
  <c r="AW9" i="4"/>
  <c r="Z9" i="4"/>
  <c r="Y9" i="4"/>
  <c r="CF9" i="4"/>
  <c r="BV9" i="4"/>
  <c r="AU9" i="4"/>
  <c r="BF9" i="4"/>
  <c r="BC9" i="4"/>
  <c r="AT9" i="4"/>
  <c r="BW9" i="4"/>
  <c r="BB9" i="4"/>
  <c r="BA9" i="4"/>
  <c r="BJ9" i="4"/>
  <c r="T9" i="4"/>
  <c r="CC9" i="4"/>
  <c r="BY9" i="4"/>
  <c r="CG9" i="4"/>
  <c r="Q9" i="4"/>
  <c r="AY9" i="4"/>
  <c r="AQ9" i="4"/>
  <c r="AG9" i="4"/>
  <c r="BK9" i="4"/>
  <c r="AJ9" i="4"/>
  <c r="G9" i="4"/>
  <c r="N9" i="4"/>
  <c r="AN9" i="4"/>
  <c r="AK9" i="4"/>
  <c r="K9" i="4"/>
  <c r="AR9" i="4"/>
  <c r="O9" i="4"/>
  <c r="BI9" i="4"/>
  <c r="AA9" i="4"/>
  <c r="D9" i="4"/>
  <c r="AB9" i="4"/>
  <c r="AF9" i="4"/>
  <c r="E9" i="4"/>
  <c r="BT9" i="4"/>
  <c r="AS9" i="4"/>
  <c r="AZ9" i="4"/>
  <c r="AL9" i="4"/>
  <c r="BQ9" i="4"/>
  <c r="AD9" i="4"/>
  <c r="AV9" i="4"/>
  <c r="CA9" i="4"/>
  <c r="S9" i="4"/>
  <c r="BM9" i="4"/>
  <c r="BX9" i="4"/>
  <c r="BP9" i="4"/>
  <c r="AM9" i="4"/>
  <c r="C9" i="4"/>
  <c r="AX9" i="4"/>
  <c r="AI9" i="4"/>
  <c r="P9" i="4"/>
  <c r="AP9" i="4"/>
  <c r="V9" i="4"/>
  <c r="BN9" i="4"/>
  <c r="BL9" i="4"/>
  <c r="BE9" i="4"/>
  <c r="CD9" i="4"/>
  <c r="BZ9" i="4"/>
  <c r="F9" i="4"/>
  <c r="U9" i="4"/>
  <c r="BG9" i="4"/>
  <c r="AO9" i="4"/>
  <c r="J9" i="4"/>
  <c r="CB9" i="4"/>
  <c r="H9" i="4"/>
  <c r="BO9" i="4"/>
  <c r="BR9" i="4"/>
  <c r="BS9" i="4"/>
  <c r="BH9" i="4"/>
  <c r="I9" i="4"/>
  <c r="AE7" i="4"/>
  <c r="AM7" i="4"/>
  <c r="AW7" i="4"/>
  <c r="AD7" i="4"/>
  <c r="AL7" i="4"/>
  <c r="K7" i="4"/>
  <c r="C7" i="4"/>
  <c r="N7" i="4"/>
  <c r="BN7" i="4"/>
  <c r="M7" i="4"/>
  <c r="BY7" i="4"/>
  <c r="BT7" i="4"/>
  <c r="R7" i="4"/>
  <c r="O7" i="4"/>
  <c r="CD7" i="4"/>
  <c r="AK7" i="4"/>
  <c r="AN7" i="4"/>
  <c r="AJ7" i="4"/>
  <c r="BU7" i="4"/>
  <c r="T7" i="4"/>
  <c r="BH7" i="4"/>
  <c r="AO7" i="4"/>
  <c r="G7" i="4"/>
  <c r="BB7" i="4"/>
  <c r="AI7" i="4"/>
  <c r="S7" i="4"/>
  <c r="AC7" i="4"/>
  <c r="BG7" i="4"/>
  <c r="F7" i="4"/>
  <c r="AX7" i="4"/>
  <c r="D7" i="4"/>
  <c r="AQ7" i="4"/>
  <c r="BR7" i="4"/>
  <c r="Y7" i="4"/>
  <c r="BI7" i="4"/>
  <c r="BP7" i="4"/>
  <c r="BV7" i="4"/>
  <c r="X7" i="4"/>
  <c r="CB7" i="4"/>
  <c r="Q7" i="4"/>
  <c r="BW7" i="4"/>
  <c r="BX7" i="4"/>
  <c r="V7" i="4"/>
  <c r="P7" i="4"/>
  <c r="BA7" i="4"/>
  <c r="BQ7" i="4"/>
  <c r="BK7" i="4"/>
  <c r="AH7" i="4"/>
  <c r="CG7" i="4"/>
  <c r="AU7" i="4"/>
  <c r="BM7" i="4"/>
  <c r="U7" i="4"/>
  <c r="CF7" i="4"/>
  <c r="AV7" i="4"/>
  <c r="AB7" i="4"/>
  <c r="BF7" i="4"/>
  <c r="BZ7" i="4"/>
  <c r="AY7" i="4"/>
  <c r="AT7" i="4"/>
  <c r="L7" i="4"/>
  <c r="AA7" i="4"/>
  <c r="AS7" i="4"/>
  <c r="J7" i="4"/>
  <c r="BD7" i="4"/>
  <c r="AP7" i="4"/>
  <c r="AG7" i="4"/>
  <c r="I7" i="4"/>
  <c r="AF7" i="4"/>
  <c r="E7" i="4"/>
  <c r="CC7" i="4"/>
  <c r="CA7" i="4"/>
  <c r="BL7" i="4"/>
  <c r="AZ7" i="4"/>
  <c r="BS7" i="4"/>
  <c r="BO7" i="4"/>
  <c r="Z7" i="4"/>
  <c r="W7" i="4"/>
  <c r="BC7" i="4"/>
  <c r="BE7" i="4"/>
  <c r="AR7" i="4"/>
  <c r="CE7" i="4"/>
  <c r="BJ7" i="4"/>
  <c r="H7" i="4"/>
  <c r="AB4" i="16" l="1"/>
  <c r="D85" i="15"/>
  <c r="D93" i="15" s="1"/>
  <c r="E43" i="12" s="1"/>
  <c r="BW71" i="4"/>
  <c r="BW70" i="4"/>
  <c r="BW58" i="4"/>
  <c r="BW83" i="4"/>
  <c r="BW84" i="4"/>
  <c r="BW69" i="4"/>
  <c r="BW54" i="4"/>
  <c r="BW67" i="4"/>
  <c r="BW55" i="4"/>
  <c r="BW68" i="4"/>
  <c r="BW53" i="4"/>
  <c r="BW18" i="4"/>
  <c r="BW85" i="4"/>
  <c r="BW72" i="4"/>
  <c r="BW86" i="4"/>
  <c r="BW82" i="4"/>
  <c r="BW57" i="4"/>
  <c r="BW56" i="4"/>
  <c r="BW81" i="4"/>
  <c r="V56" i="4"/>
  <c r="V85" i="4"/>
  <c r="V82" i="4"/>
  <c r="V55" i="4"/>
  <c r="V70" i="4"/>
  <c r="V68" i="4"/>
  <c r="V84" i="4"/>
  <c r="V54" i="4"/>
  <c r="V83" i="4"/>
  <c r="V18" i="4"/>
  <c r="V57" i="4"/>
  <c r="V58" i="4"/>
  <c r="V86" i="4"/>
  <c r="V72" i="4"/>
  <c r="V53" i="4"/>
  <c r="V67" i="4"/>
  <c r="V17" i="4"/>
  <c r="V69" i="4"/>
  <c r="V71" i="4"/>
  <c r="V16" i="4"/>
  <c r="V81" i="4"/>
  <c r="BL71" i="4"/>
  <c r="BL54" i="4"/>
  <c r="BL85" i="4"/>
  <c r="BL82" i="4"/>
  <c r="BL55" i="4"/>
  <c r="BL67" i="4"/>
  <c r="BL58" i="4"/>
  <c r="BL18" i="4"/>
  <c r="BL56" i="4"/>
  <c r="BL53" i="4"/>
  <c r="BL83" i="4"/>
  <c r="BL68" i="4"/>
  <c r="BL84" i="4"/>
  <c r="BL70" i="4"/>
  <c r="BL69" i="4"/>
  <c r="BL81" i="4"/>
  <c r="BL86" i="4"/>
  <c r="BL72" i="4"/>
  <c r="BL57" i="4"/>
  <c r="J86" i="4"/>
  <c r="J56" i="4"/>
  <c r="J17" i="4"/>
  <c r="J71" i="4"/>
  <c r="J69" i="4"/>
  <c r="J54" i="4"/>
  <c r="J18" i="4"/>
  <c r="J82" i="4"/>
  <c r="J72" i="4"/>
  <c r="J85" i="4"/>
  <c r="J53" i="4"/>
  <c r="J81" i="4"/>
  <c r="J67" i="4"/>
  <c r="J83" i="4"/>
  <c r="J16" i="4"/>
  <c r="J57" i="4"/>
  <c r="J68" i="4"/>
  <c r="J70" i="4"/>
  <c r="J58" i="4"/>
  <c r="J84" i="4"/>
  <c r="J55" i="4"/>
  <c r="E81" i="4"/>
  <c r="E69" i="4"/>
  <c r="E54" i="4"/>
  <c r="E84" i="4"/>
  <c r="E71" i="4"/>
  <c r="E83" i="4"/>
  <c r="E18" i="4"/>
  <c r="E82" i="4"/>
  <c r="E55" i="4"/>
  <c r="E56" i="4"/>
  <c r="E53" i="4"/>
  <c r="E17" i="4"/>
  <c r="E67" i="4"/>
  <c r="E70" i="4"/>
  <c r="E68" i="4"/>
  <c r="E86" i="4"/>
  <c r="E58" i="4"/>
  <c r="E57" i="4"/>
  <c r="E16" i="4"/>
  <c r="E72" i="4"/>
  <c r="E85" i="4"/>
  <c r="AH69" i="4"/>
  <c r="AH72" i="4"/>
  <c r="AH56" i="4"/>
  <c r="AH68" i="4"/>
  <c r="AH86" i="4"/>
  <c r="AH18" i="4"/>
  <c r="AH58" i="4"/>
  <c r="AH85" i="4"/>
  <c r="AH71" i="4"/>
  <c r="AH54" i="4"/>
  <c r="AH55" i="4"/>
  <c r="AH81" i="4"/>
  <c r="AH67" i="4"/>
  <c r="AH83" i="4"/>
  <c r="AH16" i="4"/>
  <c r="AH82" i="4"/>
  <c r="AH70" i="4"/>
  <c r="AH53" i="4"/>
  <c r="AH57" i="4"/>
  <c r="AH17" i="4"/>
  <c r="AH84" i="4"/>
  <c r="AP71" i="4"/>
  <c r="AP58" i="4"/>
  <c r="AP56" i="4"/>
  <c r="AP82" i="4"/>
  <c r="AP81" i="4"/>
  <c r="AP69" i="4"/>
  <c r="AP68" i="4"/>
  <c r="AP54" i="4"/>
  <c r="AP72" i="4"/>
  <c r="AP83" i="4"/>
  <c r="AP86" i="4"/>
  <c r="AP53" i="4"/>
  <c r="AP57" i="4"/>
  <c r="AP70" i="4"/>
  <c r="AP84" i="4"/>
  <c r="AP55" i="4"/>
  <c r="AP18" i="4"/>
  <c r="AP67" i="4"/>
  <c r="AP85" i="4"/>
  <c r="AX70" i="4"/>
  <c r="AX83" i="4"/>
  <c r="AX57" i="4"/>
  <c r="AX55" i="4"/>
  <c r="AX67" i="4"/>
  <c r="AX69" i="4"/>
  <c r="AX56" i="4"/>
  <c r="AX68" i="4"/>
  <c r="AX53" i="4"/>
  <c r="AX71" i="4"/>
  <c r="AX58" i="4"/>
  <c r="AX81" i="4"/>
  <c r="AX54" i="4"/>
  <c r="AX86" i="4"/>
  <c r="AX82" i="4"/>
  <c r="AX72" i="4"/>
  <c r="AX18" i="4"/>
  <c r="AX85" i="4"/>
  <c r="AX84" i="4"/>
  <c r="AR70" i="4"/>
  <c r="AR81" i="4"/>
  <c r="AR83" i="4"/>
  <c r="AR53" i="4"/>
  <c r="AR69" i="4"/>
  <c r="AR82" i="4"/>
  <c r="AR72" i="4"/>
  <c r="AR71" i="4"/>
  <c r="AR86" i="4"/>
  <c r="AR84" i="4"/>
  <c r="AR85" i="4"/>
  <c r="AR54" i="4"/>
  <c r="AR55" i="4"/>
  <c r="AR58" i="4"/>
  <c r="AR67" i="4"/>
  <c r="AR57" i="4"/>
  <c r="AR68" i="4"/>
  <c r="AR18" i="4"/>
  <c r="AR56" i="4"/>
  <c r="AJ54" i="4"/>
  <c r="AJ58" i="4"/>
  <c r="AJ56" i="4"/>
  <c r="AJ67" i="4"/>
  <c r="AJ83" i="4"/>
  <c r="AJ55" i="4"/>
  <c r="AJ18" i="4"/>
  <c r="AJ81" i="4"/>
  <c r="AJ85" i="4"/>
  <c r="AJ70" i="4"/>
  <c r="AJ69" i="4"/>
  <c r="AJ68" i="4"/>
  <c r="AJ53" i="4"/>
  <c r="AJ72" i="4"/>
  <c r="AJ71" i="4"/>
  <c r="AJ86" i="4"/>
  <c r="AJ84" i="4"/>
  <c r="AJ57" i="4"/>
  <c r="AJ82" i="4"/>
  <c r="BH70" i="4"/>
  <c r="BH72" i="4"/>
  <c r="BH81" i="4"/>
  <c r="BH58" i="4"/>
  <c r="BH85" i="4"/>
  <c r="BH82" i="4"/>
  <c r="BH83" i="4"/>
  <c r="BH18" i="4"/>
  <c r="BH68" i="4"/>
  <c r="BH54" i="4"/>
  <c r="BH71" i="4"/>
  <c r="BH53" i="4"/>
  <c r="BH69" i="4"/>
  <c r="BH57" i="4"/>
  <c r="BH56" i="4"/>
  <c r="BH67" i="4"/>
  <c r="BH86" i="4"/>
  <c r="BH55" i="4"/>
  <c r="BH84" i="4"/>
  <c r="N81" i="4"/>
  <c r="N58" i="4"/>
  <c r="N17" i="4"/>
  <c r="N71" i="4"/>
  <c r="N54" i="4"/>
  <c r="N84" i="4"/>
  <c r="N53" i="4"/>
  <c r="N86" i="4"/>
  <c r="N57" i="4"/>
  <c r="N18" i="4"/>
  <c r="N67" i="4"/>
  <c r="N69" i="4"/>
  <c r="N83" i="4"/>
  <c r="N82" i="4"/>
  <c r="N72" i="4"/>
  <c r="N55" i="4"/>
  <c r="N16" i="4"/>
  <c r="N56" i="4"/>
  <c r="N85" i="4"/>
  <c r="N68" i="4"/>
  <c r="N70" i="4"/>
  <c r="BY54" i="4"/>
  <c r="BY86" i="4"/>
  <c r="BY72" i="4"/>
  <c r="BY71" i="4"/>
  <c r="BY57" i="4"/>
  <c r="BY82" i="4"/>
  <c r="BY68" i="4"/>
  <c r="BY67" i="4"/>
  <c r="BY84" i="4"/>
  <c r="BY18" i="4"/>
  <c r="BY53" i="4"/>
  <c r="BY85" i="4"/>
  <c r="BY81" i="4"/>
  <c r="BY83" i="4"/>
  <c r="BY69" i="4"/>
  <c r="BY56" i="4"/>
  <c r="BY55" i="4"/>
  <c r="BY58" i="4"/>
  <c r="BY70" i="4"/>
  <c r="H82" i="4"/>
  <c r="H58" i="4"/>
  <c r="H69" i="4"/>
  <c r="H71" i="4"/>
  <c r="H72" i="4"/>
  <c r="H16" i="4"/>
  <c r="H55" i="4"/>
  <c r="H53" i="4"/>
  <c r="H85" i="4"/>
  <c r="H57" i="4"/>
  <c r="H56" i="4"/>
  <c r="H17" i="4"/>
  <c r="H68" i="4"/>
  <c r="H18" i="4"/>
  <c r="H70" i="4"/>
  <c r="H84" i="4"/>
  <c r="H81" i="4"/>
  <c r="H54" i="4"/>
  <c r="H83" i="4"/>
  <c r="H86" i="4"/>
  <c r="H67" i="4"/>
  <c r="BD58" i="4"/>
  <c r="BD83" i="4"/>
  <c r="BD56" i="4"/>
  <c r="BD84" i="4"/>
  <c r="BD72" i="4"/>
  <c r="BD81" i="4"/>
  <c r="BD70" i="4"/>
  <c r="BD86" i="4"/>
  <c r="BD71" i="4"/>
  <c r="BD69" i="4"/>
  <c r="BD85" i="4"/>
  <c r="BD53" i="4"/>
  <c r="BD57" i="4"/>
  <c r="BD82" i="4"/>
  <c r="BD67" i="4"/>
  <c r="BD55" i="4"/>
  <c r="BD68" i="4"/>
  <c r="BD18" i="4"/>
  <c r="BD54" i="4"/>
  <c r="AK18" i="4"/>
  <c r="AK83" i="4"/>
  <c r="AK54" i="4"/>
  <c r="AK84" i="4"/>
  <c r="AK81" i="4"/>
  <c r="AK68" i="4"/>
  <c r="AK82" i="4"/>
  <c r="AK85" i="4"/>
  <c r="AK71" i="4"/>
  <c r="AK55" i="4"/>
  <c r="AK70" i="4"/>
  <c r="AK69" i="4"/>
  <c r="AK72" i="4"/>
  <c r="AK67" i="4"/>
  <c r="AK86" i="4"/>
  <c r="AK57" i="4"/>
  <c r="AK56" i="4"/>
  <c r="AK58" i="4"/>
  <c r="AK53" i="4"/>
  <c r="BO84" i="4"/>
  <c r="BO71" i="4"/>
  <c r="BO56" i="4"/>
  <c r="BO54" i="4"/>
  <c r="BO69" i="4"/>
  <c r="BO67" i="4"/>
  <c r="BO68" i="4"/>
  <c r="BO55" i="4"/>
  <c r="BO83" i="4"/>
  <c r="BO72" i="4"/>
  <c r="BO18" i="4"/>
  <c r="BO82" i="4"/>
  <c r="BO70" i="4"/>
  <c r="BO58" i="4"/>
  <c r="BO86" i="4"/>
  <c r="BO81" i="4"/>
  <c r="BO57" i="4"/>
  <c r="BO85" i="4"/>
  <c r="BO53" i="4"/>
  <c r="BZ68" i="4"/>
  <c r="BZ70" i="4"/>
  <c r="BZ72" i="4"/>
  <c r="BZ18" i="4"/>
  <c r="BZ69" i="4"/>
  <c r="BZ55" i="4"/>
  <c r="BZ82" i="4"/>
  <c r="BZ83" i="4"/>
  <c r="BZ84" i="4"/>
  <c r="BZ67" i="4"/>
  <c r="BZ86" i="4"/>
  <c r="BZ57" i="4"/>
  <c r="BZ56" i="4"/>
  <c r="BZ58" i="4"/>
  <c r="BZ85" i="4"/>
  <c r="BZ53" i="4"/>
  <c r="BZ81" i="4"/>
  <c r="BZ71" i="4"/>
  <c r="BZ54" i="4"/>
  <c r="AU82" i="4"/>
  <c r="AU55" i="4"/>
  <c r="AU81" i="4"/>
  <c r="AU84" i="4"/>
  <c r="AU18" i="4"/>
  <c r="AU85" i="4"/>
  <c r="AU71" i="4"/>
  <c r="AU69" i="4"/>
  <c r="AU57" i="4"/>
  <c r="AU72" i="4"/>
  <c r="AU56" i="4"/>
  <c r="AU67" i="4"/>
  <c r="AU68" i="4"/>
  <c r="AU83" i="4"/>
  <c r="AU53" i="4"/>
  <c r="AU54" i="4"/>
  <c r="AU58" i="4"/>
  <c r="AU70" i="4"/>
  <c r="AU86" i="4"/>
  <c r="AY85" i="4"/>
  <c r="AY82" i="4"/>
  <c r="AY72" i="4"/>
  <c r="AY56" i="4"/>
  <c r="AY54" i="4"/>
  <c r="AY18" i="4"/>
  <c r="AY83" i="4"/>
  <c r="AY84" i="4"/>
  <c r="AY53" i="4"/>
  <c r="AY57" i="4"/>
  <c r="AY81" i="4"/>
  <c r="AY67" i="4"/>
  <c r="AY71" i="4"/>
  <c r="AY55" i="4"/>
  <c r="AY58" i="4"/>
  <c r="AY69" i="4"/>
  <c r="AY68" i="4"/>
  <c r="AY86" i="4"/>
  <c r="AY70" i="4"/>
  <c r="BQ67" i="4"/>
  <c r="BQ86" i="4"/>
  <c r="BQ18" i="4"/>
  <c r="BQ85" i="4"/>
  <c r="BQ55" i="4"/>
  <c r="BQ57" i="4"/>
  <c r="BQ68" i="4"/>
  <c r="BQ54" i="4"/>
  <c r="BQ81" i="4"/>
  <c r="BQ70" i="4"/>
  <c r="BQ84" i="4"/>
  <c r="BQ83" i="4"/>
  <c r="BQ53" i="4"/>
  <c r="BQ58" i="4"/>
  <c r="BQ72" i="4"/>
  <c r="BQ71" i="4"/>
  <c r="BQ69" i="4"/>
  <c r="BQ82" i="4"/>
  <c r="BQ56" i="4"/>
  <c r="CB71" i="4"/>
  <c r="CB69" i="4"/>
  <c r="CB18" i="4"/>
  <c r="CB55" i="4"/>
  <c r="CB72" i="4"/>
  <c r="CB67" i="4"/>
  <c r="CB57" i="4"/>
  <c r="CB83" i="4"/>
  <c r="CB81" i="4"/>
  <c r="CB82" i="4"/>
  <c r="CB70" i="4"/>
  <c r="CB68" i="4"/>
  <c r="CB86" i="4"/>
  <c r="CB56" i="4"/>
  <c r="CB85" i="4"/>
  <c r="CB54" i="4"/>
  <c r="CB84" i="4"/>
  <c r="CB53" i="4"/>
  <c r="CB58" i="4"/>
  <c r="AC67" i="4"/>
  <c r="AC83" i="4"/>
  <c r="AC57" i="4"/>
  <c r="AC68" i="4"/>
  <c r="AC72" i="4"/>
  <c r="AC54" i="4"/>
  <c r="AC71" i="4"/>
  <c r="AC55" i="4"/>
  <c r="AC58" i="4"/>
  <c r="AC82" i="4"/>
  <c r="AC85" i="4"/>
  <c r="AC86" i="4"/>
  <c r="AC18" i="4"/>
  <c r="AC81" i="4"/>
  <c r="AC56" i="4"/>
  <c r="AC53" i="4"/>
  <c r="AC84" i="4"/>
  <c r="AC69" i="4"/>
  <c r="AC70" i="4"/>
  <c r="AC16" i="4"/>
  <c r="AC17" i="4"/>
  <c r="L16" i="4"/>
  <c r="L17" i="4"/>
  <c r="L69" i="4"/>
  <c r="L56" i="4"/>
  <c r="L82" i="4"/>
  <c r="L85" i="4"/>
  <c r="L70" i="4"/>
  <c r="L67" i="4"/>
  <c r="L68" i="4"/>
  <c r="L71" i="4"/>
  <c r="L57" i="4"/>
  <c r="L86" i="4"/>
  <c r="L72" i="4"/>
  <c r="L83" i="4"/>
  <c r="L55" i="4"/>
  <c r="L18" i="4"/>
  <c r="L81" i="4"/>
  <c r="L58" i="4"/>
  <c r="L53" i="4"/>
  <c r="L84" i="4"/>
  <c r="L54" i="4"/>
  <c r="O71" i="4"/>
  <c r="O55" i="4"/>
  <c r="O53" i="4"/>
  <c r="O16" i="4"/>
  <c r="O86" i="4"/>
  <c r="O58" i="4"/>
  <c r="O81" i="4"/>
  <c r="O84" i="4"/>
  <c r="O56" i="4"/>
  <c r="O57" i="4"/>
  <c r="O17" i="4"/>
  <c r="O67" i="4"/>
  <c r="O68" i="4"/>
  <c r="O72" i="4"/>
  <c r="O18" i="4"/>
  <c r="O69" i="4"/>
  <c r="O70" i="4"/>
  <c r="O85" i="4"/>
  <c r="O82" i="4"/>
  <c r="O83" i="4"/>
  <c r="O54" i="4"/>
  <c r="BS69" i="4"/>
  <c r="BS81" i="4"/>
  <c r="BS55" i="4"/>
  <c r="BS83" i="4"/>
  <c r="BS56" i="4"/>
  <c r="BS68" i="4"/>
  <c r="BS67" i="4"/>
  <c r="BS86" i="4"/>
  <c r="BS70" i="4"/>
  <c r="BS85" i="4"/>
  <c r="BS53" i="4"/>
  <c r="BS54" i="4"/>
  <c r="BS72" i="4"/>
  <c r="BS18" i="4"/>
  <c r="BS71" i="4"/>
  <c r="BS58" i="4"/>
  <c r="BS57" i="4"/>
  <c r="BS82" i="4"/>
  <c r="BS84" i="4"/>
  <c r="BM57" i="4"/>
  <c r="BM72" i="4"/>
  <c r="BM18" i="4"/>
  <c r="BM71" i="4"/>
  <c r="BM70" i="4"/>
  <c r="BM81" i="4"/>
  <c r="BM53" i="4"/>
  <c r="BM85" i="4"/>
  <c r="BM83" i="4"/>
  <c r="BM54" i="4"/>
  <c r="BM68" i="4"/>
  <c r="BM84" i="4"/>
  <c r="BM86" i="4"/>
  <c r="BM55" i="4"/>
  <c r="BM69" i="4"/>
  <c r="BM67" i="4"/>
  <c r="BM58" i="4"/>
  <c r="BM56" i="4"/>
  <c r="BM82" i="4"/>
  <c r="Y16" i="4"/>
  <c r="Y57" i="4"/>
  <c r="Y67" i="4"/>
  <c r="Y54" i="4"/>
  <c r="Y83" i="4"/>
  <c r="Y86" i="4"/>
  <c r="Y53" i="4"/>
  <c r="Y68" i="4"/>
  <c r="Y69" i="4"/>
  <c r="Y72" i="4"/>
  <c r="Y82" i="4"/>
  <c r="Y56" i="4"/>
  <c r="Y85" i="4"/>
  <c r="Y71" i="4"/>
  <c r="Y81" i="4"/>
  <c r="Y55" i="4"/>
  <c r="Y84" i="4"/>
  <c r="Y18" i="4"/>
  <c r="Y58" i="4"/>
  <c r="Y17" i="4"/>
  <c r="Y70" i="4"/>
  <c r="BU53" i="4"/>
  <c r="BU67" i="4"/>
  <c r="BU56" i="4"/>
  <c r="BU83" i="4"/>
  <c r="BU70" i="4"/>
  <c r="BU57" i="4"/>
  <c r="BU84" i="4"/>
  <c r="BU85" i="4"/>
  <c r="BU58" i="4"/>
  <c r="BU69" i="4"/>
  <c r="BU18" i="4"/>
  <c r="BU71" i="4"/>
  <c r="BU82" i="4"/>
  <c r="BU55" i="4"/>
  <c r="BU72" i="4"/>
  <c r="BU86" i="4"/>
  <c r="BU81" i="4"/>
  <c r="BU54" i="4"/>
  <c r="BU68" i="4"/>
  <c r="CF53" i="4"/>
  <c r="CF82" i="4"/>
  <c r="CF84" i="4"/>
  <c r="CF71" i="4"/>
  <c r="CF69" i="4"/>
  <c r="CF68" i="4"/>
  <c r="CF67" i="4"/>
  <c r="CF57" i="4"/>
  <c r="CF54" i="4"/>
  <c r="CF58" i="4"/>
  <c r="CF72" i="4"/>
  <c r="CF86" i="4"/>
  <c r="CF81" i="4"/>
  <c r="CF55" i="4"/>
  <c r="CF56" i="4"/>
  <c r="CF18" i="4"/>
  <c r="CF85" i="4"/>
  <c r="CF83" i="4"/>
  <c r="CF70" i="4"/>
  <c r="CD68" i="4"/>
  <c r="CD83" i="4"/>
  <c r="CD54" i="4"/>
  <c r="CD86" i="4"/>
  <c r="CD72" i="4"/>
  <c r="CD67" i="4"/>
  <c r="CD82" i="4"/>
  <c r="CD18" i="4"/>
  <c r="CD57" i="4"/>
  <c r="CD85" i="4"/>
  <c r="CD84" i="4"/>
  <c r="CD81" i="4"/>
  <c r="CD71" i="4"/>
  <c r="CD69" i="4"/>
  <c r="CD55" i="4"/>
  <c r="CD58" i="4"/>
  <c r="CD70" i="4"/>
  <c r="CD56" i="4"/>
  <c r="CD53" i="4"/>
  <c r="CE84" i="4"/>
  <c r="CE86" i="4"/>
  <c r="CE54" i="4"/>
  <c r="CE67" i="4"/>
  <c r="CE55" i="4"/>
  <c r="CE53" i="4"/>
  <c r="CE85" i="4"/>
  <c r="CE72" i="4"/>
  <c r="CE68" i="4"/>
  <c r="CE56" i="4"/>
  <c r="CE18" i="4"/>
  <c r="CE69" i="4"/>
  <c r="CE70" i="4"/>
  <c r="CE81" i="4"/>
  <c r="CE82" i="4"/>
  <c r="CE58" i="4"/>
  <c r="CE71" i="4"/>
  <c r="CE57" i="4"/>
  <c r="CE83" i="4"/>
  <c r="F55" i="4"/>
  <c r="F18" i="4"/>
  <c r="F72" i="4"/>
  <c r="F68" i="4"/>
  <c r="F81" i="4"/>
  <c r="F56" i="4"/>
  <c r="F53" i="4"/>
  <c r="F82" i="4"/>
  <c r="F16" i="4"/>
  <c r="F85" i="4"/>
  <c r="F69" i="4"/>
  <c r="F57" i="4"/>
  <c r="F84" i="4"/>
  <c r="F83" i="4"/>
  <c r="F17" i="4"/>
  <c r="F70" i="4"/>
  <c r="F67" i="4"/>
  <c r="F54" i="4"/>
  <c r="F86" i="4"/>
  <c r="F71" i="4"/>
  <c r="F58" i="4"/>
  <c r="AO70" i="4"/>
  <c r="AO85" i="4"/>
  <c r="AO86" i="4"/>
  <c r="AO71" i="4"/>
  <c r="AO68" i="4"/>
  <c r="AO54" i="4"/>
  <c r="AO57" i="4"/>
  <c r="AO82" i="4"/>
  <c r="AO58" i="4"/>
  <c r="AO81" i="4"/>
  <c r="AO55" i="4"/>
  <c r="AO53" i="4"/>
  <c r="AO84" i="4"/>
  <c r="AO72" i="4"/>
  <c r="AO18" i="4"/>
  <c r="AO56" i="4"/>
  <c r="AO67" i="4"/>
  <c r="AO69" i="4"/>
  <c r="AO83" i="4"/>
  <c r="W81" i="4"/>
  <c r="W71" i="4"/>
  <c r="W17" i="4"/>
  <c r="W84" i="4"/>
  <c r="W72" i="4"/>
  <c r="W68" i="4"/>
  <c r="W83" i="4"/>
  <c r="W82" i="4"/>
  <c r="W70" i="4"/>
  <c r="W18" i="4"/>
  <c r="W57" i="4"/>
  <c r="W55" i="4"/>
  <c r="W67" i="4"/>
  <c r="W16" i="4"/>
  <c r="W54" i="4"/>
  <c r="W56" i="4"/>
  <c r="W58" i="4"/>
  <c r="W85" i="4"/>
  <c r="W86" i="4"/>
  <c r="W53" i="4"/>
  <c r="W69" i="4"/>
  <c r="M71" i="4"/>
  <c r="M53" i="4"/>
  <c r="M86" i="4"/>
  <c r="M18" i="4"/>
  <c r="M54" i="4"/>
  <c r="M85" i="4"/>
  <c r="M70" i="4"/>
  <c r="M68" i="4"/>
  <c r="M55" i="4"/>
  <c r="M58" i="4"/>
  <c r="M57" i="4"/>
  <c r="M72" i="4"/>
  <c r="M84" i="4"/>
  <c r="M81" i="4"/>
  <c r="M82" i="4"/>
  <c r="M69" i="4"/>
  <c r="M16" i="4"/>
  <c r="M56" i="4"/>
  <c r="M83" i="4"/>
  <c r="M67" i="4"/>
  <c r="M17" i="4"/>
  <c r="BN18" i="4"/>
  <c r="BN72" i="4"/>
  <c r="BN68" i="4"/>
  <c r="BN86" i="4"/>
  <c r="BN55" i="4"/>
  <c r="BN83" i="4"/>
  <c r="BN67" i="4"/>
  <c r="BN58" i="4"/>
  <c r="BN69" i="4"/>
  <c r="BN82" i="4"/>
  <c r="BN70" i="4"/>
  <c r="BN81" i="4"/>
  <c r="BN84" i="4"/>
  <c r="BN85" i="4"/>
  <c r="BN71" i="4"/>
  <c r="BN53" i="4"/>
  <c r="BN54" i="4"/>
  <c r="BN56" i="4"/>
  <c r="BN57" i="4"/>
  <c r="BG18" i="4"/>
  <c r="BG70" i="4"/>
  <c r="BG56" i="4"/>
  <c r="BG68" i="4"/>
  <c r="BG69" i="4"/>
  <c r="BG81" i="4"/>
  <c r="BG57" i="4"/>
  <c r="BG72" i="4"/>
  <c r="BG58" i="4"/>
  <c r="BG71" i="4"/>
  <c r="BG86" i="4"/>
  <c r="BG82" i="4"/>
  <c r="BG53" i="4"/>
  <c r="BG54" i="4"/>
  <c r="BG67" i="4"/>
  <c r="BG55" i="4"/>
  <c r="BG85" i="4"/>
  <c r="BG83" i="4"/>
  <c r="BG84" i="4"/>
  <c r="I83" i="4"/>
  <c r="I71" i="4"/>
  <c r="I70" i="4"/>
  <c r="I86" i="4"/>
  <c r="I69" i="4"/>
  <c r="I84" i="4"/>
  <c r="I18" i="4"/>
  <c r="I17" i="4"/>
  <c r="I57" i="4"/>
  <c r="I82" i="4"/>
  <c r="I56" i="4"/>
  <c r="I16" i="4"/>
  <c r="I85" i="4"/>
  <c r="I55" i="4"/>
  <c r="I81" i="4"/>
  <c r="I58" i="4"/>
  <c r="I54" i="4"/>
  <c r="I53" i="4"/>
  <c r="I72" i="4"/>
  <c r="I68" i="4"/>
  <c r="I67" i="4"/>
  <c r="P67" i="4"/>
  <c r="P17" i="4"/>
  <c r="P85" i="4"/>
  <c r="P57" i="4"/>
  <c r="P72" i="4"/>
  <c r="P53" i="4"/>
  <c r="P55" i="4"/>
  <c r="P69" i="4"/>
  <c r="P56" i="4"/>
  <c r="P70" i="4"/>
  <c r="P86" i="4"/>
  <c r="P18" i="4"/>
  <c r="P58" i="4"/>
  <c r="P16" i="4"/>
  <c r="P81" i="4"/>
  <c r="P83" i="4"/>
  <c r="P71" i="4"/>
  <c r="P84" i="4"/>
  <c r="P68" i="4"/>
  <c r="P54" i="4"/>
  <c r="P82" i="4"/>
  <c r="AV81" i="4"/>
  <c r="AV71" i="4"/>
  <c r="AV57" i="4"/>
  <c r="AV53" i="4"/>
  <c r="AV82" i="4"/>
  <c r="AV54" i="4"/>
  <c r="AV58" i="4"/>
  <c r="AV67" i="4"/>
  <c r="AV55" i="4"/>
  <c r="AV85" i="4"/>
  <c r="AV72" i="4"/>
  <c r="AV56" i="4"/>
  <c r="AV68" i="4"/>
  <c r="AV84" i="4"/>
  <c r="AV86" i="4"/>
  <c r="AV70" i="4"/>
  <c r="AV18" i="4"/>
  <c r="AV83" i="4"/>
  <c r="AV69" i="4"/>
  <c r="Q84" i="4"/>
  <c r="Q85" i="4"/>
  <c r="Q72" i="4"/>
  <c r="Q54" i="4"/>
  <c r="Q83" i="4"/>
  <c r="Q82" i="4"/>
  <c r="Q86" i="4"/>
  <c r="Q81" i="4"/>
  <c r="Q69" i="4"/>
  <c r="Q53" i="4"/>
  <c r="Q70" i="4"/>
  <c r="Q18" i="4"/>
  <c r="Q55" i="4"/>
  <c r="Q56" i="4"/>
  <c r="Q57" i="4"/>
  <c r="Q16" i="4"/>
  <c r="Q17" i="4"/>
  <c r="Q67" i="4"/>
  <c r="Q71" i="4"/>
  <c r="Q58" i="4"/>
  <c r="Q68" i="4"/>
  <c r="AQ56" i="4"/>
  <c r="AQ70" i="4"/>
  <c r="AQ83" i="4"/>
  <c r="AQ57" i="4"/>
  <c r="AQ55" i="4"/>
  <c r="AQ85" i="4"/>
  <c r="AQ82" i="4"/>
  <c r="AQ53" i="4"/>
  <c r="AQ67" i="4"/>
  <c r="AQ54" i="4"/>
  <c r="AQ86" i="4"/>
  <c r="AQ71" i="4"/>
  <c r="AQ68" i="4"/>
  <c r="AQ58" i="4"/>
  <c r="AQ18" i="4"/>
  <c r="AQ84" i="4"/>
  <c r="AQ81" i="4"/>
  <c r="AQ69" i="4"/>
  <c r="AQ72" i="4"/>
  <c r="BF55" i="4"/>
  <c r="BF58" i="4"/>
  <c r="BF72" i="4"/>
  <c r="BF68" i="4"/>
  <c r="BF71" i="4"/>
  <c r="BF86" i="4"/>
  <c r="BF57" i="4"/>
  <c r="BF18" i="4"/>
  <c r="BF83" i="4"/>
  <c r="BF54" i="4"/>
  <c r="BF82" i="4"/>
  <c r="BF56" i="4"/>
  <c r="BF69" i="4"/>
  <c r="BF70" i="4"/>
  <c r="BF84" i="4"/>
  <c r="BF53" i="4"/>
  <c r="BF81" i="4"/>
  <c r="BF67" i="4"/>
  <c r="BF85" i="4"/>
  <c r="AS82" i="4"/>
  <c r="AS55" i="4"/>
  <c r="AS68" i="4"/>
  <c r="AS85" i="4"/>
  <c r="AS18" i="4"/>
  <c r="AS56" i="4"/>
  <c r="AS86" i="4"/>
  <c r="AS58" i="4"/>
  <c r="AS57" i="4"/>
  <c r="AS71" i="4"/>
  <c r="AS53" i="4"/>
  <c r="AS54" i="4"/>
  <c r="AS81" i="4"/>
  <c r="AS67" i="4"/>
  <c r="AS72" i="4"/>
  <c r="AS84" i="4"/>
  <c r="AS83" i="4"/>
  <c r="AS70" i="4"/>
  <c r="AS69" i="4"/>
  <c r="BX84" i="4"/>
  <c r="BX72" i="4"/>
  <c r="BX70" i="4"/>
  <c r="BX71" i="4"/>
  <c r="BX85" i="4"/>
  <c r="BX83" i="4"/>
  <c r="BX55" i="4"/>
  <c r="BX57" i="4"/>
  <c r="BX58" i="4"/>
  <c r="BX69" i="4"/>
  <c r="BX68" i="4"/>
  <c r="BX67" i="4"/>
  <c r="BX82" i="4"/>
  <c r="BX86" i="4"/>
  <c r="BX18" i="4"/>
  <c r="BX54" i="4"/>
  <c r="BX81" i="4"/>
  <c r="BX53" i="4"/>
  <c r="BX56" i="4"/>
  <c r="BB68" i="4"/>
  <c r="BB83" i="4"/>
  <c r="BB56" i="4"/>
  <c r="BB85" i="4"/>
  <c r="BB18" i="4"/>
  <c r="BB84" i="4"/>
  <c r="BB69" i="4"/>
  <c r="BB82" i="4"/>
  <c r="BB71" i="4"/>
  <c r="BB81" i="4"/>
  <c r="BB58" i="4"/>
  <c r="BB53" i="4"/>
  <c r="BB72" i="4"/>
  <c r="BB86" i="4"/>
  <c r="BB70" i="4"/>
  <c r="BB67" i="4"/>
  <c r="BB55" i="4"/>
  <c r="BB57" i="4"/>
  <c r="BB54" i="4"/>
  <c r="AL56" i="4"/>
  <c r="AL82" i="4"/>
  <c r="AL18" i="4"/>
  <c r="AL67" i="4"/>
  <c r="AL70" i="4"/>
  <c r="AL85" i="4"/>
  <c r="AL68" i="4"/>
  <c r="AL54" i="4"/>
  <c r="AL69" i="4"/>
  <c r="AL86" i="4"/>
  <c r="AL83" i="4"/>
  <c r="AL57" i="4"/>
  <c r="AL71" i="4"/>
  <c r="AL53" i="4"/>
  <c r="AL55" i="4"/>
  <c r="AL58" i="4"/>
  <c r="AL72" i="4"/>
  <c r="AL84" i="4"/>
  <c r="AL81" i="4"/>
  <c r="AA18" i="4"/>
  <c r="AA54" i="4"/>
  <c r="AA68" i="4"/>
  <c r="AA81" i="4"/>
  <c r="AA83" i="4"/>
  <c r="AA70" i="4"/>
  <c r="AA53" i="4"/>
  <c r="AA69" i="4"/>
  <c r="AA85" i="4"/>
  <c r="AA71" i="4"/>
  <c r="AA72" i="4"/>
  <c r="AA67" i="4"/>
  <c r="AA58" i="4"/>
  <c r="AA16" i="4"/>
  <c r="AA56" i="4"/>
  <c r="AA82" i="4"/>
  <c r="AA57" i="4"/>
  <c r="AA86" i="4"/>
  <c r="AA84" i="4"/>
  <c r="AA17" i="4"/>
  <c r="AA55" i="4"/>
  <c r="AB86" i="4"/>
  <c r="AB17" i="4"/>
  <c r="AB71" i="4"/>
  <c r="AB84" i="4"/>
  <c r="AB69" i="4"/>
  <c r="AB18" i="4"/>
  <c r="AB70" i="4"/>
  <c r="AB56" i="4"/>
  <c r="AB54" i="4"/>
  <c r="AB67" i="4"/>
  <c r="AB72" i="4"/>
  <c r="AB58" i="4"/>
  <c r="AB82" i="4"/>
  <c r="AB53" i="4"/>
  <c r="AB81" i="4"/>
  <c r="AB16" i="4"/>
  <c r="AB57" i="4"/>
  <c r="AB55" i="4"/>
  <c r="AB68" i="4"/>
  <c r="AB85" i="4"/>
  <c r="AB83" i="4"/>
  <c r="D14" i="2"/>
  <c r="D13" i="2"/>
  <c r="AI83" i="4"/>
  <c r="AI58" i="4"/>
  <c r="AI84" i="4"/>
  <c r="AI56" i="4"/>
  <c r="AI70" i="4"/>
  <c r="AI86" i="4"/>
  <c r="AI82" i="4"/>
  <c r="AI72" i="4"/>
  <c r="AI81" i="4"/>
  <c r="AI57" i="4"/>
  <c r="AI71" i="4"/>
  <c r="AI53" i="4"/>
  <c r="AI85" i="4"/>
  <c r="AI69" i="4"/>
  <c r="AI54" i="4"/>
  <c r="AI18" i="4"/>
  <c r="AI67" i="4"/>
  <c r="AI68" i="4"/>
  <c r="AI55" i="4"/>
  <c r="AW58" i="4"/>
  <c r="AW72" i="4"/>
  <c r="AW53" i="4"/>
  <c r="AW85" i="4"/>
  <c r="AW69" i="4"/>
  <c r="AW81" i="4"/>
  <c r="AW18" i="4"/>
  <c r="AW83" i="4"/>
  <c r="AW71" i="4"/>
  <c r="AW68" i="4"/>
  <c r="AW67" i="4"/>
  <c r="AW86" i="4"/>
  <c r="AW70" i="4"/>
  <c r="AW54" i="4"/>
  <c r="AW84" i="4"/>
  <c r="AW82" i="4"/>
  <c r="AW57" i="4"/>
  <c r="AW56" i="4"/>
  <c r="AW55" i="4"/>
  <c r="AM55" i="4"/>
  <c r="AM53" i="4"/>
  <c r="AM71" i="4"/>
  <c r="AM54" i="4"/>
  <c r="AM58" i="4"/>
  <c r="AM81" i="4"/>
  <c r="AM57" i="4"/>
  <c r="AM72" i="4"/>
  <c r="AM18" i="4"/>
  <c r="AM56" i="4"/>
  <c r="AM83" i="4"/>
  <c r="AM86" i="4"/>
  <c r="AM85" i="4"/>
  <c r="AM68" i="4"/>
  <c r="AM67" i="4"/>
  <c r="AM84" i="4"/>
  <c r="AM70" i="4"/>
  <c r="AM69" i="4"/>
  <c r="AM82" i="4"/>
  <c r="AG53" i="4"/>
  <c r="AG84" i="4"/>
  <c r="AG72" i="4"/>
  <c r="AG82" i="4"/>
  <c r="AG18" i="4"/>
  <c r="AG68" i="4"/>
  <c r="AG81" i="4"/>
  <c r="AG17" i="4"/>
  <c r="AG54" i="4"/>
  <c r="AG55" i="4"/>
  <c r="AG16" i="4"/>
  <c r="AG86" i="4"/>
  <c r="AG70" i="4"/>
  <c r="AG56" i="4"/>
  <c r="AG58" i="4"/>
  <c r="AG71" i="4"/>
  <c r="AG83" i="4"/>
  <c r="AG85" i="4"/>
  <c r="AG67" i="4"/>
  <c r="AG69" i="4"/>
  <c r="AG57" i="4"/>
  <c r="G57" i="4"/>
  <c r="G69" i="4"/>
  <c r="G85" i="4"/>
  <c r="G18" i="4"/>
  <c r="G55" i="4"/>
  <c r="G82" i="4"/>
  <c r="G53" i="4"/>
  <c r="G16" i="4"/>
  <c r="G67" i="4"/>
  <c r="G83" i="4"/>
  <c r="G86" i="4"/>
  <c r="G56" i="4"/>
  <c r="G70" i="4"/>
  <c r="G68" i="4"/>
  <c r="G17" i="4"/>
  <c r="G54" i="4"/>
  <c r="G71" i="4"/>
  <c r="G84" i="4"/>
  <c r="G81" i="4"/>
  <c r="G58" i="4"/>
  <c r="G72" i="4"/>
  <c r="U69" i="4"/>
  <c r="U86" i="4"/>
  <c r="U55" i="4"/>
  <c r="U57" i="4"/>
  <c r="U58" i="4"/>
  <c r="U16" i="4"/>
  <c r="U83" i="4"/>
  <c r="U18" i="4"/>
  <c r="U70" i="4"/>
  <c r="U72" i="4"/>
  <c r="U68" i="4"/>
  <c r="U81" i="4"/>
  <c r="U53" i="4"/>
  <c r="U84" i="4"/>
  <c r="U82" i="4"/>
  <c r="U56" i="4"/>
  <c r="U85" i="4"/>
  <c r="U54" i="4"/>
  <c r="U17" i="4"/>
  <c r="U67" i="4"/>
  <c r="U71" i="4"/>
  <c r="BV56" i="4"/>
  <c r="BV58" i="4"/>
  <c r="BV81" i="4"/>
  <c r="BV68" i="4"/>
  <c r="BV72" i="4"/>
  <c r="BV71" i="4"/>
  <c r="BV57" i="4"/>
  <c r="BV53" i="4"/>
  <c r="BV86" i="4"/>
  <c r="BV83" i="4"/>
  <c r="BV84" i="4"/>
  <c r="BV69" i="4"/>
  <c r="BV54" i="4"/>
  <c r="BV85" i="4"/>
  <c r="BV67" i="4"/>
  <c r="BV55" i="4"/>
  <c r="BV70" i="4"/>
  <c r="BV18" i="4"/>
  <c r="BV82" i="4"/>
  <c r="K69" i="4"/>
  <c r="K17" i="4"/>
  <c r="K72" i="4"/>
  <c r="K56" i="4"/>
  <c r="K82" i="4"/>
  <c r="K57" i="4"/>
  <c r="K55" i="4"/>
  <c r="K68" i="4"/>
  <c r="K81" i="4"/>
  <c r="K84" i="4"/>
  <c r="K16" i="4"/>
  <c r="K85" i="4"/>
  <c r="K67" i="4"/>
  <c r="K58" i="4"/>
  <c r="K83" i="4"/>
  <c r="K18" i="4"/>
  <c r="K70" i="4"/>
  <c r="K86" i="4"/>
  <c r="K54" i="4"/>
  <c r="K53" i="4"/>
  <c r="K71" i="4"/>
  <c r="T54" i="4"/>
  <c r="T82" i="4"/>
  <c r="T56" i="4"/>
  <c r="T71" i="4"/>
  <c r="T57" i="4"/>
  <c r="T85" i="4"/>
  <c r="T72" i="4"/>
  <c r="T84" i="4"/>
  <c r="T81" i="4"/>
  <c r="T18" i="4"/>
  <c r="T55" i="4"/>
  <c r="T86" i="4"/>
  <c r="T17" i="4"/>
  <c r="T16" i="4"/>
  <c r="T70" i="4"/>
  <c r="T67" i="4"/>
  <c r="T68" i="4"/>
  <c r="T58" i="4"/>
  <c r="T53" i="4"/>
  <c r="T83" i="4"/>
  <c r="T69" i="4"/>
  <c r="BC55" i="4"/>
  <c r="BC70" i="4"/>
  <c r="BC86" i="4"/>
  <c r="BC81" i="4"/>
  <c r="BC53" i="4"/>
  <c r="BC71" i="4"/>
  <c r="BC18" i="4"/>
  <c r="BC54" i="4"/>
  <c r="BC69" i="4"/>
  <c r="BC84" i="4"/>
  <c r="BC72" i="4"/>
  <c r="BC57" i="4"/>
  <c r="BC58" i="4"/>
  <c r="BC56" i="4"/>
  <c r="BC85" i="4"/>
  <c r="BC83" i="4"/>
  <c r="BC82" i="4"/>
  <c r="BC67" i="4"/>
  <c r="BC68" i="4"/>
  <c r="BE82" i="4"/>
  <c r="BE53" i="4"/>
  <c r="BE68" i="4"/>
  <c r="BE55" i="4"/>
  <c r="BE81" i="4"/>
  <c r="BE70" i="4"/>
  <c r="BE83" i="4"/>
  <c r="BE86" i="4"/>
  <c r="BE54" i="4"/>
  <c r="BE18" i="4"/>
  <c r="BE72" i="4"/>
  <c r="BE69" i="4"/>
  <c r="BE84" i="4"/>
  <c r="BE56" i="4"/>
  <c r="BE67" i="4"/>
  <c r="BE57" i="4"/>
  <c r="BE85" i="4"/>
  <c r="BE58" i="4"/>
  <c r="BE71" i="4"/>
  <c r="C58" i="4"/>
  <c r="C68" i="4"/>
  <c r="C84" i="4"/>
  <c r="C81" i="4"/>
  <c r="C71" i="4"/>
  <c r="C57" i="4"/>
  <c r="C16" i="4"/>
  <c r="C85" i="4"/>
  <c r="C67" i="4"/>
  <c r="C86" i="4"/>
  <c r="C56" i="4"/>
  <c r="C82" i="4"/>
  <c r="C55" i="4"/>
  <c r="C53" i="4"/>
  <c r="C54" i="4"/>
  <c r="C17" i="4"/>
  <c r="C72" i="4"/>
  <c r="C83" i="4"/>
  <c r="C18" i="4"/>
  <c r="C70" i="4"/>
  <c r="C69" i="4"/>
  <c r="AE71" i="4"/>
  <c r="AE72" i="4"/>
  <c r="AE67" i="4"/>
  <c r="AE54" i="4"/>
  <c r="AE57" i="4"/>
  <c r="AE56" i="4"/>
  <c r="AE16" i="4"/>
  <c r="AE83" i="4"/>
  <c r="AE84" i="4"/>
  <c r="AE18" i="4"/>
  <c r="AE81" i="4"/>
  <c r="AE17" i="4"/>
  <c r="AE55" i="4"/>
  <c r="AE69" i="4"/>
  <c r="AE58" i="4"/>
  <c r="AE70" i="4"/>
  <c r="AE82" i="4"/>
  <c r="AE53" i="4"/>
  <c r="AE85" i="4"/>
  <c r="AE86" i="4"/>
  <c r="AE68" i="4"/>
  <c r="S18" i="4"/>
  <c r="S68" i="4"/>
  <c r="S71" i="4"/>
  <c r="S56" i="4"/>
  <c r="S81" i="4"/>
  <c r="S84" i="4"/>
  <c r="S54" i="4"/>
  <c r="S16" i="4"/>
  <c r="S67" i="4"/>
  <c r="S82" i="4"/>
  <c r="S86" i="4"/>
  <c r="S17" i="4"/>
  <c r="S57" i="4"/>
  <c r="S83" i="4"/>
  <c r="S53" i="4"/>
  <c r="S58" i="4"/>
  <c r="S70" i="4"/>
  <c r="S85" i="4"/>
  <c r="S69" i="4"/>
  <c r="S55" i="4"/>
  <c r="S72" i="4"/>
  <c r="X18" i="4"/>
  <c r="X17" i="4"/>
  <c r="X53" i="4"/>
  <c r="X83" i="4"/>
  <c r="X55" i="4"/>
  <c r="X84" i="4"/>
  <c r="X69" i="4"/>
  <c r="X58" i="4"/>
  <c r="X81" i="4"/>
  <c r="X54" i="4"/>
  <c r="X71" i="4"/>
  <c r="X16" i="4"/>
  <c r="X86" i="4"/>
  <c r="X82" i="4"/>
  <c r="X68" i="4"/>
  <c r="X72" i="4"/>
  <c r="X70" i="4"/>
  <c r="X57" i="4"/>
  <c r="X85" i="4"/>
  <c r="X56" i="4"/>
  <c r="X67" i="4"/>
  <c r="BK82" i="4"/>
  <c r="BK70" i="4"/>
  <c r="BK69" i="4"/>
  <c r="BK84" i="4"/>
  <c r="BK55" i="4"/>
  <c r="BK67" i="4"/>
  <c r="BK72" i="4"/>
  <c r="BK53" i="4"/>
  <c r="BK18" i="4"/>
  <c r="BK58" i="4"/>
  <c r="BK54" i="4"/>
  <c r="BK85" i="4"/>
  <c r="BK71" i="4"/>
  <c r="BK68" i="4"/>
  <c r="BK81" i="4"/>
  <c r="BK56" i="4"/>
  <c r="BK57" i="4"/>
  <c r="BK86" i="4"/>
  <c r="BK83" i="4"/>
  <c r="BJ56" i="4"/>
  <c r="BJ68" i="4"/>
  <c r="BJ84" i="4"/>
  <c r="BJ57" i="4"/>
  <c r="BJ82" i="4"/>
  <c r="BJ70" i="4"/>
  <c r="BJ72" i="4"/>
  <c r="BJ53" i="4"/>
  <c r="BJ58" i="4"/>
  <c r="BJ83" i="4"/>
  <c r="BJ18" i="4"/>
  <c r="BJ69" i="4"/>
  <c r="BJ81" i="4"/>
  <c r="BJ55" i="4"/>
  <c r="BJ71" i="4"/>
  <c r="BJ85" i="4"/>
  <c r="BJ54" i="4"/>
  <c r="BJ86" i="4"/>
  <c r="BJ67" i="4"/>
  <c r="CC54" i="4"/>
  <c r="CC69" i="4"/>
  <c r="CC70" i="4"/>
  <c r="CC53" i="4"/>
  <c r="CC72" i="4"/>
  <c r="CC84" i="4"/>
  <c r="CC82" i="4"/>
  <c r="CC57" i="4"/>
  <c r="CC67" i="4"/>
  <c r="CC85" i="4"/>
  <c r="CC83" i="4"/>
  <c r="CC86" i="4"/>
  <c r="CC56" i="4"/>
  <c r="CC71" i="4"/>
  <c r="CC68" i="4"/>
  <c r="CC81" i="4"/>
  <c r="CC55" i="4"/>
  <c r="CC58" i="4"/>
  <c r="CC18" i="4"/>
  <c r="Z86" i="4"/>
  <c r="Z58" i="4"/>
  <c r="Z57" i="4"/>
  <c r="Z16" i="4"/>
  <c r="Z72" i="4"/>
  <c r="Z56" i="4"/>
  <c r="Z84" i="4"/>
  <c r="Z54" i="4"/>
  <c r="Z83" i="4"/>
  <c r="Z18" i="4"/>
  <c r="Z55" i="4"/>
  <c r="Z68" i="4"/>
  <c r="Z71" i="4"/>
  <c r="Z67" i="4"/>
  <c r="Z81" i="4"/>
  <c r="Z82" i="4"/>
  <c r="Z53" i="4"/>
  <c r="Z69" i="4"/>
  <c r="Z85" i="4"/>
  <c r="Z70" i="4"/>
  <c r="Z17" i="4"/>
  <c r="AD56" i="4"/>
  <c r="AD58" i="4"/>
  <c r="AD82" i="4"/>
  <c r="AD68" i="4"/>
  <c r="AD83" i="4"/>
  <c r="AD70" i="4"/>
  <c r="AD86" i="4"/>
  <c r="AD53" i="4"/>
  <c r="AD84" i="4"/>
  <c r="AD85" i="4"/>
  <c r="AD71" i="4"/>
  <c r="AD18" i="4"/>
  <c r="AD54" i="4"/>
  <c r="AD16" i="4"/>
  <c r="AD81" i="4"/>
  <c r="AD67" i="4"/>
  <c r="AD72" i="4"/>
  <c r="AD57" i="4"/>
  <c r="AD55" i="4"/>
  <c r="AD17" i="4"/>
  <c r="AD69" i="4"/>
  <c r="AZ69" i="4"/>
  <c r="AZ85" i="4"/>
  <c r="AZ71" i="4"/>
  <c r="AZ68" i="4"/>
  <c r="AZ58" i="4"/>
  <c r="AZ81" i="4"/>
  <c r="AZ57" i="4"/>
  <c r="AZ56" i="4"/>
  <c r="AZ86" i="4"/>
  <c r="AZ67" i="4"/>
  <c r="AZ83" i="4"/>
  <c r="AZ55" i="4"/>
  <c r="AZ18" i="4"/>
  <c r="AZ54" i="4"/>
  <c r="AZ53" i="4"/>
  <c r="AZ82" i="4"/>
  <c r="AZ84" i="4"/>
  <c r="AZ72" i="4"/>
  <c r="AZ70" i="4"/>
  <c r="BA56" i="4"/>
  <c r="BA82" i="4"/>
  <c r="BA69" i="4"/>
  <c r="BA85" i="4"/>
  <c r="BA53" i="4"/>
  <c r="BA57" i="4"/>
  <c r="BA71" i="4"/>
  <c r="BA18" i="4"/>
  <c r="BA70" i="4"/>
  <c r="BA84" i="4"/>
  <c r="BA58" i="4"/>
  <c r="BA72" i="4"/>
  <c r="BA55" i="4"/>
  <c r="BA67" i="4"/>
  <c r="BA83" i="4"/>
  <c r="BA81" i="4"/>
  <c r="BA54" i="4"/>
  <c r="BA68" i="4"/>
  <c r="BA86" i="4"/>
  <c r="D17" i="4"/>
  <c r="D82" i="4"/>
  <c r="D81" i="4"/>
  <c r="D84" i="4"/>
  <c r="D69" i="4"/>
  <c r="D56" i="4"/>
  <c r="D86" i="4"/>
  <c r="D18" i="4"/>
  <c r="D16" i="4"/>
  <c r="D55" i="4"/>
  <c r="D57" i="4"/>
  <c r="D85" i="4"/>
  <c r="D54" i="4"/>
  <c r="D67" i="4"/>
  <c r="D53" i="4"/>
  <c r="D70" i="4"/>
  <c r="D58" i="4"/>
  <c r="D83" i="4"/>
  <c r="D71" i="4"/>
  <c r="D72" i="4"/>
  <c r="D68" i="4"/>
  <c r="CA86" i="4"/>
  <c r="CA54" i="4"/>
  <c r="CA84" i="4"/>
  <c r="CA68" i="4"/>
  <c r="CA18" i="4"/>
  <c r="CA81" i="4"/>
  <c r="CA70" i="4"/>
  <c r="CA69" i="4"/>
  <c r="CA56" i="4"/>
  <c r="CA72" i="4"/>
  <c r="CA53" i="4"/>
  <c r="CA57" i="4"/>
  <c r="CA55" i="4"/>
  <c r="CA85" i="4"/>
  <c r="CA71" i="4"/>
  <c r="CA82" i="4"/>
  <c r="CA67" i="4"/>
  <c r="CA58" i="4"/>
  <c r="CA83" i="4"/>
  <c r="CG18" i="4"/>
  <c r="CG84" i="4"/>
  <c r="CG83" i="4"/>
  <c r="CG86" i="4"/>
  <c r="CG70" i="4"/>
  <c r="CG57" i="4"/>
  <c r="CG71" i="4"/>
  <c r="CG85" i="4"/>
  <c r="CG55" i="4"/>
  <c r="CG67" i="4"/>
  <c r="CG81" i="4"/>
  <c r="CG82" i="4"/>
  <c r="CG68" i="4"/>
  <c r="CG53" i="4"/>
  <c r="CG72" i="4"/>
  <c r="CG58" i="4"/>
  <c r="CG69" i="4"/>
  <c r="CG56" i="4"/>
  <c r="CG54" i="4"/>
  <c r="BT67" i="4"/>
  <c r="BT70" i="4"/>
  <c r="BT85" i="4"/>
  <c r="BT81" i="4"/>
  <c r="BT71" i="4"/>
  <c r="BT58" i="4"/>
  <c r="BT86" i="4"/>
  <c r="BT82" i="4"/>
  <c r="BT83" i="4"/>
  <c r="BT56" i="4"/>
  <c r="BT68" i="4"/>
  <c r="BT72" i="4"/>
  <c r="BT57" i="4"/>
  <c r="BT55" i="4"/>
  <c r="BT54" i="4"/>
  <c r="BT84" i="4"/>
  <c r="BT53" i="4"/>
  <c r="BT18" i="4"/>
  <c r="BT69" i="4"/>
  <c r="AN86" i="4"/>
  <c r="AN72" i="4"/>
  <c r="AN71" i="4"/>
  <c r="AN81" i="4"/>
  <c r="AN69" i="4"/>
  <c r="AN56" i="4"/>
  <c r="AN83" i="4"/>
  <c r="AN68" i="4"/>
  <c r="AN82" i="4"/>
  <c r="AN57" i="4"/>
  <c r="AN58" i="4"/>
  <c r="AN18" i="4"/>
  <c r="AN85" i="4"/>
  <c r="AN53" i="4"/>
  <c r="AN55" i="4"/>
  <c r="AN70" i="4"/>
  <c r="AN54" i="4"/>
  <c r="AN84" i="4"/>
  <c r="AN67" i="4"/>
  <c r="AF86" i="4"/>
  <c r="AF57" i="4"/>
  <c r="AF84" i="4"/>
  <c r="AF70" i="4"/>
  <c r="AF85" i="4"/>
  <c r="AF54" i="4"/>
  <c r="AF68" i="4"/>
  <c r="AF53" i="4"/>
  <c r="AF72" i="4"/>
  <c r="AF58" i="4"/>
  <c r="AF56" i="4"/>
  <c r="AF83" i="4"/>
  <c r="AF69" i="4"/>
  <c r="AF17" i="4"/>
  <c r="AF71" i="4"/>
  <c r="AF55" i="4"/>
  <c r="AF16" i="4"/>
  <c r="AF81" i="4"/>
  <c r="AF67" i="4"/>
  <c r="AF18" i="4"/>
  <c r="AF82" i="4"/>
  <c r="AT69" i="4"/>
  <c r="AT71" i="4"/>
  <c r="AT56" i="4"/>
  <c r="AT82" i="4"/>
  <c r="AT54" i="4"/>
  <c r="AT57" i="4"/>
  <c r="AT72" i="4"/>
  <c r="AT18" i="4"/>
  <c r="AT81" i="4"/>
  <c r="AT86" i="4"/>
  <c r="AT53" i="4"/>
  <c r="AT55" i="4"/>
  <c r="AT68" i="4"/>
  <c r="AT70" i="4"/>
  <c r="AT85" i="4"/>
  <c r="AT84" i="4"/>
  <c r="AT67" i="4"/>
  <c r="AT83" i="4"/>
  <c r="AT58" i="4"/>
  <c r="BR58" i="4"/>
  <c r="BR55" i="4"/>
  <c r="BR84" i="4"/>
  <c r="BR70" i="4"/>
  <c r="BR81" i="4"/>
  <c r="BR82" i="4"/>
  <c r="BR67" i="4"/>
  <c r="BR69" i="4"/>
  <c r="BR71" i="4"/>
  <c r="BR72" i="4"/>
  <c r="BR85" i="4"/>
  <c r="BR56" i="4"/>
  <c r="BR18" i="4"/>
  <c r="BR83" i="4"/>
  <c r="BR86" i="4"/>
  <c r="BR54" i="4"/>
  <c r="BR53" i="4"/>
  <c r="BR68" i="4"/>
  <c r="BR57" i="4"/>
  <c r="BP83" i="4"/>
  <c r="BP70" i="4"/>
  <c r="BP71" i="4"/>
  <c r="BP86" i="4"/>
  <c r="BP81" i="4"/>
  <c r="BP54" i="4"/>
  <c r="BP84" i="4"/>
  <c r="BP67" i="4"/>
  <c r="BP53" i="4"/>
  <c r="BP69" i="4"/>
  <c r="BP55" i="4"/>
  <c r="BP72" i="4"/>
  <c r="BP56" i="4"/>
  <c r="BP68" i="4"/>
  <c r="BP85" i="4"/>
  <c r="BP82" i="4"/>
  <c r="BP58" i="4"/>
  <c r="BP57" i="4"/>
  <c r="BP18" i="4"/>
  <c r="BI53" i="4"/>
  <c r="BI55" i="4"/>
  <c r="BI85" i="4"/>
  <c r="BI56" i="4"/>
  <c r="BI86" i="4"/>
  <c r="BI82" i="4"/>
  <c r="BI58" i="4"/>
  <c r="BI71" i="4"/>
  <c r="BI72" i="4"/>
  <c r="BI84" i="4"/>
  <c r="BI68" i="4"/>
  <c r="BI57" i="4"/>
  <c r="BI70" i="4"/>
  <c r="BI81" i="4"/>
  <c r="BI67" i="4"/>
  <c r="BI83" i="4"/>
  <c r="BI54" i="4"/>
  <c r="BI69" i="4"/>
  <c r="BI18" i="4"/>
  <c r="R54" i="4"/>
  <c r="R69" i="4"/>
  <c r="R16" i="4"/>
  <c r="R67" i="4"/>
  <c r="R85" i="4"/>
  <c r="R18" i="4"/>
  <c r="R53" i="4"/>
  <c r="R72" i="4"/>
  <c r="R56" i="4"/>
  <c r="R58" i="4"/>
  <c r="R68" i="4"/>
  <c r="R55" i="4"/>
  <c r="R86" i="4"/>
  <c r="R71" i="4"/>
  <c r="R83" i="4"/>
  <c r="R17" i="4"/>
  <c r="R84" i="4"/>
  <c r="R57" i="4"/>
  <c r="R70" i="4"/>
  <c r="R82" i="4"/>
  <c r="R81" i="4"/>
  <c r="G43" i="12" l="1"/>
  <c r="D16" i="2"/>
  <c r="D94" i="15"/>
  <c r="D95" i="15" s="1"/>
  <c r="E45" i="12" s="1"/>
  <c r="G45" i="12" s="1"/>
  <c r="E44" i="12" l="1"/>
  <c r="D101" i="15"/>
  <c r="D103" i="15"/>
  <c r="D102" i="15"/>
  <c r="D20" i="2"/>
  <c r="D18" i="2"/>
  <c r="D19" i="2"/>
  <c r="G44" i="12" l="1"/>
  <c r="G42" i="12" a="1"/>
  <c r="G42" i="12" s="1"/>
  <c r="L141" i="15"/>
  <c r="O139" i="15"/>
  <c r="W139" i="15"/>
  <c r="AE139" i="15"/>
  <c r="AM139" i="15"/>
  <c r="K134" i="15"/>
  <c r="S134" i="15"/>
  <c r="AA134" i="15"/>
  <c r="AI134" i="15"/>
  <c r="AQ134" i="15"/>
  <c r="O132" i="15"/>
  <c r="W132" i="15"/>
  <c r="AE132" i="15"/>
  <c r="AM132" i="15"/>
  <c r="P132" i="15"/>
  <c r="AF132" i="15"/>
  <c r="I132" i="15"/>
  <c r="Q139" i="15"/>
  <c r="Y139" i="15"/>
  <c r="AG139" i="15"/>
  <c r="M134" i="15"/>
  <c r="U134" i="15"/>
  <c r="AC134" i="15"/>
  <c r="AS134" i="15"/>
  <c r="Y132" i="15"/>
  <c r="AO132" i="15"/>
  <c r="AB139" i="15"/>
  <c r="AJ139" i="15"/>
  <c r="X134" i="15"/>
  <c r="L132" i="15"/>
  <c r="AR132" i="15"/>
  <c r="U139" i="15"/>
  <c r="Q134" i="15"/>
  <c r="AG134" i="15"/>
  <c r="U132" i="15"/>
  <c r="AS132" i="15"/>
  <c r="AD139" i="15"/>
  <c r="R134" i="15"/>
  <c r="AP134" i="15"/>
  <c r="AD132" i="15"/>
  <c r="K141" i="15"/>
  <c r="P139" i="15"/>
  <c r="X139" i="15"/>
  <c r="AF139" i="15"/>
  <c r="AN139" i="15"/>
  <c r="L134" i="15"/>
  <c r="T134" i="15"/>
  <c r="AB134" i="15"/>
  <c r="AJ134" i="15"/>
  <c r="AR134" i="15"/>
  <c r="X132" i="15"/>
  <c r="AN132" i="15"/>
  <c r="AO139" i="15"/>
  <c r="AK134" i="15"/>
  <c r="Q132" i="15"/>
  <c r="AG132" i="15"/>
  <c r="T139" i="15"/>
  <c r="P134" i="15"/>
  <c r="AN134" i="15"/>
  <c r="AB132" i="15"/>
  <c r="M139" i="15"/>
  <c r="AK139" i="15"/>
  <c r="Y134" i="15"/>
  <c r="M132" i="15"/>
  <c r="AK132" i="15"/>
  <c r="N139" i="15"/>
  <c r="AL139" i="15"/>
  <c r="Z134" i="15"/>
  <c r="N132" i="15"/>
  <c r="AL132" i="15"/>
  <c r="J139" i="15"/>
  <c r="R139" i="15"/>
  <c r="Z139" i="15"/>
  <c r="AH139" i="15"/>
  <c r="AP139" i="15"/>
  <c r="N134" i="15"/>
  <c r="V134" i="15"/>
  <c r="AD134" i="15"/>
  <c r="AL134" i="15"/>
  <c r="J132" i="15"/>
  <c r="R132" i="15"/>
  <c r="Z132" i="15"/>
  <c r="AH132" i="15"/>
  <c r="AP132" i="15"/>
  <c r="K139" i="15"/>
  <c r="S139" i="15"/>
  <c r="AA139" i="15"/>
  <c r="AI139" i="15"/>
  <c r="AQ139" i="15"/>
  <c r="O134" i="15"/>
  <c r="W134" i="15"/>
  <c r="AE134" i="15"/>
  <c r="AM134" i="15"/>
  <c r="K132" i="15"/>
  <c r="S132" i="15"/>
  <c r="AA132" i="15"/>
  <c r="AI132" i="15"/>
  <c r="AQ132" i="15"/>
  <c r="L139" i="15"/>
  <c r="AR139" i="15"/>
  <c r="AF134" i="15"/>
  <c r="T132" i="15"/>
  <c r="AJ132" i="15"/>
  <c r="AC139" i="15"/>
  <c r="AS139" i="15"/>
  <c r="AO134" i="15"/>
  <c r="AC132" i="15"/>
  <c r="V139" i="15"/>
  <c r="J134" i="15"/>
  <c r="AH134" i="15"/>
  <c r="V132" i="15"/>
  <c r="N141" i="15"/>
  <c r="I139" i="15"/>
  <c r="I134" i="15"/>
  <c r="AV132" i="15"/>
  <c r="D125" i="15" s="1"/>
  <c r="D128" i="15" s="1"/>
  <c r="D129" i="15" s="1"/>
  <c r="D26" i="2"/>
  <c r="D126" i="15" l="1"/>
  <c r="U133" i="15"/>
  <c r="U138" i="15"/>
  <c r="X133" i="15"/>
  <c r="X138" i="15"/>
  <c r="AE133" i="15"/>
  <c r="AE138" i="15"/>
  <c r="AJ133" i="15"/>
  <c r="AJ138" i="15"/>
  <c r="AI133" i="15"/>
  <c r="AI138" i="15"/>
  <c r="AR133" i="15"/>
  <c r="AR138" i="15"/>
  <c r="S133" i="15"/>
  <c r="S138" i="15"/>
  <c r="V133" i="15"/>
  <c r="V138" i="15"/>
  <c r="AD138" i="15"/>
  <c r="AD133" i="15"/>
  <c r="M133" i="15"/>
  <c r="M138" i="15"/>
  <c r="AB138" i="15"/>
  <c r="AB133" i="15"/>
  <c r="L133" i="15"/>
  <c r="L138" i="15"/>
  <c r="J133" i="15"/>
  <c r="J138" i="15"/>
  <c r="J142" i="15"/>
  <c r="L142" i="15" s="1"/>
  <c r="I142" i="15"/>
  <c r="K138" i="15"/>
  <c r="K133" i="15"/>
  <c r="AS133" i="15"/>
  <c r="AS138" i="15"/>
  <c r="Z133" i="15"/>
  <c r="Z138" i="15"/>
  <c r="Y133" i="15"/>
  <c r="Y138" i="15"/>
  <c r="P133" i="15"/>
  <c r="P138" i="15"/>
  <c r="AM133" i="15"/>
  <c r="AM138" i="15"/>
  <c r="AQ133" i="15"/>
  <c r="AQ138" i="15"/>
  <c r="R133" i="15"/>
  <c r="R138" i="15"/>
  <c r="AF133" i="15"/>
  <c r="AF138" i="15"/>
  <c r="AK138" i="15"/>
  <c r="AK133" i="15"/>
  <c r="AL133" i="15"/>
  <c r="AL138" i="15"/>
  <c r="AG133" i="15"/>
  <c r="AG138" i="15"/>
  <c r="AN133" i="15"/>
  <c r="AN138" i="15"/>
  <c r="AH133" i="15"/>
  <c r="AH138" i="15"/>
  <c r="AC133" i="15"/>
  <c r="AC138" i="15"/>
  <c r="T133" i="15"/>
  <c r="T138" i="15"/>
  <c r="W138" i="15"/>
  <c r="W133" i="15"/>
  <c r="AP133" i="15"/>
  <c r="AP138" i="15"/>
  <c r="O133" i="15"/>
  <c r="O138" i="15"/>
  <c r="N133" i="15"/>
  <c r="N138" i="15"/>
  <c r="AO133" i="15"/>
  <c r="AO138" i="15"/>
  <c r="AA133" i="15"/>
  <c r="AA138" i="15"/>
  <c r="Q133" i="15"/>
  <c r="Q138" i="15"/>
  <c r="I133" i="15"/>
  <c r="I138" i="15"/>
  <c r="D27" i="2"/>
  <c r="D43" i="2" s="1"/>
  <c r="D28" i="2"/>
  <c r="D29" i="2" s="1"/>
  <c r="D30" i="2" s="1"/>
  <c r="C32" i="2" s="1"/>
  <c r="M142" i="15" l="1"/>
  <c r="N142" i="15" s="1"/>
  <c r="K142" i="15"/>
  <c r="D44" i="2"/>
  <c r="D35" i="2"/>
  <c r="D45" i="2" l="1"/>
  <c r="D60" i="2" s="1"/>
  <c r="D36" i="2"/>
  <c r="D37" i="2" s="1"/>
  <c r="D55" i="2"/>
  <c r="C22" i="9" s="1"/>
  <c r="D52" i="2"/>
  <c r="BY40" i="4" s="1"/>
  <c r="I143" i="15"/>
  <c r="J143" i="15"/>
  <c r="L143" i="15" s="1"/>
  <c r="D53" i="2" l="1"/>
  <c r="D57" i="2"/>
  <c r="D58" i="2" s="1"/>
  <c r="D50" i="2"/>
  <c r="V23" i="4" s="1"/>
  <c r="V31" i="4" s="1"/>
  <c r="M143" i="15"/>
  <c r="N143" i="15" s="1"/>
  <c r="K143" i="15"/>
  <c r="AY40" i="4"/>
  <c r="AY97" i="4" s="1"/>
  <c r="BK40" i="4"/>
  <c r="BK105" i="4" s="1"/>
  <c r="AK40" i="4"/>
  <c r="AK43" i="4" s="1"/>
  <c r="C40" i="4"/>
  <c r="C44" i="4" s="1"/>
  <c r="U40" i="4"/>
  <c r="U95" i="4" s="1"/>
  <c r="BV40" i="4"/>
  <c r="BV44" i="4" s="1"/>
  <c r="R40" i="4"/>
  <c r="R41" i="4" s="1"/>
  <c r="BS40" i="4"/>
  <c r="BS104" i="4" s="1"/>
  <c r="H40" i="4"/>
  <c r="H42" i="4" s="1"/>
  <c r="I40" i="4"/>
  <c r="I41" i="4" s="1"/>
  <c r="O40" i="4"/>
  <c r="O98" i="4" s="1"/>
  <c r="AI40" i="4"/>
  <c r="AI96" i="4" s="1"/>
  <c r="AM40" i="4"/>
  <c r="AM106" i="4" s="1"/>
  <c r="W40" i="4"/>
  <c r="W45" i="4" s="1"/>
  <c r="CG40" i="4"/>
  <c r="CG98" i="4" s="1"/>
  <c r="BZ40" i="4"/>
  <c r="BZ45" i="4" s="1"/>
  <c r="V40" i="4"/>
  <c r="V105" i="4" s="1"/>
  <c r="AQ40" i="4"/>
  <c r="AQ98" i="4" s="1"/>
  <c r="AT40" i="4"/>
  <c r="AT104" i="4" s="1"/>
  <c r="BD40" i="4"/>
  <c r="BD44" i="4" s="1"/>
  <c r="T40" i="4"/>
  <c r="T42" i="4" s="1"/>
  <c r="N40" i="4"/>
  <c r="N97" i="4" s="1"/>
  <c r="AL40" i="4"/>
  <c r="AL44" i="4" s="1"/>
  <c r="AW40" i="4"/>
  <c r="AW98" i="4" s="1"/>
  <c r="AC40" i="4"/>
  <c r="AC41" i="4" s="1"/>
  <c r="Y40" i="4"/>
  <c r="Y44" i="4" s="1"/>
  <c r="AV40" i="4"/>
  <c r="AV43" i="4" s="1"/>
  <c r="L40" i="4"/>
  <c r="L44" i="4" s="1"/>
  <c r="AE40" i="4"/>
  <c r="AE41" i="4" s="1"/>
  <c r="M40" i="4"/>
  <c r="M95" i="4" s="1"/>
  <c r="Q40" i="4"/>
  <c r="Q97" i="4" s="1"/>
  <c r="F40" i="4"/>
  <c r="F105" i="4" s="1"/>
  <c r="BA40" i="4"/>
  <c r="BA96" i="4" s="1"/>
  <c r="AN40" i="4"/>
  <c r="AN98" i="4" s="1"/>
  <c r="AP40" i="4"/>
  <c r="AP95" i="4" s="1"/>
  <c r="AO40" i="4"/>
  <c r="AO107" i="4" s="1"/>
  <c r="BF40" i="4"/>
  <c r="BF95" i="4" s="1"/>
  <c r="BP40" i="4"/>
  <c r="BP105" i="4" s="1"/>
  <c r="BM40" i="4"/>
  <c r="BM43" i="4" s="1"/>
  <c r="CE40" i="4"/>
  <c r="CE46" i="4" s="1"/>
  <c r="CB40" i="4"/>
  <c r="CB105" i="4" s="1"/>
  <c r="AG40" i="4"/>
  <c r="AG44" i="4" s="1"/>
  <c r="BR40" i="4"/>
  <c r="BR96" i="4" s="1"/>
  <c r="BT40" i="4"/>
  <c r="BT95" i="4" s="1"/>
  <c r="AJ40" i="4"/>
  <c r="AJ42" i="4" s="1"/>
  <c r="BU40" i="4"/>
  <c r="BU96" i="4" s="1"/>
  <c r="BQ40" i="4"/>
  <c r="BQ105" i="4" s="1"/>
  <c r="Z40" i="4"/>
  <c r="Z105" i="4" s="1"/>
  <c r="BC40" i="4"/>
  <c r="BC41" i="4" s="1"/>
  <c r="BG40" i="4"/>
  <c r="BG46" i="4" s="1"/>
  <c r="S40" i="4"/>
  <c r="S97" i="4" s="1"/>
  <c r="CC40" i="4"/>
  <c r="CC41" i="4" s="1"/>
  <c r="AZ40" i="4"/>
  <c r="AZ97" i="4" s="1"/>
  <c r="BB40" i="4"/>
  <c r="BB104" i="4" s="1"/>
  <c r="BO40" i="4"/>
  <c r="BO45" i="4" s="1"/>
  <c r="E40" i="4"/>
  <c r="E41" i="4" s="1"/>
  <c r="AA40" i="4"/>
  <c r="AA42" i="4" s="1"/>
  <c r="P40" i="4"/>
  <c r="P41" i="4" s="1"/>
  <c r="E35" i="9"/>
  <c r="AR40" i="4"/>
  <c r="AR46" i="4" s="1"/>
  <c r="BF193" i="4"/>
  <c r="E22" i="9"/>
  <c r="BF161" i="4"/>
  <c r="BF215" i="4"/>
  <c r="BF163" i="4"/>
  <c r="BF162" i="4"/>
  <c r="BF190" i="4"/>
  <c r="BF169" i="4"/>
  <c r="BF207" i="4"/>
  <c r="D22" i="9"/>
  <c r="BI40" i="4"/>
  <c r="BI41" i="4" s="1"/>
  <c r="BF168" i="4"/>
  <c r="BF208" i="4"/>
  <c r="BF214" i="4"/>
  <c r="BF183" i="4"/>
  <c r="BF206" i="4"/>
  <c r="BF192" i="4"/>
  <c r="BF191" i="4"/>
  <c r="D48" i="9"/>
  <c r="BF213" i="4"/>
  <c r="D35" i="9"/>
  <c r="BJ40" i="4"/>
  <c r="BJ105" i="4" s="1"/>
  <c r="G40" i="4"/>
  <c r="G104" i="4" s="1"/>
  <c r="CA40" i="4"/>
  <c r="CA98" i="4" s="1"/>
  <c r="AH40" i="4"/>
  <c r="AH104" i="4" s="1"/>
  <c r="BL40" i="4"/>
  <c r="BL107" i="4" s="1"/>
  <c r="BH40" i="4"/>
  <c r="BH41" i="4" s="1"/>
  <c r="K40" i="4"/>
  <c r="K95" i="4" s="1"/>
  <c r="AB40" i="4"/>
  <c r="AB41" i="4" s="1"/>
  <c r="BN40" i="4"/>
  <c r="BN96" i="4" s="1"/>
  <c r="X40" i="4"/>
  <c r="X44" i="4" s="1"/>
  <c r="BE40" i="4"/>
  <c r="BE107" i="4" s="1"/>
  <c r="CD40" i="4"/>
  <c r="CD46" i="4" s="1"/>
  <c r="AX40" i="4"/>
  <c r="AX107" i="4" s="1"/>
  <c r="AS40" i="4"/>
  <c r="AS98" i="4" s="1"/>
  <c r="BF182" i="4"/>
  <c r="BF212" i="4"/>
  <c r="BF209" i="4"/>
  <c r="BF186" i="4"/>
  <c r="BF211" i="4"/>
  <c r="BF159" i="4"/>
  <c r="BF165" i="4"/>
  <c r="BF187" i="4"/>
  <c r="BF160" i="4"/>
  <c r="D4" i="11"/>
  <c r="BF218" i="4"/>
  <c r="BF166" i="4"/>
  <c r="BF170" i="4"/>
  <c r="J40" i="4"/>
  <c r="J96" i="4" s="1"/>
  <c r="CF40" i="4"/>
  <c r="CF42" i="4" s="1"/>
  <c r="AF40" i="4"/>
  <c r="AF45" i="4" s="1"/>
  <c r="AU40" i="4"/>
  <c r="AU97" i="4" s="1"/>
  <c r="BX40" i="4"/>
  <c r="BX43" i="4" s="1"/>
  <c r="BW40" i="4"/>
  <c r="BW45" i="4" s="1"/>
  <c r="AD40" i="4"/>
  <c r="AD97" i="4" s="1"/>
  <c r="E48" i="9"/>
  <c r="BF184" i="4"/>
  <c r="BF210" i="4"/>
  <c r="BF185" i="4"/>
  <c r="BF189" i="4"/>
  <c r="BF188" i="4"/>
  <c r="D40" i="4"/>
  <c r="D41" i="4" s="1"/>
  <c r="C35" i="9"/>
  <c r="BF158" i="4"/>
  <c r="BF164" i="4"/>
  <c r="BF217" i="4"/>
  <c r="C48" i="9"/>
  <c r="BF194" i="4"/>
  <c r="BF167" i="4"/>
  <c r="BF216" i="4"/>
  <c r="BY45" i="4"/>
  <c r="BY44" i="4"/>
  <c r="BY97" i="4"/>
  <c r="BY105" i="4"/>
  <c r="BY96" i="4"/>
  <c r="BY41" i="4"/>
  <c r="BY95" i="4"/>
  <c r="BY98" i="4"/>
  <c r="BY107" i="4"/>
  <c r="BY106" i="4"/>
  <c r="BY104" i="4"/>
  <c r="BY43" i="4"/>
  <c r="BY42" i="4"/>
  <c r="BY46" i="4"/>
  <c r="AJ23" i="4" l="1"/>
  <c r="AJ26" i="4" s="1"/>
  <c r="AJ27" i="4" s="1"/>
  <c r="AZ23" i="4"/>
  <c r="AZ26" i="4" s="1"/>
  <c r="AZ27" i="4" s="1"/>
  <c r="BQ23" i="4"/>
  <c r="BQ31" i="4" s="1"/>
  <c r="M23" i="4"/>
  <c r="M26" i="4" s="1"/>
  <c r="M27" i="4" s="1"/>
  <c r="E23" i="4"/>
  <c r="E31" i="4" s="1"/>
  <c r="X23" i="4"/>
  <c r="X26" i="4" s="1"/>
  <c r="X27" i="4" s="1"/>
  <c r="O23" i="4"/>
  <c r="O26" i="4" s="1"/>
  <c r="O27" i="4" s="1"/>
  <c r="F23" i="4"/>
  <c r="F26" i="4" s="1"/>
  <c r="F27" i="4" s="1"/>
  <c r="BK23" i="4"/>
  <c r="BK26" i="4" s="1"/>
  <c r="BK27" i="4" s="1"/>
  <c r="BO23" i="4"/>
  <c r="BO26" i="4" s="1"/>
  <c r="BO27" i="4" s="1"/>
  <c r="AG23" i="4"/>
  <c r="AG26" i="4" s="1"/>
  <c r="AG27" i="4" s="1"/>
  <c r="BC23" i="4"/>
  <c r="BC31" i="4" s="1"/>
  <c r="U23" i="4"/>
  <c r="U26" i="4" s="1"/>
  <c r="U27" i="4" s="1"/>
  <c r="N23" i="4"/>
  <c r="N31" i="4" s="1"/>
  <c r="AW23" i="4"/>
  <c r="AW26" i="4" s="1"/>
  <c r="AW27" i="4" s="1"/>
  <c r="BH23" i="4"/>
  <c r="BH26" i="4" s="1"/>
  <c r="BH27" i="4" s="1"/>
  <c r="BR23" i="4"/>
  <c r="BR26" i="4" s="1"/>
  <c r="BR27" i="4" s="1"/>
  <c r="BD23" i="4"/>
  <c r="BD26" i="4" s="1"/>
  <c r="BD27" i="4" s="1"/>
  <c r="BF23" i="4"/>
  <c r="BF31" i="4" s="1"/>
  <c r="BS23" i="4"/>
  <c r="BS26" i="4" s="1"/>
  <c r="BS27" i="4" s="1"/>
  <c r="D51" i="2"/>
  <c r="D59" i="2" s="1"/>
  <c r="Q23" i="4"/>
  <c r="Q26" i="4" s="1"/>
  <c r="Q27" i="4" s="1"/>
  <c r="BY23" i="4"/>
  <c r="BY26" i="4" s="1"/>
  <c r="BY27" i="4" s="1"/>
  <c r="BB23" i="4"/>
  <c r="BB26" i="4" s="1"/>
  <c r="BB27" i="4" s="1"/>
  <c r="BL23" i="4"/>
  <c r="BL31" i="4" s="1"/>
  <c r="BA23" i="4"/>
  <c r="BA26" i="4" s="1"/>
  <c r="BA27" i="4" s="1"/>
  <c r="BN23" i="4"/>
  <c r="BN31" i="4" s="1"/>
  <c r="AP23" i="4"/>
  <c r="AP31" i="4" s="1"/>
  <c r="Z23" i="4"/>
  <c r="Z31" i="4" s="1"/>
  <c r="C23" i="4"/>
  <c r="C26" i="4" s="1"/>
  <c r="C27" i="4" s="1"/>
  <c r="AI23" i="4"/>
  <c r="AI31" i="4" s="1"/>
  <c r="J23" i="4"/>
  <c r="J26" i="4" s="1"/>
  <c r="J27" i="4" s="1"/>
  <c r="BE23" i="4"/>
  <c r="BE26" i="4" s="1"/>
  <c r="BE27" i="4" s="1"/>
  <c r="AD23" i="4"/>
  <c r="AD26" i="4" s="1"/>
  <c r="AD27" i="4" s="1"/>
  <c r="D23" i="4"/>
  <c r="D26" i="4" s="1"/>
  <c r="D27" i="4" s="1"/>
  <c r="AV23" i="4"/>
  <c r="AV26" i="4" s="1"/>
  <c r="AV27" i="4" s="1"/>
  <c r="AL23" i="4"/>
  <c r="AL31" i="4" s="1"/>
  <c r="BV23" i="4"/>
  <c r="BV26" i="4" s="1"/>
  <c r="BV27" i="4" s="1"/>
  <c r="AR23" i="4"/>
  <c r="AR26" i="4" s="1"/>
  <c r="AR27" i="4" s="1"/>
  <c r="AU23" i="4"/>
  <c r="AU31" i="4" s="1"/>
  <c r="AA23" i="4"/>
  <c r="AA26" i="4" s="1"/>
  <c r="AA27" i="4" s="1"/>
  <c r="AN23" i="4"/>
  <c r="AN26" i="4" s="1"/>
  <c r="AN27" i="4" s="1"/>
  <c r="AE23" i="4"/>
  <c r="AE26" i="4" s="1"/>
  <c r="AE27" i="4" s="1"/>
  <c r="BW23" i="4"/>
  <c r="BW31" i="4" s="1"/>
  <c r="R23" i="4"/>
  <c r="R31" i="4" s="1"/>
  <c r="AM23" i="4"/>
  <c r="AM26" i="4" s="1"/>
  <c r="AM27" i="4" s="1"/>
  <c r="BZ23" i="4"/>
  <c r="BZ26" i="4" s="1"/>
  <c r="BZ27" i="4" s="1"/>
  <c r="G23" i="4"/>
  <c r="G31" i="4" s="1"/>
  <c r="BT23" i="4"/>
  <c r="BT31" i="4" s="1"/>
  <c r="AO23" i="4"/>
  <c r="AO26" i="4" s="1"/>
  <c r="AO27" i="4" s="1"/>
  <c r="W23" i="4"/>
  <c r="W31" i="4" s="1"/>
  <c r="AT23" i="4"/>
  <c r="AT31" i="4" s="1"/>
  <c r="BJ23" i="4"/>
  <c r="BJ26" i="4" s="1"/>
  <c r="BJ27" i="4" s="1"/>
  <c r="BX23" i="4"/>
  <c r="BX26" i="4" s="1"/>
  <c r="BX27" i="4" s="1"/>
  <c r="AK23" i="4"/>
  <c r="AK31" i="4" s="1"/>
  <c r="CB23" i="4"/>
  <c r="CB31" i="4" s="1"/>
  <c r="S23" i="4"/>
  <c r="S26" i="4" s="1"/>
  <c r="S27" i="4" s="1"/>
  <c r="CA23" i="4"/>
  <c r="CA31" i="4" s="1"/>
  <c r="AH23" i="4"/>
  <c r="AH26" i="4" s="1"/>
  <c r="AH27" i="4" s="1"/>
  <c r="BP23" i="4"/>
  <c r="BP31" i="4" s="1"/>
  <c r="AY23" i="4"/>
  <c r="AY31" i="4" s="1"/>
  <c r="AC23" i="4"/>
  <c r="AC26" i="4" s="1"/>
  <c r="AC27" i="4" s="1"/>
  <c r="I23" i="4"/>
  <c r="I31" i="4" s="1"/>
  <c r="BU23" i="4"/>
  <c r="BU31" i="4" s="1"/>
  <c r="CG23" i="4"/>
  <c r="CG26" i="4" s="1"/>
  <c r="CG25" i="4" s="1"/>
  <c r="BG23" i="4"/>
  <c r="BG26" i="4" s="1"/>
  <c r="BG27" i="4" s="1"/>
  <c r="P23" i="4"/>
  <c r="P31" i="4" s="1"/>
  <c r="CF23" i="4"/>
  <c r="CF26" i="4" s="1"/>
  <c r="CF27" i="4" s="1"/>
  <c r="H23" i="4"/>
  <c r="H26" i="4" s="1"/>
  <c r="H27" i="4" s="1"/>
  <c r="BI23" i="4"/>
  <c r="BI26" i="4" s="1"/>
  <c r="BI27" i="4" s="1"/>
  <c r="CE23" i="4"/>
  <c r="CE26" i="4" s="1"/>
  <c r="CE27" i="4" s="1"/>
  <c r="T23" i="4"/>
  <c r="T31" i="4" s="1"/>
  <c r="BM23" i="4"/>
  <c r="BM26" i="4" s="1"/>
  <c r="BM27" i="4" s="1"/>
  <c r="Y23" i="4"/>
  <c r="Y31" i="4" s="1"/>
  <c r="AX23" i="4"/>
  <c r="AX26" i="4" s="1"/>
  <c r="AX27" i="4" s="1"/>
  <c r="AF23" i="4"/>
  <c r="AF26" i="4" s="1"/>
  <c r="AF27" i="4" s="1"/>
  <c r="D54" i="2"/>
  <c r="D56" i="2" s="1"/>
  <c r="W24" i="4" s="1"/>
  <c r="CD23" i="4"/>
  <c r="CD26" i="4" s="1"/>
  <c r="CD27" i="4" s="1"/>
  <c r="AB23" i="4"/>
  <c r="AB31" i="4" s="1"/>
  <c r="K23" i="4"/>
  <c r="K26" i="4" s="1"/>
  <c r="K27" i="4" s="1"/>
  <c r="AQ23" i="4"/>
  <c r="AQ26" i="4" s="1"/>
  <c r="AQ27" i="4" s="1"/>
  <c r="L23" i="4"/>
  <c r="L26" i="4" s="1"/>
  <c r="L27" i="4" s="1"/>
  <c r="CC23" i="4"/>
  <c r="CC26" i="4" s="1"/>
  <c r="CC27" i="4" s="1"/>
  <c r="AS23" i="4"/>
  <c r="AS26" i="4" s="1"/>
  <c r="AS27" i="4" s="1"/>
  <c r="AN45" i="4"/>
  <c r="AY45" i="4"/>
  <c r="AY41" i="4"/>
  <c r="BK41" i="4"/>
  <c r="Y45" i="4"/>
  <c r="AY98" i="4"/>
  <c r="AY43" i="4"/>
  <c r="AY106" i="4"/>
  <c r="AY96" i="4"/>
  <c r="AQ104" i="4"/>
  <c r="BG106" i="4"/>
  <c r="Y95" i="4"/>
  <c r="BK43" i="4"/>
  <c r="BK104" i="4"/>
  <c r="AG105" i="4"/>
  <c r="I95" i="4"/>
  <c r="AY42" i="4"/>
  <c r="I43" i="4"/>
  <c r="Y46" i="4"/>
  <c r="BK45" i="4"/>
  <c r="AQ44" i="4"/>
  <c r="Y105" i="4"/>
  <c r="BK107" i="4"/>
  <c r="AQ97" i="4"/>
  <c r="AY46" i="4"/>
  <c r="AG104" i="4"/>
  <c r="BG96" i="4"/>
  <c r="BG104" i="4"/>
  <c r="BG105" i="4"/>
  <c r="Y97" i="4"/>
  <c r="AG45" i="4"/>
  <c r="AY105" i="4"/>
  <c r="P42" i="4"/>
  <c r="Y107" i="4"/>
  <c r="BG98" i="4"/>
  <c r="BK46" i="4"/>
  <c r="AG106" i="4"/>
  <c r="AY44" i="4"/>
  <c r="I105" i="4"/>
  <c r="P97" i="4"/>
  <c r="P107" i="4"/>
  <c r="P104" i="4"/>
  <c r="AN107" i="4"/>
  <c r="P45" i="4"/>
  <c r="BT97" i="4"/>
  <c r="C96" i="4"/>
  <c r="L97" i="4"/>
  <c r="AR44" i="4"/>
  <c r="L105" i="4"/>
  <c r="AP97" i="4"/>
  <c r="BD46" i="4"/>
  <c r="CA41" i="4"/>
  <c r="BT44" i="4"/>
  <c r="BD106" i="4"/>
  <c r="CA46" i="4"/>
  <c r="L98" i="4"/>
  <c r="BD43" i="4"/>
  <c r="AR105" i="4"/>
  <c r="L106" i="4"/>
  <c r="BT106" i="4"/>
  <c r="L43" i="4"/>
  <c r="BT41" i="4"/>
  <c r="BD96" i="4"/>
  <c r="C107" i="4"/>
  <c r="CC105" i="4"/>
  <c r="BE46" i="4"/>
  <c r="BD107" i="4"/>
  <c r="C97" i="4"/>
  <c r="S107" i="4"/>
  <c r="BG42" i="4"/>
  <c r="Y42" i="4"/>
  <c r="Y104" i="4"/>
  <c r="BK98" i="4"/>
  <c r="AG96" i="4"/>
  <c r="AG43" i="4"/>
  <c r="AQ105" i="4"/>
  <c r="AQ46" i="4"/>
  <c r="P43" i="4"/>
  <c r="I107" i="4"/>
  <c r="I98" i="4"/>
  <c r="BG95" i="4"/>
  <c r="BG97" i="4"/>
  <c r="Y98" i="4"/>
  <c r="Y96" i="4"/>
  <c r="BK97" i="4"/>
  <c r="AG98" i="4"/>
  <c r="AG41" i="4"/>
  <c r="AQ43" i="4"/>
  <c r="AQ42" i="4"/>
  <c r="P46" i="4"/>
  <c r="I97" i="4"/>
  <c r="I96" i="4"/>
  <c r="BG43" i="4"/>
  <c r="BG44" i="4"/>
  <c r="Y41" i="4"/>
  <c r="BK96" i="4"/>
  <c r="BK106" i="4"/>
  <c r="AG42" i="4"/>
  <c r="AG107" i="4"/>
  <c r="AQ96" i="4"/>
  <c r="AQ107" i="4"/>
  <c r="P106" i="4"/>
  <c r="I42" i="4"/>
  <c r="I46" i="4"/>
  <c r="AN44" i="4"/>
  <c r="BG45" i="4"/>
  <c r="BG41" i="4"/>
  <c r="Y43" i="4"/>
  <c r="BK42" i="4"/>
  <c r="BK95" i="4"/>
  <c r="AG46" i="4"/>
  <c r="AQ95" i="4"/>
  <c r="AQ41" i="4"/>
  <c r="P98" i="4"/>
  <c r="I106" i="4"/>
  <c r="AN41" i="4"/>
  <c r="BG107" i="4"/>
  <c r="Y106" i="4"/>
  <c r="BK44" i="4"/>
  <c r="AG97" i="4"/>
  <c r="AG95" i="4"/>
  <c r="AQ45" i="4"/>
  <c r="P44" i="4"/>
  <c r="P96" i="4"/>
  <c r="I104" i="4"/>
  <c r="BT43" i="4"/>
  <c r="C45" i="4"/>
  <c r="AT46" i="4"/>
  <c r="P95" i="4"/>
  <c r="P105" i="4"/>
  <c r="CC43" i="4"/>
  <c r="AN95" i="4"/>
  <c r="AN104" i="4"/>
  <c r="BE106" i="4"/>
  <c r="X107" i="4"/>
  <c r="AQ106" i="4"/>
  <c r="C106" i="4"/>
  <c r="AY95" i="4"/>
  <c r="AR97" i="4"/>
  <c r="AI46" i="4"/>
  <c r="I44" i="4"/>
  <c r="AN96" i="4"/>
  <c r="AN106" i="4"/>
  <c r="AN42" i="4"/>
  <c r="AN43" i="4"/>
  <c r="AN46" i="4"/>
  <c r="I45" i="4"/>
  <c r="AN97" i="4"/>
  <c r="AN105" i="4"/>
  <c r="BR98" i="4"/>
  <c r="U106" i="4"/>
  <c r="BR104" i="4"/>
  <c r="X105" i="4"/>
  <c r="O41" i="4"/>
  <c r="S95" i="4"/>
  <c r="AK96" i="4"/>
  <c r="AV42" i="4"/>
  <c r="AP96" i="4"/>
  <c r="O43" i="4"/>
  <c r="AT41" i="4"/>
  <c r="AK46" i="4"/>
  <c r="S96" i="4"/>
  <c r="AK44" i="4"/>
  <c r="AV46" i="4"/>
  <c r="G44" i="4"/>
  <c r="S45" i="4"/>
  <c r="AV104" i="4"/>
  <c r="AP105" i="4"/>
  <c r="X97" i="4"/>
  <c r="O45" i="4"/>
  <c r="AT95" i="4"/>
  <c r="BR106" i="4"/>
  <c r="X98" i="4"/>
  <c r="BR41" i="4"/>
  <c r="AT44" i="4"/>
  <c r="AX44" i="4"/>
  <c r="S44" i="4"/>
  <c r="AK106" i="4"/>
  <c r="AV105" i="4"/>
  <c r="AP98" i="4"/>
  <c r="X45" i="4"/>
  <c r="O96" i="4"/>
  <c r="AT105" i="4"/>
  <c r="S105" i="4"/>
  <c r="AK97" i="4"/>
  <c r="AV106" i="4"/>
  <c r="AP42" i="4"/>
  <c r="O44" i="4"/>
  <c r="AT43" i="4"/>
  <c r="S41" i="4"/>
  <c r="AK107" i="4"/>
  <c r="AV44" i="4"/>
  <c r="AP107" i="4"/>
  <c r="X96" i="4"/>
  <c r="O97" i="4"/>
  <c r="BR42" i="4"/>
  <c r="BU41" i="4"/>
  <c r="AD46" i="4"/>
  <c r="S106" i="4"/>
  <c r="AK95" i="4"/>
  <c r="AV96" i="4"/>
  <c r="X95" i="4"/>
  <c r="O107" i="4"/>
  <c r="BR46" i="4"/>
  <c r="BU106" i="4"/>
  <c r="AD42" i="4"/>
  <c r="BE96" i="4"/>
  <c r="AO41" i="4"/>
  <c r="BD45" i="4"/>
  <c r="AY104" i="4"/>
  <c r="AY107" i="4"/>
  <c r="AD44" i="4"/>
  <c r="AD95" i="4"/>
  <c r="AD96" i="4"/>
  <c r="BL45" i="4"/>
  <c r="AX96" i="4"/>
  <c r="AM41" i="4"/>
  <c r="L96" i="4"/>
  <c r="L42" i="4"/>
  <c r="AE45" i="4"/>
  <c r="BT46" i="4"/>
  <c r="BT107" i="4"/>
  <c r="BE97" i="4"/>
  <c r="BD95" i="4"/>
  <c r="BD98" i="4"/>
  <c r="C105" i="4"/>
  <c r="C43" i="4"/>
  <c r="AR98" i="4"/>
  <c r="AI107" i="4"/>
  <c r="CC46" i="4"/>
  <c r="AO44" i="4"/>
  <c r="L104" i="4"/>
  <c r="L107" i="4"/>
  <c r="AE96" i="4"/>
  <c r="BT45" i="4"/>
  <c r="BE105" i="4"/>
  <c r="U45" i="4"/>
  <c r="BD105" i="4"/>
  <c r="BD97" i="4"/>
  <c r="C41" i="4"/>
  <c r="CA44" i="4"/>
  <c r="AR96" i="4"/>
  <c r="CC104" i="4"/>
  <c r="BT105" i="4"/>
  <c r="BT104" i="4"/>
  <c r="BE41" i="4"/>
  <c r="BD104" i="4"/>
  <c r="BD42" i="4"/>
  <c r="C46" i="4"/>
  <c r="C95" i="4"/>
  <c r="CA104" i="4"/>
  <c r="AR43" i="4"/>
  <c r="AI105" i="4"/>
  <c r="AO45" i="4"/>
  <c r="L46" i="4"/>
  <c r="L95" i="4"/>
  <c r="BT42" i="4"/>
  <c r="BT98" i="4"/>
  <c r="BE95" i="4"/>
  <c r="BD41" i="4"/>
  <c r="C98" i="4"/>
  <c r="C104" i="4"/>
  <c r="AR95" i="4"/>
  <c r="AR106" i="4"/>
  <c r="AI42" i="4"/>
  <c r="AO46" i="4"/>
  <c r="T44" i="4"/>
  <c r="L45" i="4"/>
  <c r="T95" i="4"/>
  <c r="L41" i="4"/>
  <c r="BT96" i="4"/>
  <c r="BE104" i="4"/>
  <c r="C42" i="4"/>
  <c r="AR45" i="4"/>
  <c r="AI44" i="4"/>
  <c r="AO98" i="4"/>
  <c r="BF97" i="4"/>
  <c r="BF46" i="4"/>
  <c r="AZ42" i="4"/>
  <c r="AJ45" i="4"/>
  <c r="AM96" i="4"/>
  <c r="AE97" i="4"/>
  <c r="AJ98" i="4"/>
  <c r="AJ44" i="4"/>
  <c r="T98" i="4"/>
  <c r="CD44" i="4"/>
  <c r="AJ107" i="4"/>
  <c r="AM42" i="4"/>
  <c r="AE98" i="4"/>
  <c r="T45" i="4"/>
  <c r="U98" i="4"/>
  <c r="AZ96" i="4"/>
  <c r="BF107" i="4"/>
  <c r="AM44" i="4"/>
  <c r="M42" i="4"/>
  <c r="W46" i="4"/>
  <c r="S43" i="4"/>
  <c r="S98" i="4"/>
  <c r="AK104" i="4"/>
  <c r="J42" i="4"/>
  <c r="AE43" i="4"/>
  <c r="AV98" i="4"/>
  <c r="AV45" i="4"/>
  <c r="AX105" i="4"/>
  <c r="T96" i="4"/>
  <c r="U42" i="4"/>
  <c r="AP45" i="4"/>
  <c r="AP43" i="4"/>
  <c r="BL42" i="4"/>
  <c r="X104" i="4"/>
  <c r="O95" i="4"/>
  <c r="O105" i="4"/>
  <c r="BR95" i="4"/>
  <c r="BR43" i="4"/>
  <c r="BU43" i="4"/>
  <c r="AZ95" i="4"/>
  <c r="AT45" i="4"/>
  <c r="AD98" i="4"/>
  <c r="BF45" i="4"/>
  <c r="AJ106" i="4"/>
  <c r="G96" i="4"/>
  <c r="AM107" i="4"/>
  <c r="BV43" i="4"/>
  <c r="M96" i="4"/>
  <c r="CF95" i="4"/>
  <c r="S104" i="4"/>
  <c r="S42" i="4"/>
  <c r="AK98" i="4"/>
  <c r="AK41" i="4"/>
  <c r="AE105" i="4"/>
  <c r="AV95" i="4"/>
  <c r="AV107" i="4"/>
  <c r="N42" i="4"/>
  <c r="T106" i="4"/>
  <c r="BB96" i="4"/>
  <c r="AP104" i="4"/>
  <c r="AP106" i="4"/>
  <c r="X41" i="4"/>
  <c r="X46" i="4"/>
  <c r="O42" i="4"/>
  <c r="BR105" i="4"/>
  <c r="BR44" i="4"/>
  <c r="AZ107" i="4"/>
  <c r="AT96" i="4"/>
  <c r="AD104" i="4"/>
  <c r="M44" i="4"/>
  <c r="CF46" i="4"/>
  <c r="BF42" i="4"/>
  <c r="AJ46" i="4"/>
  <c r="AM98" i="4"/>
  <c r="N95" i="4"/>
  <c r="BP41" i="4"/>
  <c r="S46" i="4"/>
  <c r="AK105" i="4"/>
  <c r="AK42" i="4"/>
  <c r="AE46" i="4"/>
  <c r="AV97" i="4"/>
  <c r="BP104" i="4"/>
  <c r="T46" i="4"/>
  <c r="U105" i="4"/>
  <c r="AP46" i="4"/>
  <c r="AP41" i="4"/>
  <c r="X106" i="4"/>
  <c r="X43" i="4"/>
  <c r="O106" i="4"/>
  <c r="O46" i="4"/>
  <c r="BR97" i="4"/>
  <c r="BR107" i="4"/>
  <c r="AZ104" i="4"/>
  <c r="AT97" i="4"/>
  <c r="AD41" i="4"/>
  <c r="BF44" i="4"/>
  <c r="AJ41" i="4"/>
  <c r="G42" i="4"/>
  <c r="W104" i="4"/>
  <c r="AM105" i="4"/>
  <c r="BB106" i="4"/>
  <c r="N45" i="4"/>
  <c r="BB105" i="4"/>
  <c r="AK45" i="4"/>
  <c r="AE107" i="4"/>
  <c r="AV41" i="4"/>
  <c r="BP44" i="4"/>
  <c r="T107" i="4"/>
  <c r="U43" i="4"/>
  <c r="AP44" i="4"/>
  <c r="X42" i="4"/>
  <c r="O104" i="4"/>
  <c r="BR45" i="4"/>
  <c r="AZ44" i="4"/>
  <c r="AT106" i="4"/>
  <c r="AD43" i="4"/>
  <c r="BF98" i="4"/>
  <c r="AJ95" i="4"/>
  <c r="G97" i="4"/>
  <c r="W44" i="4"/>
  <c r="AM45" i="4"/>
  <c r="BH45" i="4"/>
  <c r="CA97" i="4"/>
  <c r="AR107" i="4"/>
  <c r="AR42" i="4"/>
  <c r="AI45" i="4"/>
  <c r="CC44" i="4"/>
  <c r="AO104" i="4"/>
  <c r="AR104" i="4"/>
  <c r="AI98" i="4"/>
  <c r="CC96" i="4"/>
  <c r="AO95" i="4"/>
  <c r="CA45" i="4"/>
  <c r="AR41" i="4"/>
  <c r="AI95" i="4"/>
  <c r="CC97" i="4"/>
  <c r="Q42" i="4"/>
  <c r="BM45" i="4"/>
  <c r="W106" i="4"/>
  <c r="AE106" i="4"/>
  <c r="AE44" i="4"/>
  <c r="BP45" i="4"/>
  <c r="AX45" i="4"/>
  <c r="N106" i="4"/>
  <c r="N46" i="4"/>
  <c r="T43" i="4"/>
  <c r="BB41" i="4"/>
  <c r="U107" i="4"/>
  <c r="U96" i="4"/>
  <c r="BU107" i="4"/>
  <c r="AZ45" i="4"/>
  <c r="AZ105" i="4"/>
  <c r="AT98" i="4"/>
  <c r="AT42" i="4"/>
  <c r="AD107" i="4"/>
  <c r="M46" i="4"/>
  <c r="BF43" i="4"/>
  <c r="BF105" i="4"/>
  <c r="AJ96" i="4"/>
  <c r="AJ105" i="4"/>
  <c r="G45" i="4"/>
  <c r="W107" i="4"/>
  <c r="AM95" i="4"/>
  <c r="BV98" i="4"/>
  <c r="BU104" i="4"/>
  <c r="AE42" i="4"/>
  <c r="CG41" i="4"/>
  <c r="BP107" i="4"/>
  <c r="AX46" i="4"/>
  <c r="N104" i="4"/>
  <c r="BQ96" i="4"/>
  <c r="T41" i="4"/>
  <c r="BB98" i="4"/>
  <c r="U41" i="4"/>
  <c r="U104" i="4"/>
  <c r="BL95" i="4"/>
  <c r="BU105" i="4"/>
  <c r="AZ106" i="4"/>
  <c r="AZ98" i="4"/>
  <c r="M105" i="4"/>
  <c r="BF96" i="4"/>
  <c r="BF106" i="4"/>
  <c r="AJ104" i="4"/>
  <c r="W97" i="4"/>
  <c r="AM104" i="4"/>
  <c r="BV95" i="4"/>
  <c r="BP106" i="4"/>
  <c r="M97" i="4"/>
  <c r="AE104" i="4"/>
  <c r="BP98" i="4"/>
  <c r="AX106" i="4"/>
  <c r="N96" i="4"/>
  <c r="T105" i="4"/>
  <c r="T97" i="4"/>
  <c r="BB97" i="4"/>
  <c r="U44" i="4"/>
  <c r="U97" i="4"/>
  <c r="BL44" i="4"/>
  <c r="BU97" i="4"/>
  <c r="AZ43" i="4"/>
  <c r="AZ46" i="4"/>
  <c r="AT107" i="4"/>
  <c r="AD45" i="4"/>
  <c r="AD105" i="4"/>
  <c r="M43" i="4"/>
  <c r="BF41" i="4"/>
  <c r="BF104" i="4"/>
  <c r="AJ97" i="4"/>
  <c r="G43" i="4"/>
  <c r="AM97" i="4"/>
  <c r="AM43" i="4"/>
  <c r="BV96" i="4"/>
  <c r="AX43" i="4"/>
  <c r="N43" i="4"/>
  <c r="BB44" i="4"/>
  <c r="AE95" i="4"/>
  <c r="BP97" i="4"/>
  <c r="AX97" i="4"/>
  <c r="N41" i="4"/>
  <c r="T104" i="4"/>
  <c r="BB95" i="4"/>
  <c r="U46" i="4"/>
  <c r="BL43" i="4"/>
  <c r="BU42" i="4"/>
  <c r="AZ41" i="4"/>
  <c r="AD106" i="4"/>
  <c r="M106" i="4"/>
  <c r="AJ43" i="4"/>
  <c r="G46" i="4"/>
  <c r="AM46" i="4"/>
  <c r="BV41" i="4"/>
  <c r="AL41" i="4"/>
  <c r="BQ97" i="4"/>
  <c r="Q95" i="4"/>
  <c r="AL106" i="4"/>
  <c r="R107" i="4"/>
  <c r="BO106" i="4"/>
  <c r="BQ44" i="4"/>
  <c r="BM98" i="4"/>
  <c r="R44" i="4"/>
  <c r="BO41" i="4"/>
  <c r="AS95" i="4"/>
  <c r="CG106" i="4"/>
  <c r="CG95" i="4"/>
  <c r="BM105" i="4"/>
  <c r="R106" i="4"/>
  <c r="BO43" i="4"/>
  <c r="AS105" i="4"/>
  <c r="BQ106" i="4"/>
  <c r="BM96" i="4"/>
  <c r="CG105" i="4"/>
  <c r="R42" i="4"/>
  <c r="AL105" i="4"/>
  <c r="Q41" i="4"/>
  <c r="CG46" i="4"/>
  <c r="BQ98" i="4"/>
  <c r="BH106" i="4"/>
  <c r="Q46" i="4"/>
  <c r="AL42" i="4"/>
  <c r="H97" i="4"/>
  <c r="W42" i="4"/>
  <c r="W43" i="4"/>
  <c r="BV46" i="4"/>
  <c r="BP46" i="4"/>
  <c r="BP95" i="4"/>
  <c r="AX104" i="4"/>
  <c r="AX98" i="4"/>
  <c r="N44" i="4"/>
  <c r="N107" i="4"/>
  <c r="BB107" i="4"/>
  <c r="BB42" i="4"/>
  <c r="BL96" i="4"/>
  <c r="BU45" i="4"/>
  <c r="BU44" i="4"/>
  <c r="M45" i="4"/>
  <c r="M41" i="4"/>
  <c r="W96" i="4"/>
  <c r="W41" i="4"/>
  <c r="BV45" i="4"/>
  <c r="BV105" i="4"/>
  <c r="BP42" i="4"/>
  <c r="BP96" i="4"/>
  <c r="AX42" i="4"/>
  <c r="AX41" i="4"/>
  <c r="N98" i="4"/>
  <c r="N105" i="4"/>
  <c r="BB46" i="4"/>
  <c r="BB45" i="4"/>
  <c r="BL104" i="4"/>
  <c r="BU98" i="4"/>
  <c r="BU95" i="4"/>
  <c r="M98" i="4"/>
  <c r="M107" i="4"/>
  <c r="CF45" i="4"/>
  <c r="W105" i="4"/>
  <c r="W98" i="4"/>
  <c r="BV42" i="4"/>
  <c r="BV107" i="4"/>
  <c r="BP43" i="4"/>
  <c r="AX95" i="4"/>
  <c r="BB43" i="4"/>
  <c r="BL106" i="4"/>
  <c r="BU46" i="4"/>
  <c r="M104" i="4"/>
  <c r="CF97" i="4"/>
  <c r="W95" i="4"/>
  <c r="BV106" i="4"/>
  <c r="BV104" i="4"/>
  <c r="CF98" i="4"/>
  <c r="BV97" i="4"/>
  <c r="AC42" i="4"/>
  <c r="AC105" i="4"/>
  <c r="AA105" i="4"/>
  <c r="AB45" i="4"/>
  <c r="AA43" i="4"/>
  <c r="BA97" i="4"/>
  <c r="AB105" i="4"/>
  <c r="BA98" i="4"/>
  <c r="CB43" i="4"/>
  <c r="V104" i="4"/>
  <c r="CB104" i="4"/>
  <c r="BC107" i="4"/>
  <c r="H104" i="4"/>
  <c r="CG97" i="4"/>
  <c r="BQ107" i="4"/>
  <c r="BI98" i="4"/>
  <c r="BM107" i="4"/>
  <c r="AS45" i="4"/>
  <c r="CG104" i="4"/>
  <c r="CG43" i="4"/>
  <c r="BQ46" i="4"/>
  <c r="BQ45" i="4"/>
  <c r="BI46" i="4"/>
  <c r="BM42" i="4"/>
  <c r="BM106" i="4"/>
  <c r="R96" i="4"/>
  <c r="R97" i="4"/>
  <c r="Q98" i="4"/>
  <c r="Q107" i="4"/>
  <c r="BO96" i="4"/>
  <c r="AL96" i="4"/>
  <c r="CC45" i="4"/>
  <c r="CC98" i="4"/>
  <c r="G95" i="4"/>
  <c r="AO43" i="4"/>
  <c r="CG44" i="4"/>
  <c r="BQ41" i="4"/>
  <c r="BQ42" i="4"/>
  <c r="BH43" i="4"/>
  <c r="BM44" i="4"/>
  <c r="BM97" i="4"/>
  <c r="R105" i="4"/>
  <c r="R43" i="4"/>
  <c r="Q45" i="4"/>
  <c r="Q104" i="4"/>
  <c r="BO104" i="4"/>
  <c r="BO44" i="4"/>
  <c r="AL45" i="4"/>
  <c r="AL46" i="4"/>
  <c r="AI106" i="4"/>
  <c r="AI41" i="4"/>
  <c r="CC42" i="4"/>
  <c r="G106" i="4"/>
  <c r="G105" i="4"/>
  <c r="AO97" i="4"/>
  <c r="AO96" i="4"/>
  <c r="CG107" i="4"/>
  <c r="CG42" i="4"/>
  <c r="BQ43" i="4"/>
  <c r="BM46" i="4"/>
  <c r="BM95" i="4"/>
  <c r="R46" i="4"/>
  <c r="R104" i="4"/>
  <c r="Q44" i="4"/>
  <c r="BO95" i="4"/>
  <c r="BO105" i="4"/>
  <c r="AL43" i="4"/>
  <c r="AL107" i="4"/>
  <c r="AI104" i="4"/>
  <c r="AI97" i="4"/>
  <c r="CC106" i="4"/>
  <c r="CC95" i="4"/>
  <c r="G41" i="4"/>
  <c r="G98" i="4"/>
  <c r="AO106" i="4"/>
  <c r="AO105" i="4"/>
  <c r="AU104" i="4"/>
  <c r="AF107" i="4"/>
  <c r="BM104" i="4"/>
  <c r="BM41" i="4"/>
  <c r="R95" i="4"/>
  <c r="Q96" i="4"/>
  <c r="BO46" i="4"/>
  <c r="BO42" i="4"/>
  <c r="AL104" i="4"/>
  <c r="AL98" i="4"/>
  <c r="K104" i="4"/>
  <c r="AF44" i="4"/>
  <c r="F107" i="4"/>
  <c r="R45" i="4"/>
  <c r="Q105" i="4"/>
  <c r="Q106" i="4"/>
  <c r="BO97" i="4"/>
  <c r="BO107" i="4"/>
  <c r="AL95" i="4"/>
  <c r="AL97" i="4"/>
  <c r="CG96" i="4"/>
  <c r="BQ104" i="4"/>
  <c r="CG45" i="4"/>
  <c r="BQ95" i="4"/>
  <c r="BI45" i="4"/>
  <c r="AF98" i="4"/>
  <c r="R98" i="4"/>
  <c r="Q43" i="4"/>
  <c r="BO98" i="4"/>
  <c r="AI43" i="4"/>
  <c r="CC107" i="4"/>
  <c r="G107" i="4"/>
  <c r="AO42" i="4"/>
  <c r="CE95" i="4"/>
  <c r="CE41" i="4"/>
  <c r="K45" i="4"/>
  <c r="AU43" i="4"/>
  <c r="AA106" i="4"/>
  <c r="AC43" i="4"/>
  <c r="V98" i="4"/>
  <c r="V95" i="4"/>
  <c r="H98" i="4"/>
  <c r="H43" i="4"/>
  <c r="AA104" i="4"/>
  <c r="AA97" i="4"/>
  <c r="BA41" i="4"/>
  <c r="BA107" i="4"/>
  <c r="AC45" i="4"/>
  <c r="H107" i="4"/>
  <c r="CE105" i="4"/>
  <c r="BA43" i="4"/>
  <c r="BA44" i="4"/>
  <c r="AU41" i="4"/>
  <c r="AC106" i="4"/>
  <c r="CB95" i="4"/>
  <c r="CB106" i="4"/>
  <c r="BC95" i="4"/>
  <c r="BC44" i="4"/>
  <c r="BA46" i="4"/>
  <c r="BA106" i="4"/>
  <c r="BZ46" i="4"/>
  <c r="AC107" i="4"/>
  <c r="AC97" i="4"/>
  <c r="CB107" i="4"/>
  <c r="CB46" i="4"/>
  <c r="E96" i="4"/>
  <c r="BC45" i="4"/>
  <c r="BC96" i="4"/>
  <c r="V44" i="4"/>
  <c r="V107" i="4"/>
  <c r="H105" i="4"/>
  <c r="H45" i="4"/>
  <c r="AA46" i="4"/>
  <c r="AA45" i="4"/>
  <c r="CB44" i="4"/>
  <c r="CB97" i="4"/>
  <c r="E104" i="4"/>
  <c r="BC42" i="4"/>
  <c r="BC106" i="4"/>
  <c r="V41" i="4"/>
  <c r="V97" i="4"/>
  <c r="H95" i="4"/>
  <c r="H106" i="4"/>
  <c r="AA44" i="4"/>
  <c r="CB42" i="4"/>
  <c r="BC46" i="4"/>
  <c r="V96" i="4"/>
  <c r="H41" i="4"/>
  <c r="BS106" i="4"/>
  <c r="AC46" i="4"/>
  <c r="CB41" i="4"/>
  <c r="V46" i="4"/>
  <c r="V106" i="4"/>
  <c r="H46" i="4"/>
  <c r="AA107" i="4"/>
  <c r="AC104" i="4"/>
  <c r="CB98" i="4"/>
  <c r="AA96" i="4"/>
  <c r="BA105" i="4"/>
  <c r="BZ97" i="4"/>
  <c r="Z45" i="4"/>
  <c r="AC44" i="4"/>
  <c r="AC95" i="4"/>
  <c r="BA104" i="4"/>
  <c r="BZ104" i="4"/>
  <c r="Z43" i="4"/>
  <c r="BS44" i="4"/>
  <c r="E106" i="4"/>
  <c r="BC43" i="4"/>
  <c r="BC98" i="4"/>
  <c r="BA95" i="4"/>
  <c r="BA42" i="4"/>
  <c r="K107" i="4"/>
  <c r="Z104" i="4"/>
  <c r="BS42" i="4"/>
  <c r="F97" i="4"/>
  <c r="AC96" i="4"/>
  <c r="CB96" i="4"/>
  <c r="BC105" i="4"/>
  <c r="BC97" i="4"/>
  <c r="V45" i="4"/>
  <c r="V42" i="4"/>
  <c r="H44" i="4"/>
  <c r="AA98" i="4"/>
  <c r="AA95" i="4"/>
  <c r="CE42" i="4"/>
  <c r="BA45" i="4"/>
  <c r="K42" i="4"/>
  <c r="Z98" i="4"/>
  <c r="BS105" i="4"/>
  <c r="F98" i="4"/>
  <c r="AC98" i="4"/>
  <c r="CB45" i="4"/>
  <c r="BC104" i="4"/>
  <c r="V43" i="4"/>
  <c r="H96" i="4"/>
  <c r="AW44" i="4"/>
  <c r="AA41" i="4"/>
  <c r="AW106" i="4"/>
  <c r="AW105" i="4"/>
  <c r="AW107" i="4"/>
  <c r="BZ95" i="4"/>
  <c r="Z106" i="4"/>
  <c r="F104" i="4"/>
  <c r="E107" i="4"/>
  <c r="CE107" i="4"/>
  <c r="AU95" i="4"/>
  <c r="BS41" i="4"/>
  <c r="BS46" i="4"/>
  <c r="F46" i="4"/>
  <c r="F95" i="4"/>
  <c r="E105" i="4"/>
  <c r="E98" i="4"/>
  <c r="AW97" i="4"/>
  <c r="AW43" i="4"/>
  <c r="CE43" i="4"/>
  <c r="BZ105" i="4"/>
  <c r="CE44" i="4"/>
  <c r="BZ107" i="4"/>
  <c r="BZ42" i="4"/>
  <c r="CE97" i="4"/>
  <c r="K98" i="4"/>
  <c r="K41" i="4"/>
  <c r="AU96" i="4"/>
  <c r="AU107" i="4"/>
  <c r="BZ96" i="4"/>
  <c r="BZ44" i="4"/>
  <c r="Z107" i="4"/>
  <c r="BS45" i="4"/>
  <c r="BS43" i="4"/>
  <c r="F43" i="4"/>
  <c r="F42" i="4"/>
  <c r="E42" i="4"/>
  <c r="E46" i="4"/>
  <c r="AW104" i="4"/>
  <c r="AW41" i="4"/>
  <c r="Z96" i="4"/>
  <c r="K46" i="4"/>
  <c r="K96" i="4"/>
  <c r="AU42" i="4"/>
  <c r="Z97" i="4"/>
  <c r="CE104" i="4"/>
  <c r="K105" i="4"/>
  <c r="AU44" i="4"/>
  <c r="AU106" i="4"/>
  <c r="BZ98" i="4"/>
  <c r="BZ43" i="4"/>
  <c r="Z46" i="4"/>
  <c r="Z95" i="4"/>
  <c r="BS107" i="4"/>
  <c r="F96" i="4"/>
  <c r="F45" i="4"/>
  <c r="E95" i="4"/>
  <c r="E45" i="4"/>
  <c r="AW42" i="4"/>
  <c r="AW46" i="4"/>
  <c r="BS98" i="4"/>
  <c r="F41" i="4"/>
  <c r="F106" i="4"/>
  <c r="E44" i="4"/>
  <c r="E43" i="4"/>
  <c r="AW45" i="4"/>
  <c r="AW95" i="4"/>
  <c r="CE98" i="4"/>
  <c r="K106" i="4"/>
  <c r="K97" i="4"/>
  <c r="AU45" i="4"/>
  <c r="BS96" i="4"/>
  <c r="BS97" i="4"/>
  <c r="CE96" i="4"/>
  <c r="CE45" i="4"/>
  <c r="K44" i="4"/>
  <c r="AU105" i="4"/>
  <c r="AU46" i="4"/>
  <c r="BZ106" i="4"/>
  <c r="BZ41" i="4"/>
  <c r="Z44" i="4"/>
  <c r="Z42" i="4"/>
  <c r="CE106" i="4"/>
  <c r="K43" i="4"/>
  <c r="AU98" i="4"/>
  <c r="Z41" i="4"/>
  <c r="BS95" i="4"/>
  <c r="F44" i="4"/>
  <c r="E97" i="4"/>
  <c r="AW96" i="4"/>
  <c r="BH97" i="4"/>
  <c r="AF97" i="4"/>
  <c r="BH44" i="4"/>
  <c r="BI97" i="4"/>
  <c r="BH107" i="4"/>
  <c r="AS106" i="4"/>
  <c r="AS42" i="4"/>
  <c r="BI42" i="4"/>
  <c r="CF107" i="4"/>
  <c r="AF104" i="4"/>
  <c r="CF41" i="4"/>
  <c r="AF41" i="4"/>
  <c r="BN45" i="4"/>
  <c r="BI95" i="4"/>
  <c r="BH104" i="4"/>
  <c r="AF96" i="4"/>
  <c r="BJ45" i="4"/>
  <c r="BN95" i="4"/>
  <c r="BW43" i="4"/>
  <c r="BW96" i="4"/>
  <c r="AS43" i="4"/>
  <c r="BW44" i="4"/>
  <c r="BH98" i="4"/>
  <c r="AF106" i="4"/>
  <c r="BJ97" i="4"/>
  <c r="D96" i="4"/>
  <c r="D97" i="4"/>
  <c r="BX46" i="4"/>
  <c r="BX107" i="4"/>
  <c r="AB106" i="4"/>
  <c r="BX41" i="4"/>
  <c r="AB107" i="4"/>
  <c r="BX96" i="4"/>
  <c r="AB96" i="4"/>
  <c r="BX98" i="4"/>
  <c r="BX105" i="4"/>
  <c r="AB44" i="4"/>
  <c r="BX97" i="4"/>
  <c r="AB98" i="4"/>
  <c r="AB97" i="4"/>
  <c r="BX104" i="4"/>
  <c r="BX44" i="4"/>
  <c r="BX42" i="4"/>
  <c r="AB104" i="4"/>
  <c r="BW42" i="4"/>
  <c r="BW46" i="4"/>
  <c r="BJ98" i="4"/>
  <c r="D44" i="4"/>
  <c r="D98" i="4"/>
  <c r="BN104" i="4"/>
  <c r="BN106" i="4"/>
  <c r="BJ107" i="4"/>
  <c r="BL105" i="4"/>
  <c r="BL98" i="4"/>
  <c r="D104" i="4"/>
  <c r="D46" i="4"/>
  <c r="CF96" i="4"/>
  <c r="CF104" i="4"/>
  <c r="BN107" i="4"/>
  <c r="BN105" i="4"/>
  <c r="BW105" i="4"/>
  <c r="BJ44" i="4"/>
  <c r="AS44" i="4"/>
  <c r="BW98" i="4"/>
  <c r="BW95" i="4"/>
  <c r="BI107" i="4"/>
  <c r="BJ41" i="4"/>
  <c r="D42" i="4"/>
  <c r="BJ106" i="4"/>
  <c r="D105" i="4"/>
  <c r="BN97" i="4"/>
  <c r="BN46" i="4"/>
  <c r="AS46" i="4"/>
  <c r="BI96" i="4"/>
  <c r="BH105" i="4"/>
  <c r="BH96" i="4"/>
  <c r="AF105" i="4"/>
  <c r="AF46" i="4"/>
  <c r="BJ46" i="4"/>
  <c r="D107" i="4"/>
  <c r="BN41" i="4"/>
  <c r="BN44" i="4"/>
  <c r="AS41" i="4"/>
  <c r="AS97" i="4"/>
  <c r="BW41" i="4"/>
  <c r="BW106" i="4"/>
  <c r="BX95" i="4"/>
  <c r="BX45" i="4"/>
  <c r="AB42" i="4"/>
  <c r="BI104" i="4"/>
  <c r="BI105" i="4"/>
  <c r="BH46" i="4"/>
  <c r="BH95" i="4"/>
  <c r="AF43" i="4"/>
  <c r="BJ104" i="4"/>
  <c r="BJ95" i="4"/>
  <c r="BL46" i="4"/>
  <c r="D106" i="4"/>
  <c r="CF105" i="4"/>
  <c r="CF106" i="4"/>
  <c r="BN42" i="4"/>
  <c r="BW97" i="4"/>
  <c r="AS96" i="4"/>
  <c r="BW107" i="4"/>
  <c r="BW104" i="4"/>
  <c r="BX106" i="4"/>
  <c r="AB46" i="4"/>
  <c r="AB95" i="4"/>
  <c r="BI43" i="4"/>
  <c r="BI106" i="4"/>
  <c r="BH42" i="4"/>
  <c r="AF42" i="4"/>
  <c r="BJ43" i="4"/>
  <c r="BJ96" i="4"/>
  <c r="BL97" i="4"/>
  <c r="D45" i="4"/>
  <c r="CF43" i="4"/>
  <c r="CF44" i="4"/>
  <c r="BN43" i="4"/>
  <c r="D43" i="4"/>
  <c r="AS107" i="4"/>
  <c r="AS104" i="4"/>
  <c r="AB43" i="4"/>
  <c r="BI44" i="4"/>
  <c r="AF95" i="4"/>
  <c r="BJ42" i="4"/>
  <c r="BL41" i="4"/>
  <c r="D95" i="4"/>
  <c r="BN98" i="4"/>
  <c r="BE42" i="4"/>
  <c r="CA107" i="4"/>
  <c r="CA105" i="4"/>
  <c r="BE43" i="4"/>
  <c r="CA106" i="4"/>
  <c r="CA95" i="4"/>
  <c r="BE45" i="4"/>
  <c r="BE44" i="4"/>
  <c r="CA96" i="4"/>
  <c r="CA43" i="4"/>
  <c r="BE98" i="4"/>
  <c r="CA42" i="4"/>
  <c r="J104" i="4"/>
  <c r="J44" i="4"/>
  <c r="CD105" i="4"/>
  <c r="J97" i="4"/>
  <c r="J105" i="4"/>
  <c r="CD106" i="4"/>
  <c r="J43" i="4"/>
  <c r="CD96" i="4"/>
  <c r="J46" i="4"/>
  <c r="CD107" i="4"/>
  <c r="J98" i="4"/>
  <c r="CD104" i="4"/>
  <c r="AH41" i="4"/>
  <c r="J45" i="4"/>
  <c r="CD42" i="4"/>
  <c r="AH106" i="4"/>
  <c r="J41" i="4"/>
  <c r="CD95" i="4"/>
  <c r="AH107" i="4"/>
  <c r="J106" i="4"/>
  <c r="J107" i="4"/>
  <c r="CD98" i="4"/>
  <c r="CD41" i="4"/>
  <c r="AH46" i="4"/>
  <c r="AH95" i="4"/>
  <c r="AH96" i="4"/>
  <c r="CD97" i="4"/>
  <c r="CD45" i="4"/>
  <c r="AH97" i="4"/>
  <c r="AH43" i="4"/>
  <c r="J95" i="4"/>
  <c r="CD43" i="4"/>
  <c r="AH45" i="4"/>
  <c r="AH44" i="4"/>
  <c r="AH105" i="4"/>
  <c r="AH42" i="4"/>
  <c r="AH98" i="4"/>
  <c r="J144" i="15"/>
  <c r="L144" i="15" s="1"/>
  <c r="I144" i="15"/>
  <c r="V26" i="4"/>
  <c r="V27" i="4" s="1"/>
  <c r="AN31" i="4"/>
  <c r="AJ31" i="4" l="1"/>
  <c r="AX31" i="4"/>
  <c r="CG27" i="4"/>
  <c r="D31" i="4"/>
  <c r="S31" i="4"/>
  <c r="C99" i="4"/>
  <c r="C114" i="4" s="1"/>
  <c r="C115" i="4" s="1"/>
  <c r="C109" i="4"/>
  <c r="C125" i="4" s="1"/>
  <c r="C126" i="4" s="1"/>
  <c r="BK31" i="4"/>
  <c r="BR31" i="4"/>
  <c r="BQ26" i="4"/>
  <c r="BQ27" i="4" s="1"/>
  <c r="U31" i="4"/>
  <c r="BJ31" i="4"/>
  <c r="Q31" i="4"/>
  <c r="M31" i="4"/>
  <c r="CC31" i="4"/>
  <c r="BW26" i="4"/>
  <c r="BW27" i="4" s="1"/>
  <c r="CF31" i="4"/>
  <c r="BC26" i="4"/>
  <c r="BC27" i="4" s="1"/>
  <c r="BS31" i="4"/>
  <c r="AS31" i="4"/>
  <c r="AV31" i="4"/>
  <c r="BP26" i="4"/>
  <c r="BP27" i="4" s="1"/>
  <c r="BN26" i="4"/>
  <c r="BN27" i="4" s="1"/>
  <c r="W26" i="4"/>
  <c r="W27" i="4" s="1"/>
  <c r="BF26" i="4"/>
  <c r="BF27" i="4" s="1"/>
  <c r="AT26" i="4"/>
  <c r="AT27" i="4" s="1"/>
  <c r="AG31" i="4"/>
  <c r="AH31" i="4"/>
  <c r="P26" i="4"/>
  <c r="P27" i="4" s="1"/>
  <c r="AE31" i="4"/>
  <c r="N26" i="4"/>
  <c r="N27" i="4" s="1"/>
  <c r="X31" i="4"/>
  <c r="O31" i="4"/>
  <c r="I26" i="4"/>
  <c r="I27" i="4" s="1"/>
  <c r="BZ31" i="4"/>
  <c r="CE31" i="4"/>
  <c r="AK26" i="4"/>
  <c r="AK27" i="4" s="1"/>
  <c r="AW31" i="4"/>
  <c r="AI26" i="4"/>
  <c r="AI27" i="4" s="1"/>
  <c r="BO31" i="4"/>
  <c r="BD31" i="4"/>
  <c r="AZ31" i="4"/>
  <c r="L31" i="4"/>
  <c r="Y26" i="4"/>
  <c r="Y27" i="4" s="1"/>
  <c r="AD31" i="4"/>
  <c r="BG31" i="4"/>
  <c r="CA26" i="4"/>
  <c r="CA27" i="4" s="1"/>
  <c r="AB26" i="4"/>
  <c r="AB27" i="4" s="1"/>
  <c r="AR31" i="4"/>
  <c r="AO31" i="4"/>
  <c r="BY31" i="4"/>
  <c r="BA31" i="4"/>
  <c r="E26" i="4"/>
  <c r="E27" i="4" s="1"/>
  <c r="H31" i="4"/>
  <c r="BU26" i="4"/>
  <c r="BU27" i="4" s="1"/>
  <c r="R26" i="4"/>
  <c r="R27" i="4" s="1"/>
  <c r="BH31" i="4"/>
  <c r="BB31" i="4"/>
  <c r="T26" i="4"/>
  <c r="T27" i="4" s="1"/>
  <c r="K31" i="4"/>
  <c r="F31" i="4"/>
  <c r="J31" i="4"/>
  <c r="CB26" i="4"/>
  <c r="CB27" i="4" s="1"/>
  <c r="BT26" i="4"/>
  <c r="BT27" i="4" s="1"/>
  <c r="AP26" i="4"/>
  <c r="AP27" i="4" s="1"/>
  <c r="C31" i="4"/>
  <c r="BE31" i="4"/>
  <c r="AQ31" i="4"/>
  <c r="CG31" i="4"/>
  <c r="AY26" i="4"/>
  <c r="AY27" i="4" s="1"/>
  <c r="AL26" i="4"/>
  <c r="AL27" i="4" s="1"/>
  <c r="AF31" i="4"/>
  <c r="AA31" i="4"/>
  <c r="Z26" i="4"/>
  <c r="Z27" i="4" s="1"/>
  <c r="BM31" i="4"/>
  <c r="G26" i="4"/>
  <c r="G27" i="4" s="1"/>
  <c r="BL26" i="4"/>
  <c r="BL27" i="4" s="1"/>
  <c r="AU26" i="4"/>
  <c r="AU27" i="4" s="1"/>
  <c r="C48" i="4"/>
  <c r="C52" i="4"/>
  <c r="C110" i="4"/>
  <c r="C127" i="4" s="1"/>
  <c r="C128" i="4" s="1"/>
  <c r="BV31" i="4"/>
  <c r="C47" i="4"/>
  <c r="C138" i="4" s="1"/>
  <c r="C139" i="4" s="1"/>
  <c r="C111" i="4"/>
  <c r="C129" i="4" s="1"/>
  <c r="C130" i="4" s="1"/>
  <c r="C51" i="4"/>
  <c r="AM31" i="4"/>
  <c r="BX31" i="4"/>
  <c r="AC31" i="4"/>
  <c r="C108" i="4"/>
  <c r="C123" i="4" s="1"/>
  <c r="C124" i="4" s="1"/>
  <c r="C100" i="4"/>
  <c r="C116" i="4" s="1"/>
  <c r="C117" i="4" s="1"/>
  <c r="CD31" i="4"/>
  <c r="BI31" i="4"/>
  <c r="C102" i="4"/>
  <c r="C120" i="4" s="1"/>
  <c r="C121" i="4" s="1"/>
  <c r="C101" i="4"/>
  <c r="C118" i="4" s="1"/>
  <c r="C119" i="4" s="1"/>
  <c r="C28" i="4"/>
  <c r="C30" i="4" s="1"/>
  <c r="C50" i="4"/>
  <c r="C142" i="4" s="1"/>
  <c r="C143" i="4" s="1"/>
  <c r="C49" i="4"/>
  <c r="C140" i="4" s="1"/>
  <c r="C141" i="4" s="1"/>
  <c r="M144" i="15"/>
  <c r="N144" i="15" s="1"/>
  <c r="K144" i="15"/>
  <c r="F24" i="4"/>
  <c r="AW24" i="4"/>
  <c r="AZ24" i="4"/>
  <c r="AJ24" i="4"/>
  <c r="AS24" i="4"/>
  <c r="BW24" i="4"/>
  <c r="AC24" i="4"/>
  <c r="BD194" i="4"/>
  <c r="BD218" i="4"/>
  <c r="AA24" i="4"/>
  <c r="BF24" i="4"/>
  <c r="BG24" i="4"/>
  <c r="P24" i="4"/>
  <c r="AI24" i="4"/>
  <c r="Y24" i="4"/>
  <c r="AF24" i="4"/>
  <c r="BG216" i="4"/>
  <c r="BQ24" i="4"/>
  <c r="AX24" i="4"/>
  <c r="D1" i="11"/>
  <c r="BK24" i="4"/>
  <c r="CB24" i="4"/>
  <c r="BP24" i="4"/>
  <c r="AQ24" i="4"/>
  <c r="AV24" i="4"/>
  <c r="CF24" i="4"/>
  <c r="BR24" i="4"/>
  <c r="AH24" i="4"/>
  <c r="I24" i="4"/>
  <c r="E24" i="4"/>
  <c r="BG211" i="4"/>
  <c r="BU24" i="4"/>
  <c r="BG213" i="4"/>
  <c r="BD206" i="4"/>
  <c r="BD182" i="4"/>
  <c r="H24" i="4"/>
  <c r="BH24" i="4"/>
  <c r="S24" i="4"/>
  <c r="T24" i="4"/>
  <c r="BG207" i="4"/>
  <c r="BB24" i="4"/>
  <c r="BD158" i="4"/>
  <c r="BZ24" i="4"/>
  <c r="CA24" i="4"/>
  <c r="BD24" i="4"/>
  <c r="BM24" i="4"/>
  <c r="BV24" i="4"/>
  <c r="BO24" i="4"/>
  <c r="V24" i="4"/>
  <c r="AL24" i="4"/>
  <c r="BE24" i="4"/>
  <c r="U24" i="4"/>
  <c r="BG217" i="4"/>
  <c r="BA24" i="4"/>
  <c r="O24" i="4"/>
  <c r="L24" i="4"/>
  <c r="AN24" i="4"/>
  <c r="BS24" i="4"/>
  <c r="CE24" i="4"/>
  <c r="AT24" i="4"/>
  <c r="BD170" i="4"/>
  <c r="N24" i="4"/>
  <c r="BY24" i="4"/>
  <c r="BG212" i="4"/>
  <c r="K24" i="4"/>
  <c r="AD24" i="4"/>
  <c r="BL24" i="4"/>
  <c r="R24" i="4"/>
  <c r="BC24" i="4"/>
  <c r="BG208" i="4"/>
  <c r="AK24" i="4"/>
  <c r="BG210" i="4"/>
  <c r="BG215" i="4"/>
  <c r="X24" i="4"/>
  <c r="AM24" i="4"/>
  <c r="BG206" i="4"/>
  <c r="M24" i="4"/>
  <c r="G24" i="4"/>
  <c r="AR24" i="4"/>
  <c r="BI24" i="4"/>
  <c r="BG214" i="4"/>
  <c r="BN24" i="4"/>
  <c r="AB24" i="4"/>
  <c r="J24" i="4"/>
  <c r="D24" i="4"/>
  <c r="AE24" i="4"/>
  <c r="AU24" i="4"/>
  <c r="CG24" i="4"/>
  <c r="BG209" i="4"/>
  <c r="BG218" i="4"/>
  <c r="BT24" i="4"/>
  <c r="BJ24" i="4"/>
  <c r="AY24" i="4"/>
  <c r="AP24" i="4"/>
  <c r="AO24" i="4"/>
  <c r="Z24" i="4"/>
  <c r="AG24" i="4"/>
  <c r="CC24" i="4"/>
  <c r="Q24" i="4"/>
  <c r="CD24" i="4"/>
  <c r="C24" i="4"/>
  <c r="BX24" i="4"/>
  <c r="CC25" i="4"/>
  <c r="BV25" i="4"/>
  <c r="BX25" i="4"/>
  <c r="CB25" i="4"/>
  <c r="BW25" i="4"/>
  <c r="CA25" i="4"/>
  <c r="BY25" i="4"/>
  <c r="CF25" i="4"/>
  <c r="CE25" i="4"/>
  <c r="CD25" i="4"/>
  <c r="BZ25" i="4"/>
  <c r="BU25" i="4"/>
  <c r="BT25" i="4"/>
  <c r="CG99" i="4"/>
  <c r="CG114" i="4" s="1"/>
  <c r="CG115" i="4" s="1"/>
  <c r="CG51" i="4"/>
  <c r="CG47" i="4"/>
  <c r="CG138" i="4" s="1"/>
  <c r="CG139" i="4" s="1"/>
  <c r="CG49" i="4"/>
  <c r="CG140" i="4" s="1"/>
  <c r="CG141" i="4" s="1"/>
  <c r="CG108" i="4"/>
  <c r="CG123" i="4" s="1"/>
  <c r="CG124" i="4" s="1"/>
  <c r="CG110" i="4"/>
  <c r="CG127" i="4" s="1"/>
  <c r="CG128" i="4" s="1"/>
  <c r="CG101" i="4"/>
  <c r="CG118" i="4" s="1"/>
  <c r="CG119" i="4" s="1"/>
  <c r="CG111" i="4"/>
  <c r="CG129" i="4" s="1"/>
  <c r="CG130" i="4" s="1"/>
  <c r="CG100" i="4"/>
  <c r="CG116" i="4" s="1"/>
  <c r="CG117" i="4" s="1"/>
  <c r="CG48" i="4"/>
  <c r="CG28" i="4"/>
  <c r="CG30" i="4" s="1"/>
  <c r="CG52" i="4"/>
  <c r="CG50" i="4"/>
  <c r="CG142" i="4" s="1"/>
  <c r="CG143" i="4" s="1"/>
  <c r="CG109" i="4"/>
  <c r="CG125" i="4" s="1"/>
  <c r="CG126" i="4" s="1"/>
  <c r="CG102" i="4"/>
  <c r="CG120" i="4" s="1"/>
  <c r="CG121" i="4" s="1"/>
  <c r="J145" i="15" l="1"/>
  <c r="L145" i="15" s="1"/>
  <c r="I145" i="15"/>
  <c r="D20" i="11"/>
  <c r="D24" i="11"/>
  <c r="D28" i="11" s="1"/>
  <c r="CD99" i="4"/>
  <c r="CD114" i="4" s="1"/>
  <c r="CD115" i="4" s="1"/>
  <c r="CD49" i="4"/>
  <c r="CD140" i="4" s="1"/>
  <c r="CD141" i="4" s="1"/>
  <c r="CD51" i="4"/>
  <c r="CD50" i="4"/>
  <c r="CD142" i="4" s="1"/>
  <c r="CD143" i="4" s="1"/>
  <c r="CD52" i="4"/>
  <c r="CD109" i="4"/>
  <c r="CD125" i="4" s="1"/>
  <c r="CD126" i="4" s="1"/>
  <c r="CD100" i="4"/>
  <c r="CD116" i="4" s="1"/>
  <c r="CD117" i="4" s="1"/>
  <c r="CD48" i="4"/>
  <c r="CD101" i="4"/>
  <c r="CD118" i="4" s="1"/>
  <c r="CD119" i="4" s="1"/>
  <c r="CD102" i="4"/>
  <c r="CD120" i="4" s="1"/>
  <c r="CD121" i="4" s="1"/>
  <c r="CD110" i="4"/>
  <c r="CD127" i="4" s="1"/>
  <c r="CD128" i="4" s="1"/>
  <c r="CD108" i="4"/>
  <c r="CD123" i="4" s="1"/>
  <c r="CD124" i="4" s="1"/>
  <c r="CD111" i="4"/>
  <c r="CD129" i="4" s="1"/>
  <c r="CD130" i="4" s="1"/>
  <c r="CD47" i="4"/>
  <c r="CD138" i="4" s="1"/>
  <c r="CD139" i="4" s="1"/>
  <c r="CD28" i="4"/>
  <c r="CD30" i="4" s="1"/>
  <c r="BU52" i="4"/>
  <c r="BU51" i="4"/>
  <c r="BU47" i="4"/>
  <c r="BU138" i="4" s="1"/>
  <c r="BU139" i="4" s="1"/>
  <c r="BU101" i="4"/>
  <c r="BU118" i="4" s="1"/>
  <c r="BU119" i="4" s="1"/>
  <c r="BU102" i="4"/>
  <c r="BU120" i="4" s="1"/>
  <c r="BU121" i="4" s="1"/>
  <c r="BU28" i="4"/>
  <c r="BU30" i="4" s="1"/>
  <c r="BU48" i="4"/>
  <c r="BU100" i="4"/>
  <c r="BU116" i="4" s="1"/>
  <c r="BU117" i="4" s="1"/>
  <c r="BU49" i="4"/>
  <c r="BU140" i="4" s="1"/>
  <c r="BU141" i="4" s="1"/>
  <c r="BU108" i="4"/>
  <c r="BU123" i="4" s="1"/>
  <c r="BU124" i="4" s="1"/>
  <c r="BU50" i="4"/>
  <c r="BU142" i="4" s="1"/>
  <c r="BU143" i="4" s="1"/>
  <c r="BU99" i="4"/>
  <c r="BU114" i="4" s="1"/>
  <c r="BU115" i="4" s="1"/>
  <c r="BU110" i="4"/>
  <c r="BU127" i="4" s="1"/>
  <c r="BU128" i="4" s="1"/>
  <c r="BU111" i="4"/>
  <c r="BU129" i="4" s="1"/>
  <c r="BU130" i="4" s="1"/>
  <c r="BU109" i="4"/>
  <c r="BU125" i="4" s="1"/>
  <c r="BU126" i="4" s="1"/>
  <c r="CA100" i="4"/>
  <c r="CA116" i="4" s="1"/>
  <c r="CA117" i="4" s="1"/>
  <c r="CA48" i="4"/>
  <c r="CA47" i="4"/>
  <c r="CA138" i="4" s="1"/>
  <c r="CA139" i="4" s="1"/>
  <c r="CA52" i="4"/>
  <c r="CA110" i="4"/>
  <c r="CA127" i="4" s="1"/>
  <c r="CA128" i="4" s="1"/>
  <c r="CA99" i="4"/>
  <c r="CA114" i="4" s="1"/>
  <c r="CA115" i="4" s="1"/>
  <c r="CA49" i="4"/>
  <c r="CA140" i="4" s="1"/>
  <c r="CA141" i="4" s="1"/>
  <c r="CA102" i="4"/>
  <c r="CA120" i="4" s="1"/>
  <c r="CA121" i="4" s="1"/>
  <c r="CA51" i="4"/>
  <c r="CA111" i="4"/>
  <c r="CA129" i="4" s="1"/>
  <c r="CA130" i="4" s="1"/>
  <c r="CA109" i="4"/>
  <c r="CA125" i="4" s="1"/>
  <c r="CA126" i="4" s="1"/>
  <c r="CA108" i="4"/>
  <c r="CA123" i="4" s="1"/>
  <c r="CA124" i="4" s="1"/>
  <c r="CA28" i="4"/>
  <c r="CA30" i="4" s="1"/>
  <c r="CA101" i="4"/>
  <c r="CA118" i="4" s="1"/>
  <c r="CA119" i="4" s="1"/>
  <c r="CA50" i="4"/>
  <c r="CA142" i="4" s="1"/>
  <c r="CA143" i="4" s="1"/>
  <c r="BW110" i="4"/>
  <c r="BW127" i="4" s="1"/>
  <c r="BW128" i="4" s="1"/>
  <c r="BW51" i="4"/>
  <c r="BW48" i="4"/>
  <c r="BW101" i="4"/>
  <c r="BW118" i="4" s="1"/>
  <c r="BW119" i="4" s="1"/>
  <c r="BW100" i="4"/>
  <c r="BW116" i="4" s="1"/>
  <c r="BW117" i="4" s="1"/>
  <c r="BW102" i="4"/>
  <c r="BW120" i="4" s="1"/>
  <c r="BW121" i="4" s="1"/>
  <c r="BW99" i="4"/>
  <c r="BW114" i="4" s="1"/>
  <c r="BW115" i="4" s="1"/>
  <c r="BW50" i="4"/>
  <c r="BW142" i="4" s="1"/>
  <c r="BW143" i="4" s="1"/>
  <c r="BW28" i="4"/>
  <c r="BW30" i="4" s="1"/>
  <c r="BW47" i="4"/>
  <c r="BW138" i="4" s="1"/>
  <c r="BW139" i="4" s="1"/>
  <c r="BW111" i="4"/>
  <c r="BW129" i="4" s="1"/>
  <c r="BW130" i="4" s="1"/>
  <c r="BW49" i="4"/>
  <c r="BW140" i="4" s="1"/>
  <c r="BW141" i="4" s="1"/>
  <c r="BW52" i="4"/>
  <c r="BW108" i="4"/>
  <c r="BW123" i="4" s="1"/>
  <c r="BW124" i="4" s="1"/>
  <c r="BW109" i="4"/>
  <c r="BW125" i="4" s="1"/>
  <c r="BW126" i="4" s="1"/>
  <c r="BX111" i="4"/>
  <c r="BX129" i="4" s="1"/>
  <c r="BX130" i="4" s="1"/>
  <c r="BX48" i="4"/>
  <c r="BX108" i="4"/>
  <c r="BX123" i="4" s="1"/>
  <c r="BX124" i="4" s="1"/>
  <c r="BX49" i="4"/>
  <c r="BX140" i="4" s="1"/>
  <c r="BX141" i="4" s="1"/>
  <c r="BX100" i="4"/>
  <c r="BX116" i="4" s="1"/>
  <c r="BX117" i="4" s="1"/>
  <c r="BX51" i="4"/>
  <c r="BX101" i="4"/>
  <c r="BX118" i="4" s="1"/>
  <c r="BX119" i="4" s="1"/>
  <c r="BX47" i="4"/>
  <c r="BX138" i="4" s="1"/>
  <c r="BX139" i="4" s="1"/>
  <c r="BX102" i="4"/>
  <c r="BX120" i="4" s="1"/>
  <c r="BX121" i="4" s="1"/>
  <c r="BX110" i="4"/>
  <c r="BX127" i="4" s="1"/>
  <c r="BX128" i="4" s="1"/>
  <c r="BX109" i="4"/>
  <c r="BX125" i="4" s="1"/>
  <c r="BX126" i="4" s="1"/>
  <c r="BX50" i="4"/>
  <c r="BX142" i="4" s="1"/>
  <c r="BX143" i="4" s="1"/>
  <c r="BX52" i="4"/>
  <c r="BX99" i="4"/>
  <c r="BX114" i="4" s="1"/>
  <c r="BX115" i="4" s="1"/>
  <c r="BX28" i="4"/>
  <c r="BX30" i="4" s="1"/>
  <c r="CE99" i="4"/>
  <c r="CE114" i="4" s="1"/>
  <c r="CE115" i="4" s="1"/>
  <c r="CE51" i="4"/>
  <c r="CE111" i="4"/>
  <c r="CE129" i="4" s="1"/>
  <c r="CE130" i="4" s="1"/>
  <c r="CE49" i="4"/>
  <c r="CE140" i="4" s="1"/>
  <c r="CE141" i="4" s="1"/>
  <c r="CE110" i="4"/>
  <c r="CE127" i="4" s="1"/>
  <c r="CE128" i="4" s="1"/>
  <c r="CE50" i="4"/>
  <c r="CE142" i="4" s="1"/>
  <c r="CE143" i="4" s="1"/>
  <c r="CE52" i="4"/>
  <c r="CE47" i="4"/>
  <c r="CE138" i="4" s="1"/>
  <c r="CE139" i="4" s="1"/>
  <c r="CE108" i="4"/>
  <c r="CE123" i="4" s="1"/>
  <c r="CE124" i="4" s="1"/>
  <c r="CE48" i="4"/>
  <c r="CE100" i="4"/>
  <c r="CE116" i="4" s="1"/>
  <c r="CE117" i="4" s="1"/>
  <c r="CE101" i="4"/>
  <c r="CE118" i="4" s="1"/>
  <c r="CE119" i="4" s="1"/>
  <c r="CE28" i="4"/>
  <c r="CE30" i="4" s="1"/>
  <c r="CE102" i="4"/>
  <c r="CE120" i="4" s="1"/>
  <c r="CE121" i="4" s="1"/>
  <c r="CE109" i="4"/>
  <c r="CE125" i="4" s="1"/>
  <c r="CE126" i="4" s="1"/>
  <c r="CF109" i="4"/>
  <c r="CF125" i="4" s="1"/>
  <c r="CF126" i="4" s="1"/>
  <c r="CF50" i="4"/>
  <c r="CF142" i="4" s="1"/>
  <c r="CF143" i="4" s="1"/>
  <c r="CF48" i="4"/>
  <c r="CF49" i="4"/>
  <c r="CF140" i="4" s="1"/>
  <c r="CF141" i="4" s="1"/>
  <c r="CF110" i="4"/>
  <c r="CF127" i="4" s="1"/>
  <c r="CF128" i="4" s="1"/>
  <c r="CF51" i="4"/>
  <c r="CF108" i="4"/>
  <c r="CF123" i="4" s="1"/>
  <c r="CF124" i="4" s="1"/>
  <c r="CF111" i="4"/>
  <c r="CF129" i="4" s="1"/>
  <c r="CF130" i="4" s="1"/>
  <c r="CF102" i="4"/>
  <c r="CF120" i="4" s="1"/>
  <c r="CF121" i="4" s="1"/>
  <c r="CF28" i="4"/>
  <c r="CF30" i="4" s="1"/>
  <c r="CF99" i="4"/>
  <c r="CF114" i="4" s="1"/>
  <c r="CF115" i="4" s="1"/>
  <c r="CF101" i="4"/>
  <c r="CF118" i="4" s="1"/>
  <c r="CF119" i="4" s="1"/>
  <c r="CF52" i="4"/>
  <c r="CF47" i="4"/>
  <c r="CF138" i="4" s="1"/>
  <c r="CF139" i="4" s="1"/>
  <c r="CF100" i="4"/>
  <c r="CF116" i="4" s="1"/>
  <c r="CF117" i="4" s="1"/>
  <c r="CB101" i="4"/>
  <c r="CB118" i="4" s="1"/>
  <c r="CB119" i="4" s="1"/>
  <c r="CB52" i="4"/>
  <c r="CB49" i="4"/>
  <c r="CB140" i="4" s="1"/>
  <c r="CB141" i="4" s="1"/>
  <c r="CB109" i="4"/>
  <c r="CB125" i="4" s="1"/>
  <c r="CB126" i="4" s="1"/>
  <c r="CB51" i="4"/>
  <c r="CB102" i="4"/>
  <c r="CB120" i="4" s="1"/>
  <c r="CB121" i="4" s="1"/>
  <c r="CB110" i="4"/>
  <c r="CB127" i="4" s="1"/>
  <c r="CB128" i="4" s="1"/>
  <c r="CB28" i="4"/>
  <c r="CB30" i="4" s="1"/>
  <c r="CB108" i="4"/>
  <c r="CB123" i="4" s="1"/>
  <c r="CB124" i="4" s="1"/>
  <c r="CB111" i="4"/>
  <c r="CB129" i="4" s="1"/>
  <c r="CB130" i="4" s="1"/>
  <c r="CB100" i="4"/>
  <c r="CB116" i="4" s="1"/>
  <c r="CB117" i="4" s="1"/>
  <c r="CB47" i="4"/>
  <c r="CB138" i="4" s="1"/>
  <c r="CB139" i="4" s="1"/>
  <c r="CB50" i="4"/>
  <c r="CB142" i="4" s="1"/>
  <c r="CB143" i="4" s="1"/>
  <c r="CB99" i="4"/>
  <c r="CB114" i="4" s="1"/>
  <c r="CB115" i="4" s="1"/>
  <c r="CB48" i="4"/>
  <c r="BV49" i="4"/>
  <c r="BV140" i="4" s="1"/>
  <c r="BV141" i="4" s="1"/>
  <c r="BV51" i="4"/>
  <c r="BV47" i="4"/>
  <c r="BV138" i="4" s="1"/>
  <c r="BV139" i="4" s="1"/>
  <c r="BV50" i="4"/>
  <c r="BV142" i="4" s="1"/>
  <c r="BV143" i="4" s="1"/>
  <c r="BV109" i="4"/>
  <c r="BV125" i="4" s="1"/>
  <c r="BV126" i="4" s="1"/>
  <c r="BV28" i="4"/>
  <c r="BV30" i="4" s="1"/>
  <c r="BV111" i="4"/>
  <c r="BV129" i="4" s="1"/>
  <c r="BV130" i="4" s="1"/>
  <c r="BV52" i="4"/>
  <c r="BV108" i="4"/>
  <c r="BV123" i="4" s="1"/>
  <c r="BV124" i="4" s="1"/>
  <c r="BV102" i="4"/>
  <c r="BV120" i="4" s="1"/>
  <c r="BV121" i="4" s="1"/>
  <c r="BV101" i="4"/>
  <c r="BV118" i="4" s="1"/>
  <c r="BV119" i="4" s="1"/>
  <c r="BV99" i="4"/>
  <c r="BV114" i="4" s="1"/>
  <c r="BV115" i="4" s="1"/>
  <c r="BV48" i="4"/>
  <c r="BV110" i="4"/>
  <c r="BV127" i="4" s="1"/>
  <c r="BV128" i="4" s="1"/>
  <c r="BV100" i="4"/>
  <c r="BV116" i="4" s="1"/>
  <c r="BV117" i="4" s="1"/>
  <c r="BZ50" i="4"/>
  <c r="BZ142" i="4" s="1"/>
  <c r="BZ143" i="4" s="1"/>
  <c r="BZ109" i="4"/>
  <c r="BZ125" i="4" s="1"/>
  <c r="BZ126" i="4" s="1"/>
  <c r="BZ111" i="4"/>
  <c r="BZ129" i="4" s="1"/>
  <c r="BZ130" i="4" s="1"/>
  <c r="BZ47" i="4"/>
  <c r="BZ138" i="4" s="1"/>
  <c r="BZ139" i="4" s="1"/>
  <c r="BZ110" i="4"/>
  <c r="BZ127" i="4" s="1"/>
  <c r="BZ128" i="4" s="1"/>
  <c r="BZ48" i="4"/>
  <c r="BZ52" i="4"/>
  <c r="BZ99" i="4"/>
  <c r="BZ114" i="4" s="1"/>
  <c r="BZ115" i="4" s="1"/>
  <c r="BZ102" i="4"/>
  <c r="BZ120" i="4" s="1"/>
  <c r="BZ121" i="4" s="1"/>
  <c r="BZ28" i="4"/>
  <c r="BZ30" i="4" s="1"/>
  <c r="BZ49" i="4"/>
  <c r="BZ140" i="4" s="1"/>
  <c r="BZ141" i="4" s="1"/>
  <c r="BZ101" i="4"/>
  <c r="BZ118" i="4" s="1"/>
  <c r="BZ119" i="4" s="1"/>
  <c r="BZ51" i="4"/>
  <c r="BZ108" i="4"/>
  <c r="BZ123" i="4" s="1"/>
  <c r="BZ124" i="4" s="1"/>
  <c r="BZ100" i="4"/>
  <c r="BZ116" i="4" s="1"/>
  <c r="BZ117" i="4" s="1"/>
  <c r="CC52" i="4"/>
  <c r="CC47" i="4"/>
  <c r="CC138" i="4" s="1"/>
  <c r="CC139" i="4" s="1"/>
  <c r="CC102" i="4"/>
  <c r="CC120" i="4" s="1"/>
  <c r="CC121" i="4" s="1"/>
  <c r="CC49" i="4"/>
  <c r="CC140" i="4" s="1"/>
  <c r="CC141" i="4" s="1"/>
  <c r="CC110" i="4"/>
  <c r="CC127" i="4" s="1"/>
  <c r="CC128" i="4" s="1"/>
  <c r="CC28" i="4"/>
  <c r="CC30" i="4" s="1"/>
  <c r="CC101" i="4"/>
  <c r="CC118" i="4" s="1"/>
  <c r="CC119" i="4" s="1"/>
  <c r="CC51" i="4"/>
  <c r="CC111" i="4"/>
  <c r="CC129" i="4" s="1"/>
  <c r="CC130" i="4" s="1"/>
  <c r="CC109" i="4"/>
  <c r="CC125" i="4" s="1"/>
  <c r="CC126" i="4" s="1"/>
  <c r="CC108" i="4"/>
  <c r="CC123" i="4" s="1"/>
  <c r="CC124" i="4" s="1"/>
  <c r="CC99" i="4"/>
  <c r="CC114" i="4" s="1"/>
  <c r="CC115" i="4" s="1"/>
  <c r="CC50" i="4"/>
  <c r="CC142" i="4" s="1"/>
  <c r="CC143" i="4" s="1"/>
  <c r="CC100" i="4"/>
  <c r="CC116" i="4" s="1"/>
  <c r="CC117" i="4" s="1"/>
  <c r="CC48" i="4"/>
  <c r="CG29" i="4"/>
  <c r="BS25" i="4"/>
  <c r="BT50" i="4"/>
  <c r="BT142" i="4" s="1"/>
  <c r="BT143" i="4" s="1"/>
  <c r="BT100" i="4"/>
  <c r="BT116" i="4" s="1"/>
  <c r="BT117" i="4" s="1"/>
  <c r="BT47" i="4"/>
  <c r="BT138" i="4" s="1"/>
  <c r="BT139" i="4" s="1"/>
  <c r="BT111" i="4"/>
  <c r="BT129" i="4" s="1"/>
  <c r="BT130" i="4" s="1"/>
  <c r="BT49" i="4"/>
  <c r="BT140" i="4" s="1"/>
  <c r="BT141" i="4" s="1"/>
  <c r="BT110" i="4"/>
  <c r="BT127" i="4" s="1"/>
  <c r="BT128" i="4" s="1"/>
  <c r="BT101" i="4"/>
  <c r="BT118" i="4" s="1"/>
  <c r="BT119" i="4" s="1"/>
  <c r="BT51" i="4"/>
  <c r="BT102" i="4"/>
  <c r="BT120" i="4" s="1"/>
  <c r="BT121" i="4" s="1"/>
  <c r="BT108" i="4"/>
  <c r="BT123" i="4" s="1"/>
  <c r="BT124" i="4" s="1"/>
  <c r="BT28" i="4"/>
  <c r="BT30" i="4" s="1"/>
  <c r="BT99" i="4"/>
  <c r="BT114" i="4" s="1"/>
  <c r="BT115" i="4" s="1"/>
  <c r="BT52" i="4"/>
  <c r="BT109" i="4"/>
  <c r="BT125" i="4" s="1"/>
  <c r="BT126" i="4" s="1"/>
  <c r="BT48" i="4"/>
  <c r="BY99" i="4"/>
  <c r="BY114" i="4" s="1"/>
  <c r="BY115" i="4" s="1"/>
  <c r="BY108" i="4"/>
  <c r="BY123" i="4" s="1"/>
  <c r="BY124" i="4" s="1"/>
  <c r="BY48" i="4"/>
  <c r="BY51" i="4"/>
  <c r="BY100" i="4"/>
  <c r="BY116" i="4" s="1"/>
  <c r="BY117" i="4" s="1"/>
  <c r="BY28" i="4"/>
  <c r="BY30" i="4" s="1"/>
  <c r="BY49" i="4"/>
  <c r="BY140" i="4" s="1"/>
  <c r="BY141" i="4" s="1"/>
  <c r="BY101" i="4"/>
  <c r="BY118" i="4" s="1"/>
  <c r="BY119" i="4" s="1"/>
  <c r="BY109" i="4"/>
  <c r="BY125" i="4" s="1"/>
  <c r="BY126" i="4" s="1"/>
  <c r="BY110" i="4"/>
  <c r="BY127" i="4" s="1"/>
  <c r="BY128" i="4" s="1"/>
  <c r="BY102" i="4"/>
  <c r="BY120" i="4" s="1"/>
  <c r="BY121" i="4" s="1"/>
  <c r="BY111" i="4"/>
  <c r="BY129" i="4" s="1"/>
  <c r="BY130" i="4" s="1"/>
  <c r="BY50" i="4"/>
  <c r="BY142" i="4" s="1"/>
  <c r="BY143" i="4" s="1"/>
  <c r="BY52" i="4"/>
  <c r="BY47" i="4"/>
  <c r="BY138" i="4" s="1"/>
  <c r="BY139" i="4" s="1"/>
  <c r="K145" i="15" l="1"/>
  <c r="M145" i="15"/>
  <c r="N145" i="15" s="1"/>
  <c r="CD29" i="4"/>
  <c r="CD60" i="4" s="1"/>
  <c r="CE29" i="4"/>
  <c r="CE61" i="4" s="1"/>
  <c r="BU29" i="4"/>
  <c r="BU64" i="4" s="1"/>
  <c r="BX29" i="4"/>
  <c r="BX62" i="4" s="1"/>
  <c r="CF29" i="4"/>
  <c r="CF65" i="4" s="1"/>
  <c r="CB29" i="4"/>
  <c r="CB92" i="4" s="1"/>
  <c r="BV29" i="4"/>
  <c r="BV78" i="4" s="1"/>
  <c r="CA29" i="4"/>
  <c r="CA64" i="4" s="1"/>
  <c r="CG93" i="4"/>
  <c r="CG75" i="4"/>
  <c r="CG90" i="4"/>
  <c r="CG79" i="4"/>
  <c r="CG78" i="4"/>
  <c r="CG74" i="4"/>
  <c r="CG61" i="4"/>
  <c r="CG92" i="4"/>
  <c r="CG77" i="4"/>
  <c r="CG91" i="4"/>
  <c r="CG76" i="4"/>
  <c r="CG60" i="4"/>
  <c r="CG62" i="4"/>
  <c r="CG64" i="4"/>
  <c r="CG63" i="4"/>
  <c r="CG65" i="4"/>
  <c r="CG88" i="4"/>
  <c r="CG89" i="4"/>
  <c r="BZ29" i="4"/>
  <c r="BW29" i="4"/>
  <c r="BR25" i="4"/>
  <c r="BS100" i="4"/>
  <c r="BS116" i="4" s="1"/>
  <c r="BS117" i="4" s="1"/>
  <c r="BS51" i="4"/>
  <c r="BS102" i="4"/>
  <c r="BS120" i="4" s="1"/>
  <c r="BS121" i="4" s="1"/>
  <c r="BS111" i="4"/>
  <c r="BS129" i="4" s="1"/>
  <c r="BS130" i="4" s="1"/>
  <c r="BS47" i="4"/>
  <c r="BS138" i="4" s="1"/>
  <c r="BS139" i="4" s="1"/>
  <c r="BS110" i="4"/>
  <c r="BS127" i="4" s="1"/>
  <c r="BS128" i="4" s="1"/>
  <c r="BS101" i="4"/>
  <c r="BS118" i="4" s="1"/>
  <c r="BS119" i="4" s="1"/>
  <c r="BS48" i="4"/>
  <c r="BS108" i="4"/>
  <c r="BS123" i="4" s="1"/>
  <c r="BS124" i="4" s="1"/>
  <c r="BS52" i="4"/>
  <c r="BS109" i="4"/>
  <c r="BS125" i="4" s="1"/>
  <c r="BS126" i="4" s="1"/>
  <c r="BS28" i="4"/>
  <c r="BS30" i="4" s="1"/>
  <c r="BS29" i="4" s="1"/>
  <c r="BS99" i="4"/>
  <c r="BS114" i="4" s="1"/>
  <c r="BS115" i="4" s="1"/>
  <c r="BS49" i="4"/>
  <c r="BS140" i="4" s="1"/>
  <c r="BS141" i="4" s="1"/>
  <c r="BS50" i="4"/>
  <c r="BS142" i="4" s="1"/>
  <c r="BS143" i="4" s="1"/>
  <c r="BY29" i="4"/>
  <c r="BT29" i="4"/>
  <c r="CC29" i="4"/>
  <c r="J146" i="15" l="1"/>
  <c r="L146" i="15" s="1"/>
  <c r="I146" i="15"/>
  <c r="CE64" i="4"/>
  <c r="CE76" i="4"/>
  <c r="CE89" i="4"/>
  <c r="CE75" i="4"/>
  <c r="CD78" i="4"/>
  <c r="CE62" i="4"/>
  <c r="CD77" i="4"/>
  <c r="CD61" i="4"/>
  <c r="CD76" i="4"/>
  <c r="CD75" i="4"/>
  <c r="CD89" i="4"/>
  <c r="CD64" i="4"/>
  <c r="CD79" i="4"/>
  <c r="CD90" i="4"/>
  <c r="CD74" i="4"/>
  <c r="CD62" i="4"/>
  <c r="CD91" i="4"/>
  <c r="CD88" i="4"/>
  <c r="CD93" i="4"/>
  <c r="CD92" i="4"/>
  <c r="CD63" i="4"/>
  <c r="CD65" i="4"/>
  <c r="CE77" i="4"/>
  <c r="CE79" i="4"/>
  <c r="CE93" i="4"/>
  <c r="CE60" i="4"/>
  <c r="CE90" i="4"/>
  <c r="CE65" i="4"/>
  <c r="CE91" i="4"/>
  <c r="CE63" i="4"/>
  <c r="CE74" i="4"/>
  <c r="CE88" i="4"/>
  <c r="CE92" i="4"/>
  <c r="CE78" i="4"/>
  <c r="BV65" i="4"/>
  <c r="BU74" i="4"/>
  <c r="BU89" i="4"/>
  <c r="BU62" i="4"/>
  <c r="BU78" i="4"/>
  <c r="BU76" i="4"/>
  <c r="BU88" i="4"/>
  <c r="BU63" i="4"/>
  <c r="BU77" i="4"/>
  <c r="BU75" i="4"/>
  <c r="BU79" i="4"/>
  <c r="BU60" i="4"/>
  <c r="BU61" i="4"/>
  <c r="BU92" i="4"/>
  <c r="BU90" i="4"/>
  <c r="BU91" i="4"/>
  <c r="BU65" i="4"/>
  <c r="BU93" i="4"/>
  <c r="CF63" i="4"/>
  <c r="CF64" i="4"/>
  <c r="CF76" i="4"/>
  <c r="CF93" i="4"/>
  <c r="CF75" i="4"/>
  <c r="CF77" i="4"/>
  <c r="CF92" i="4"/>
  <c r="BX88" i="4"/>
  <c r="BX65" i="4"/>
  <c r="BX78" i="4"/>
  <c r="BX91" i="4"/>
  <c r="BX77" i="4"/>
  <c r="BX76" i="4"/>
  <c r="CB90" i="4"/>
  <c r="BV79" i="4"/>
  <c r="BV93" i="4"/>
  <c r="BV77" i="4"/>
  <c r="BV61" i="4"/>
  <c r="CB79" i="4"/>
  <c r="CF78" i="4"/>
  <c r="CB60" i="4"/>
  <c r="CF90" i="4"/>
  <c r="BX89" i="4"/>
  <c r="CB76" i="4"/>
  <c r="BX92" i="4"/>
  <c r="CB74" i="4"/>
  <c r="BX93" i="4"/>
  <c r="CF74" i="4"/>
  <c r="CB64" i="4"/>
  <c r="CB61" i="4"/>
  <c r="CB91" i="4"/>
  <c r="CB62" i="4"/>
  <c r="CB63" i="4"/>
  <c r="CF60" i="4"/>
  <c r="BX75" i="4"/>
  <c r="BX63" i="4"/>
  <c r="BX74" i="4"/>
  <c r="CB93" i="4"/>
  <c r="CF79" i="4"/>
  <c r="CB88" i="4"/>
  <c r="BX79" i="4"/>
  <c r="CB78" i="4"/>
  <c r="CF62" i="4"/>
  <c r="CF88" i="4"/>
  <c r="CF89" i="4"/>
  <c r="CB65" i="4"/>
  <c r="CB89" i="4"/>
  <c r="CF61" i="4"/>
  <c r="BX90" i="4"/>
  <c r="BX60" i="4"/>
  <c r="CF91" i="4"/>
  <c r="CB77" i="4"/>
  <c r="BX64" i="4"/>
  <c r="CB75" i="4"/>
  <c r="BX61" i="4"/>
  <c r="BV92" i="4"/>
  <c r="BV89" i="4"/>
  <c r="BV88" i="4"/>
  <c r="BV76" i="4"/>
  <c r="BV91" i="4"/>
  <c r="BV63" i="4"/>
  <c r="BV62" i="4"/>
  <c r="BV60" i="4"/>
  <c r="BV90" i="4"/>
  <c r="BV74" i="4"/>
  <c r="CA92" i="4"/>
  <c r="CA90" i="4"/>
  <c r="CA91" i="4"/>
  <c r="CA65" i="4"/>
  <c r="CA74" i="4"/>
  <c r="CA75" i="4"/>
  <c r="CA78" i="4"/>
  <c r="CA88" i="4"/>
  <c r="CA76" i="4"/>
  <c r="BV64" i="4"/>
  <c r="BV75" i="4"/>
  <c r="CA89" i="4"/>
  <c r="CA60" i="4"/>
  <c r="CA62" i="4"/>
  <c r="CA77" i="4"/>
  <c r="CA93" i="4"/>
  <c r="CA61" i="4"/>
  <c r="CA63" i="4"/>
  <c r="CA79" i="4"/>
  <c r="BQ25" i="4"/>
  <c r="BR108" i="4"/>
  <c r="BR123" i="4" s="1"/>
  <c r="BR124" i="4" s="1"/>
  <c r="BR100" i="4"/>
  <c r="BR116" i="4" s="1"/>
  <c r="BR117" i="4" s="1"/>
  <c r="BR50" i="4"/>
  <c r="BR142" i="4" s="1"/>
  <c r="BR143" i="4" s="1"/>
  <c r="BR47" i="4"/>
  <c r="BR138" i="4" s="1"/>
  <c r="BR139" i="4" s="1"/>
  <c r="BR48" i="4"/>
  <c r="BS89" i="4" s="1"/>
  <c r="BR110" i="4"/>
  <c r="BR127" i="4" s="1"/>
  <c r="BR128" i="4" s="1"/>
  <c r="BR109" i="4"/>
  <c r="BR125" i="4" s="1"/>
  <c r="BR126" i="4" s="1"/>
  <c r="BR28" i="4"/>
  <c r="BR30" i="4" s="1"/>
  <c r="BR29" i="4" s="1"/>
  <c r="BR52" i="4"/>
  <c r="BS65" i="4" s="1"/>
  <c r="BR101" i="4"/>
  <c r="BR118" i="4" s="1"/>
  <c r="BR119" i="4" s="1"/>
  <c r="BR111" i="4"/>
  <c r="BR129" i="4" s="1"/>
  <c r="BR130" i="4" s="1"/>
  <c r="BR51" i="4"/>
  <c r="BS78" i="4" s="1"/>
  <c r="BR102" i="4"/>
  <c r="BR120" i="4" s="1"/>
  <c r="BR121" i="4" s="1"/>
  <c r="BR99" i="4"/>
  <c r="BR114" i="4" s="1"/>
  <c r="BR115" i="4" s="1"/>
  <c r="BR49" i="4"/>
  <c r="BR140" i="4" s="1"/>
  <c r="BR141" i="4" s="1"/>
  <c r="BY65" i="4"/>
  <c r="BY89" i="4"/>
  <c r="BY60" i="4"/>
  <c r="BY75" i="4"/>
  <c r="BY62" i="4"/>
  <c r="BY92" i="4"/>
  <c r="BY64" i="4"/>
  <c r="BY61" i="4"/>
  <c r="BY74" i="4"/>
  <c r="BY76" i="4"/>
  <c r="BY93" i="4"/>
  <c r="BY91" i="4"/>
  <c r="BY63" i="4"/>
  <c r="BY79" i="4"/>
  <c r="BY90" i="4"/>
  <c r="BY88" i="4"/>
  <c r="BY77" i="4"/>
  <c r="BY78" i="4"/>
  <c r="BZ92" i="4"/>
  <c r="BZ77" i="4"/>
  <c r="BZ63" i="4"/>
  <c r="BZ75" i="4"/>
  <c r="BZ64" i="4"/>
  <c r="BZ61" i="4"/>
  <c r="BZ90" i="4"/>
  <c r="BZ65" i="4"/>
  <c r="BZ79" i="4"/>
  <c r="BZ89" i="4"/>
  <c r="BZ88" i="4"/>
  <c r="BZ62" i="4"/>
  <c r="BZ60" i="4"/>
  <c r="BZ93" i="4"/>
  <c r="BZ74" i="4"/>
  <c r="BZ76" i="4"/>
  <c r="BZ91" i="4"/>
  <c r="BZ78" i="4"/>
  <c r="CC62" i="4"/>
  <c r="CC60" i="4"/>
  <c r="CC74" i="4"/>
  <c r="CC93" i="4"/>
  <c r="CC78" i="4"/>
  <c r="CC76" i="4"/>
  <c r="CC92" i="4"/>
  <c r="CC64" i="4"/>
  <c r="CC79" i="4"/>
  <c r="CC77" i="4"/>
  <c r="CC90" i="4"/>
  <c r="CC61" i="4"/>
  <c r="CC89" i="4"/>
  <c r="CC63" i="4"/>
  <c r="CC88" i="4"/>
  <c r="CC75" i="4"/>
  <c r="CC91" i="4"/>
  <c r="CC65" i="4"/>
  <c r="BT90" i="4"/>
  <c r="BT64" i="4"/>
  <c r="BT62" i="4"/>
  <c r="BT63" i="4"/>
  <c r="BT76" i="4"/>
  <c r="BT75" i="4"/>
  <c r="BT79" i="4"/>
  <c r="BT78" i="4"/>
  <c r="BT92" i="4"/>
  <c r="BT88" i="4"/>
  <c r="BT93" i="4"/>
  <c r="BT91" i="4"/>
  <c r="BT60" i="4"/>
  <c r="BT77" i="4"/>
  <c r="BT89" i="4"/>
  <c r="BT65" i="4"/>
  <c r="BT61" i="4"/>
  <c r="BT74" i="4"/>
  <c r="BW76" i="4"/>
  <c r="BW92" i="4"/>
  <c r="BW60" i="4"/>
  <c r="BW64" i="4"/>
  <c r="BW77" i="4"/>
  <c r="BW62" i="4"/>
  <c r="BW88" i="4"/>
  <c r="BW79" i="4"/>
  <c r="BW63" i="4"/>
  <c r="BW75" i="4"/>
  <c r="BW90" i="4"/>
  <c r="BW91" i="4"/>
  <c r="BW78" i="4"/>
  <c r="BW61" i="4"/>
  <c r="BW93" i="4"/>
  <c r="BW74" i="4"/>
  <c r="BW65" i="4"/>
  <c r="BW89" i="4"/>
  <c r="K146" i="15" l="1"/>
  <c r="M146" i="15"/>
  <c r="N146" i="15" s="1"/>
  <c r="BS64" i="4"/>
  <c r="BS92" i="4"/>
  <c r="BS91" i="4"/>
  <c r="BS75" i="4"/>
  <c r="BS74" i="4"/>
  <c r="BS93" i="4"/>
  <c r="BS63" i="4"/>
  <c r="BS61" i="4"/>
  <c r="BP25" i="4"/>
  <c r="BQ102" i="4"/>
  <c r="BQ120" i="4" s="1"/>
  <c r="BQ121" i="4" s="1"/>
  <c r="BQ110" i="4"/>
  <c r="BQ127" i="4" s="1"/>
  <c r="BQ128" i="4" s="1"/>
  <c r="BQ108" i="4"/>
  <c r="BQ123" i="4" s="1"/>
  <c r="BQ124" i="4" s="1"/>
  <c r="BQ51" i="4"/>
  <c r="BR64" i="4" s="1"/>
  <c r="BQ52" i="4"/>
  <c r="BR65" i="4" s="1"/>
  <c r="BQ100" i="4"/>
  <c r="BQ116" i="4" s="1"/>
  <c r="BQ117" i="4" s="1"/>
  <c r="BQ111" i="4"/>
  <c r="BQ129" i="4" s="1"/>
  <c r="BQ130" i="4" s="1"/>
  <c r="BQ50" i="4"/>
  <c r="BR91" i="4" s="1"/>
  <c r="BQ49" i="4"/>
  <c r="BR62" i="4" s="1"/>
  <c r="BQ109" i="4"/>
  <c r="BQ125" i="4" s="1"/>
  <c r="BQ126" i="4" s="1"/>
  <c r="BQ101" i="4"/>
  <c r="BQ118" i="4" s="1"/>
  <c r="BQ119" i="4" s="1"/>
  <c r="BQ99" i="4"/>
  <c r="BQ114" i="4" s="1"/>
  <c r="BQ115" i="4" s="1"/>
  <c r="BQ47" i="4"/>
  <c r="BQ138" i="4" s="1"/>
  <c r="BQ139" i="4" s="1"/>
  <c r="BQ48" i="4"/>
  <c r="BR75" i="4" s="1"/>
  <c r="BQ28" i="4"/>
  <c r="BQ30" i="4" s="1"/>
  <c r="BQ29" i="4" s="1"/>
  <c r="BS77" i="4"/>
  <c r="BS79" i="4"/>
  <c r="BS88" i="4"/>
  <c r="BS60" i="4"/>
  <c r="BS90" i="4"/>
  <c r="BS76" i="4"/>
  <c r="BS62" i="4"/>
  <c r="J147" i="15" l="1"/>
  <c r="L147" i="15" s="1"/>
  <c r="I147" i="15"/>
  <c r="BR61" i="4"/>
  <c r="BR89" i="4"/>
  <c r="BR78" i="4"/>
  <c r="BR74" i="4"/>
  <c r="BR93" i="4"/>
  <c r="BR77" i="4"/>
  <c r="BR60" i="4"/>
  <c r="BR88" i="4"/>
  <c r="BR92" i="4"/>
  <c r="BR79" i="4"/>
  <c r="BQ140" i="4"/>
  <c r="BQ141" i="4" s="1"/>
  <c r="BR76" i="4"/>
  <c r="BQ142" i="4"/>
  <c r="BQ143" i="4" s="1"/>
  <c r="BR63" i="4"/>
  <c r="BO25" i="4"/>
  <c r="BP111" i="4"/>
  <c r="BP129" i="4" s="1"/>
  <c r="BP130" i="4" s="1"/>
  <c r="BP28" i="4"/>
  <c r="BP30" i="4" s="1"/>
  <c r="BP29" i="4" s="1"/>
  <c r="BP50" i="4"/>
  <c r="BP142" i="4" s="1"/>
  <c r="BP143" i="4" s="1"/>
  <c r="BP108" i="4"/>
  <c r="BP123" i="4" s="1"/>
  <c r="BP124" i="4" s="1"/>
  <c r="BP52" i="4"/>
  <c r="BQ93" i="4" s="1"/>
  <c r="BP99" i="4"/>
  <c r="BP114" i="4" s="1"/>
  <c r="BP115" i="4" s="1"/>
  <c r="BP109" i="4"/>
  <c r="BP125" i="4" s="1"/>
  <c r="BP126" i="4" s="1"/>
  <c r="BP48" i="4"/>
  <c r="BQ89" i="4" s="1"/>
  <c r="BP101" i="4"/>
  <c r="BP118" i="4" s="1"/>
  <c r="BP119" i="4" s="1"/>
  <c r="BP51" i="4"/>
  <c r="BQ92" i="4" s="1"/>
  <c r="BP102" i="4"/>
  <c r="BP120" i="4" s="1"/>
  <c r="BP121" i="4" s="1"/>
  <c r="BP110" i="4"/>
  <c r="BP127" i="4" s="1"/>
  <c r="BP128" i="4" s="1"/>
  <c r="BP47" i="4"/>
  <c r="BP138" i="4" s="1"/>
  <c r="BP139" i="4" s="1"/>
  <c r="BP49" i="4"/>
  <c r="BQ62" i="4" s="1"/>
  <c r="BP100" i="4"/>
  <c r="BP116" i="4" s="1"/>
  <c r="BP117" i="4" s="1"/>
  <c r="BR90" i="4"/>
  <c r="K147" i="15" l="1"/>
  <c r="M147" i="15"/>
  <c r="N147" i="15" s="1"/>
  <c r="BQ63" i="4"/>
  <c r="BQ78" i="4"/>
  <c r="BQ65" i="4"/>
  <c r="BQ76" i="4"/>
  <c r="BQ79" i="4"/>
  <c r="BQ61" i="4"/>
  <c r="BQ75" i="4"/>
  <c r="BQ77" i="4"/>
  <c r="BQ60" i="4"/>
  <c r="BQ74" i="4"/>
  <c r="BQ64" i="4"/>
  <c r="BQ88" i="4"/>
  <c r="BP140" i="4"/>
  <c r="BP141" i="4" s="1"/>
  <c r="BQ90" i="4"/>
  <c r="BN25" i="4"/>
  <c r="BO51" i="4"/>
  <c r="BP78" i="4" s="1"/>
  <c r="BO110" i="4"/>
  <c r="BO127" i="4" s="1"/>
  <c r="BO128" i="4" s="1"/>
  <c r="BO108" i="4"/>
  <c r="BO123" i="4" s="1"/>
  <c r="BO124" i="4" s="1"/>
  <c r="BO28" i="4"/>
  <c r="BO30" i="4" s="1"/>
  <c r="BO29" i="4" s="1"/>
  <c r="BO109" i="4"/>
  <c r="BO125" i="4" s="1"/>
  <c r="BO126" i="4" s="1"/>
  <c r="BO50" i="4"/>
  <c r="BO142" i="4" s="1"/>
  <c r="BO143" i="4" s="1"/>
  <c r="BO52" i="4"/>
  <c r="BP79" i="4" s="1"/>
  <c r="BO99" i="4"/>
  <c r="BO114" i="4" s="1"/>
  <c r="BO115" i="4" s="1"/>
  <c r="BO47" i="4"/>
  <c r="BO138" i="4" s="1"/>
  <c r="BO139" i="4" s="1"/>
  <c r="BO111" i="4"/>
  <c r="BO129" i="4" s="1"/>
  <c r="BO130" i="4" s="1"/>
  <c r="BO102" i="4"/>
  <c r="BO120" i="4" s="1"/>
  <c r="BO121" i="4" s="1"/>
  <c r="BO49" i="4"/>
  <c r="BO140" i="4" s="1"/>
  <c r="BO141" i="4" s="1"/>
  <c r="BO48" i="4"/>
  <c r="BP61" i="4" s="1"/>
  <c r="BO100" i="4"/>
  <c r="BO116" i="4" s="1"/>
  <c r="BO117" i="4" s="1"/>
  <c r="BO101" i="4"/>
  <c r="BO118" i="4" s="1"/>
  <c r="BO119" i="4" s="1"/>
  <c r="BQ91" i="4"/>
  <c r="J148" i="15" l="1"/>
  <c r="L148" i="15" s="1"/>
  <c r="I148" i="15"/>
  <c r="BP93" i="4"/>
  <c r="BP76" i="4"/>
  <c r="BP75" i="4"/>
  <c r="BP89" i="4"/>
  <c r="BP63" i="4"/>
  <c r="BP62" i="4"/>
  <c r="BM25" i="4"/>
  <c r="BN108" i="4"/>
  <c r="BN123" i="4" s="1"/>
  <c r="BN124" i="4" s="1"/>
  <c r="BN49" i="4"/>
  <c r="BN140" i="4" s="1"/>
  <c r="BN141" i="4" s="1"/>
  <c r="BN99" i="4"/>
  <c r="BN114" i="4" s="1"/>
  <c r="BN115" i="4" s="1"/>
  <c r="BN101" i="4"/>
  <c r="BN118" i="4" s="1"/>
  <c r="BN119" i="4" s="1"/>
  <c r="BN28" i="4"/>
  <c r="BN30" i="4" s="1"/>
  <c r="BN29" i="4" s="1"/>
  <c r="BN100" i="4"/>
  <c r="BN116" i="4" s="1"/>
  <c r="BN117" i="4" s="1"/>
  <c r="BN47" i="4"/>
  <c r="BN138" i="4" s="1"/>
  <c r="BN139" i="4" s="1"/>
  <c r="BN50" i="4"/>
  <c r="BN142" i="4" s="1"/>
  <c r="BN143" i="4" s="1"/>
  <c r="BN52" i="4"/>
  <c r="BO93" i="4" s="1"/>
  <c r="BN111" i="4"/>
  <c r="BN129" i="4" s="1"/>
  <c r="BN130" i="4" s="1"/>
  <c r="BN102" i="4"/>
  <c r="BN120" i="4" s="1"/>
  <c r="BN121" i="4" s="1"/>
  <c r="BN109" i="4"/>
  <c r="BN125" i="4" s="1"/>
  <c r="BN126" i="4" s="1"/>
  <c r="BN110" i="4"/>
  <c r="BN127" i="4" s="1"/>
  <c r="BN128" i="4" s="1"/>
  <c r="BN48" i="4"/>
  <c r="BO75" i="4" s="1"/>
  <c r="BN51" i="4"/>
  <c r="BO92" i="4" s="1"/>
  <c r="BP64" i="4"/>
  <c r="BP74" i="4"/>
  <c r="BP92" i="4"/>
  <c r="BP60" i="4"/>
  <c r="BP65" i="4"/>
  <c r="BP91" i="4"/>
  <c r="BP90" i="4"/>
  <c r="BP77" i="4"/>
  <c r="BP88" i="4"/>
  <c r="K148" i="15" l="1"/>
  <c r="M148" i="15"/>
  <c r="N148" i="15" s="1"/>
  <c r="BO61" i="4"/>
  <c r="BO76" i="4"/>
  <c r="BO78" i="4"/>
  <c r="BO62" i="4"/>
  <c r="BO79" i="4"/>
  <c r="BO60" i="4"/>
  <c r="BO64" i="4"/>
  <c r="BO65" i="4"/>
  <c r="BO90" i="4"/>
  <c r="BO77" i="4"/>
  <c r="BO63" i="4"/>
  <c r="BL25" i="4"/>
  <c r="BM50" i="4"/>
  <c r="BN77" i="4" s="1"/>
  <c r="BM110" i="4"/>
  <c r="BM127" i="4" s="1"/>
  <c r="BM128" i="4" s="1"/>
  <c r="BM47" i="4"/>
  <c r="BN74" i="4" s="1"/>
  <c r="BM111" i="4"/>
  <c r="BM129" i="4" s="1"/>
  <c r="BM130" i="4" s="1"/>
  <c r="BM99" i="4"/>
  <c r="BM114" i="4" s="1"/>
  <c r="BM115" i="4" s="1"/>
  <c r="BM108" i="4"/>
  <c r="BM123" i="4" s="1"/>
  <c r="BM124" i="4" s="1"/>
  <c r="BM48" i="4"/>
  <c r="BN89" i="4" s="1"/>
  <c r="BM109" i="4"/>
  <c r="BM125" i="4" s="1"/>
  <c r="BM126" i="4" s="1"/>
  <c r="BM49" i="4"/>
  <c r="BM140" i="4" s="1"/>
  <c r="BM141" i="4" s="1"/>
  <c r="BM101" i="4"/>
  <c r="BM118" i="4" s="1"/>
  <c r="BM119" i="4" s="1"/>
  <c r="BM51" i="4"/>
  <c r="BN64" i="4" s="1"/>
  <c r="BM102" i="4"/>
  <c r="BM120" i="4" s="1"/>
  <c r="BM121" i="4" s="1"/>
  <c r="BM52" i="4"/>
  <c r="BN79" i="4" s="1"/>
  <c r="BM28" i="4"/>
  <c r="BM30" i="4" s="1"/>
  <c r="BM100" i="4"/>
  <c r="BM116" i="4" s="1"/>
  <c r="BM117" i="4" s="1"/>
  <c r="BO89" i="4"/>
  <c r="BO91" i="4"/>
  <c r="BO88" i="4"/>
  <c r="BO74" i="4"/>
  <c r="J149" i="15" l="1"/>
  <c r="L149" i="15" s="1"/>
  <c r="I149" i="15"/>
  <c r="BN65" i="4"/>
  <c r="BN63" i="4"/>
  <c r="BN62" i="4"/>
  <c r="BN60" i="4"/>
  <c r="BN92" i="4"/>
  <c r="BN76" i="4"/>
  <c r="BM29" i="4"/>
  <c r="BM138" i="4"/>
  <c r="BM139" i="4" s="1"/>
  <c r="BN88" i="4"/>
  <c r="BN93" i="4"/>
  <c r="BN78" i="4"/>
  <c r="BN61" i="4"/>
  <c r="BN90" i="4"/>
  <c r="BM142" i="4"/>
  <c r="BM143" i="4" s="1"/>
  <c r="BN91" i="4"/>
  <c r="BN75" i="4"/>
  <c r="BK25" i="4"/>
  <c r="BL109" i="4"/>
  <c r="BL125" i="4" s="1"/>
  <c r="BL126" i="4" s="1"/>
  <c r="BL47" i="4"/>
  <c r="BL138" i="4" s="1"/>
  <c r="BL139" i="4" s="1"/>
  <c r="BL100" i="4"/>
  <c r="BL116" i="4" s="1"/>
  <c r="BL117" i="4" s="1"/>
  <c r="BL50" i="4"/>
  <c r="BL142" i="4" s="1"/>
  <c r="BL143" i="4" s="1"/>
  <c r="BL52" i="4"/>
  <c r="BL110" i="4"/>
  <c r="BL127" i="4" s="1"/>
  <c r="BL128" i="4" s="1"/>
  <c r="BL102" i="4"/>
  <c r="BL120" i="4" s="1"/>
  <c r="BL121" i="4" s="1"/>
  <c r="BL48" i="4"/>
  <c r="BL101" i="4"/>
  <c r="BL118" i="4" s="1"/>
  <c r="BL119" i="4" s="1"/>
  <c r="BL28" i="4"/>
  <c r="BL30" i="4" s="1"/>
  <c r="BL29" i="4" s="1"/>
  <c r="BL111" i="4"/>
  <c r="BL129" i="4" s="1"/>
  <c r="BL130" i="4" s="1"/>
  <c r="BL108" i="4"/>
  <c r="BL123" i="4" s="1"/>
  <c r="BL124" i="4" s="1"/>
  <c r="BL51" i="4"/>
  <c r="BL49" i="4"/>
  <c r="BL140" i="4" s="1"/>
  <c r="BL141" i="4" s="1"/>
  <c r="BL99" i="4"/>
  <c r="BL114" i="4" s="1"/>
  <c r="BL115" i="4" s="1"/>
  <c r="K149" i="15" l="1"/>
  <c r="M149" i="15"/>
  <c r="N149" i="15" s="1"/>
  <c r="BJ25" i="4"/>
  <c r="BK108" i="4"/>
  <c r="BK123" i="4" s="1"/>
  <c r="BK124" i="4" s="1"/>
  <c r="BK110" i="4"/>
  <c r="BK127" i="4" s="1"/>
  <c r="BK128" i="4" s="1"/>
  <c r="BK99" i="4"/>
  <c r="BK114" i="4" s="1"/>
  <c r="BK115" i="4" s="1"/>
  <c r="BK102" i="4"/>
  <c r="BK120" i="4" s="1"/>
  <c r="BK121" i="4" s="1"/>
  <c r="BK101" i="4"/>
  <c r="BK118" i="4" s="1"/>
  <c r="BK119" i="4" s="1"/>
  <c r="BK100" i="4"/>
  <c r="BK116" i="4" s="1"/>
  <c r="BK117" i="4" s="1"/>
  <c r="BK48" i="4"/>
  <c r="BL75" i="4" s="1"/>
  <c r="BK50" i="4"/>
  <c r="BK142" i="4" s="1"/>
  <c r="BK143" i="4" s="1"/>
  <c r="BK47" i="4"/>
  <c r="BK138" i="4" s="1"/>
  <c r="BK139" i="4" s="1"/>
  <c r="BK52" i="4"/>
  <c r="BL65" i="4" s="1"/>
  <c r="BK28" i="4"/>
  <c r="BK30" i="4" s="1"/>
  <c r="BK29" i="4" s="1"/>
  <c r="BK109" i="4"/>
  <c r="BK125" i="4" s="1"/>
  <c r="BK126" i="4" s="1"/>
  <c r="BK51" i="4"/>
  <c r="BL92" i="4" s="1"/>
  <c r="BK111" i="4"/>
  <c r="BK129" i="4" s="1"/>
  <c r="BK130" i="4" s="1"/>
  <c r="BK49" i="4"/>
  <c r="BK140" i="4" s="1"/>
  <c r="BK141" i="4" s="1"/>
  <c r="BM74" i="4"/>
  <c r="BM65" i="4"/>
  <c r="BM88" i="4"/>
  <c r="BM78" i="4"/>
  <c r="BM64" i="4"/>
  <c r="BM93" i="4"/>
  <c r="BM79" i="4"/>
  <c r="BM77" i="4"/>
  <c r="BM62" i="4"/>
  <c r="BM90" i="4"/>
  <c r="BM63" i="4"/>
  <c r="BM91" i="4"/>
  <c r="BM75" i="4"/>
  <c r="BM92" i="4"/>
  <c r="BM61" i="4"/>
  <c r="BM60" i="4"/>
  <c r="BM89" i="4"/>
  <c r="BM76" i="4"/>
  <c r="J150" i="15" l="1"/>
  <c r="L150" i="15" s="1"/>
  <c r="I150" i="15"/>
  <c r="BL64" i="4"/>
  <c r="BL63" i="4"/>
  <c r="BL89" i="4"/>
  <c r="BL62" i="4"/>
  <c r="BL93" i="4"/>
  <c r="BL60" i="4"/>
  <c r="BL78" i="4"/>
  <c r="BL91" i="4"/>
  <c r="BL88" i="4"/>
  <c r="BL61" i="4"/>
  <c r="BL74" i="4"/>
  <c r="BL77" i="4"/>
  <c r="BL90" i="4"/>
  <c r="BL79" i="4"/>
  <c r="BI25" i="4"/>
  <c r="BJ52" i="4"/>
  <c r="BK65" i="4" s="1"/>
  <c r="BJ111" i="4"/>
  <c r="BJ129" i="4" s="1"/>
  <c r="BJ130" i="4" s="1"/>
  <c r="BJ109" i="4"/>
  <c r="BJ125" i="4" s="1"/>
  <c r="BJ126" i="4" s="1"/>
  <c r="BJ48" i="4"/>
  <c r="BK61" i="4" s="1"/>
  <c r="BJ50" i="4"/>
  <c r="BJ142" i="4" s="1"/>
  <c r="BJ143" i="4" s="1"/>
  <c r="BJ110" i="4"/>
  <c r="BJ127" i="4" s="1"/>
  <c r="BJ128" i="4" s="1"/>
  <c r="BJ108" i="4"/>
  <c r="BJ123" i="4" s="1"/>
  <c r="BJ124" i="4" s="1"/>
  <c r="BJ49" i="4"/>
  <c r="BJ140" i="4" s="1"/>
  <c r="BJ141" i="4" s="1"/>
  <c r="BJ101" i="4"/>
  <c r="BJ118" i="4" s="1"/>
  <c r="BJ119" i="4" s="1"/>
  <c r="BJ47" i="4"/>
  <c r="BJ138" i="4" s="1"/>
  <c r="BJ139" i="4" s="1"/>
  <c r="BJ99" i="4"/>
  <c r="BJ114" i="4" s="1"/>
  <c r="BJ115" i="4" s="1"/>
  <c r="BJ51" i="4"/>
  <c r="BK92" i="4" s="1"/>
  <c r="BJ100" i="4"/>
  <c r="BJ116" i="4" s="1"/>
  <c r="BJ117" i="4" s="1"/>
  <c r="BJ28" i="4"/>
  <c r="BJ30" i="4" s="1"/>
  <c r="BJ29" i="4" s="1"/>
  <c r="BJ102" i="4"/>
  <c r="BJ120" i="4" s="1"/>
  <c r="BJ121" i="4" s="1"/>
  <c r="BL76" i="4"/>
  <c r="M150" i="15" l="1"/>
  <c r="N150" i="15" s="1"/>
  <c r="K150" i="15"/>
  <c r="BK76" i="4"/>
  <c r="BK89" i="4"/>
  <c r="BK75" i="4"/>
  <c r="BK77" i="4"/>
  <c r="BK64" i="4"/>
  <c r="BK74" i="4"/>
  <c r="BH25" i="4"/>
  <c r="BI111" i="4"/>
  <c r="BI129" i="4" s="1"/>
  <c r="BI130" i="4" s="1"/>
  <c r="BI52" i="4"/>
  <c r="BJ93" i="4" s="1"/>
  <c r="BI50" i="4"/>
  <c r="BI142" i="4" s="1"/>
  <c r="BI143" i="4" s="1"/>
  <c r="BI49" i="4"/>
  <c r="BI47" i="4"/>
  <c r="BI28" i="4"/>
  <c r="BI30" i="4" s="1"/>
  <c r="BI29" i="4" s="1"/>
  <c r="BI108" i="4"/>
  <c r="BI123" i="4" s="1"/>
  <c r="BI124" i="4" s="1"/>
  <c r="BI102" i="4"/>
  <c r="BI120" i="4" s="1"/>
  <c r="BI121" i="4" s="1"/>
  <c r="BI109" i="4"/>
  <c r="BI125" i="4" s="1"/>
  <c r="BI126" i="4" s="1"/>
  <c r="BI110" i="4"/>
  <c r="BI127" i="4" s="1"/>
  <c r="BI128" i="4" s="1"/>
  <c r="BI51" i="4"/>
  <c r="BJ64" i="4" s="1"/>
  <c r="BI100" i="4"/>
  <c r="BI116" i="4" s="1"/>
  <c r="BI117" i="4" s="1"/>
  <c r="BI101" i="4"/>
  <c r="BI118" i="4" s="1"/>
  <c r="BI119" i="4" s="1"/>
  <c r="BI48" i="4"/>
  <c r="BJ61" i="4" s="1"/>
  <c r="BI99" i="4"/>
  <c r="BI114" i="4" s="1"/>
  <c r="BI115" i="4" s="1"/>
  <c r="BK78" i="4"/>
  <c r="BK62" i="4"/>
  <c r="BK79" i="4"/>
  <c r="BK93" i="4"/>
  <c r="BK60" i="4"/>
  <c r="BK90" i="4"/>
  <c r="BK91" i="4"/>
  <c r="BK63" i="4"/>
  <c r="BK88" i="4"/>
  <c r="J151" i="15" l="1"/>
  <c r="L151" i="15" s="1"/>
  <c r="I151" i="15"/>
  <c r="BJ63" i="4"/>
  <c r="BJ78" i="4"/>
  <c r="BI138" i="4"/>
  <c r="BI139" i="4" s="1"/>
  <c r="BJ60" i="4"/>
  <c r="BI140" i="4"/>
  <c r="BI141" i="4" s="1"/>
  <c r="BJ62" i="4"/>
  <c r="BJ76" i="4"/>
  <c r="BJ90" i="4"/>
  <c r="BJ92" i="4"/>
  <c r="BJ74" i="4"/>
  <c r="BG25" i="4"/>
  <c r="BH111" i="4"/>
  <c r="BH129" i="4" s="1"/>
  <c r="BH130" i="4" s="1"/>
  <c r="BH101" i="4"/>
  <c r="BH118" i="4" s="1"/>
  <c r="BH119" i="4" s="1"/>
  <c r="BH52" i="4"/>
  <c r="BI65" i="4" s="1"/>
  <c r="BH110" i="4"/>
  <c r="BH127" i="4" s="1"/>
  <c r="BH128" i="4" s="1"/>
  <c r="BH47" i="4"/>
  <c r="BH138" i="4" s="1"/>
  <c r="BH139" i="4" s="1"/>
  <c r="BH28" i="4"/>
  <c r="BH30" i="4" s="1"/>
  <c r="BH29" i="4" s="1"/>
  <c r="BH108" i="4"/>
  <c r="BH123" i="4" s="1"/>
  <c r="BH124" i="4" s="1"/>
  <c r="BH99" i="4"/>
  <c r="BH114" i="4" s="1"/>
  <c r="BH115" i="4" s="1"/>
  <c r="BH51" i="4"/>
  <c r="BI64" i="4" s="1"/>
  <c r="BH109" i="4"/>
  <c r="BH125" i="4" s="1"/>
  <c r="BH126" i="4" s="1"/>
  <c r="BH50" i="4"/>
  <c r="BI91" i="4" s="1"/>
  <c r="BH100" i="4"/>
  <c r="BH116" i="4" s="1"/>
  <c r="BH117" i="4" s="1"/>
  <c r="BH49" i="4"/>
  <c r="BI90" i="4" s="1"/>
  <c r="BH102" i="4"/>
  <c r="BH120" i="4" s="1"/>
  <c r="BH121" i="4" s="1"/>
  <c r="BH48" i="4"/>
  <c r="BI61" i="4" s="1"/>
  <c r="BJ77" i="4"/>
  <c r="BJ79" i="4"/>
  <c r="BJ88" i="4"/>
  <c r="BJ91" i="4"/>
  <c r="BJ65" i="4"/>
  <c r="BJ75" i="4"/>
  <c r="BJ89" i="4"/>
  <c r="M151" i="15" l="1"/>
  <c r="N151" i="15" s="1"/>
  <c r="K151" i="15"/>
  <c r="BI92" i="4"/>
  <c r="BI78" i="4"/>
  <c r="BI89" i="4"/>
  <c r="BI75" i="4"/>
  <c r="BF25" i="4"/>
  <c r="BG99" i="4"/>
  <c r="BG114" i="4" s="1"/>
  <c r="BG115" i="4" s="1"/>
  <c r="BG28" i="4"/>
  <c r="BG30" i="4" s="1"/>
  <c r="BG29" i="4" s="1"/>
  <c r="BG51" i="4"/>
  <c r="BH78" i="4" s="1"/>
  <c r="BG110" i="4"/>
  <c r="BG127" i="4" s="1"/>
  <c r="BG128" i="4" s="1"/>
  <c r="BG101" i="4"/>
  <c r="BG118" i="4" s="1"/>
  <c r="BG119" i="4" s="1"/>
  <c r="BG100" i="4"/>
  <c r="BG116" i="4" s="1"/>
  <c r="BG117" i="4" s="1"/>
  <c r="BG109" i="4"/>
  <c r="BG125" i="4" s="1"/>
  <c r="BG126" i="4" s="1"/>
  <c r="BG52" i="4"/>
  <c r="BH79" i="4" s="1"/>
  <c r="BG102" i="4"/>
  <c r="BG120" i="4" s="1"/>
  <c r="BG121" i="4" s="1"/>
  <c r="BG111" i="4"/>
  <c r="BG129" i="4" s="1"/>
  <c r="BG130" i="4" s="1"/>
  <c r="BG47" i="4"/>
  <c r="BG138" i="4" s="1"/>
  <c r="BG139" i="4" s="1"/>
  <c r="BG48" i="4"/>
  <c r="BH89" i="4" s="1"/>
  <c r="BG108" i="4"/>
  <c r="BG123" i="4" s="1"/>
  <c r="BG124" i="4" s="1"/>
  <c r="BG50" i="4"/>
  <c r="BG142" i="4" s="1"/>
  <c r="BG143" i="4" s="1"/>
  <c r="BG49" i="4"/>
  <c r="BG140" i="4" s="1"/>
  <c r="BG141" i="4" s="1"/>
  <c r="BH142" i="4"/>
  <c r="BH143" i="4" s="1"/>
  <c r="BI63" i="4"/>
  <c r="BH140" i="4"/>
  <c r="BH141" i="4" s="1"/>
  <c r="BI62" i="4"/>
  <c r="BI76" i="4"/>
  <c r="BI88" i="4"/>
  <c r="BI60" i="4"/>
  <c r="BI93" i="4"/>
  <c r="BI74" i="4"/>
  <c r="BI79" i="4"/>
  <c r="BI77" i="4"/>
  <c r="J152" i="15" l="1"/>
  <c r="L152" i="15" s="1"/>
  <c r="I152" i="15"/>
  <c r="BH64" i="4"/>
  <c r="BH65" i="4"/>
  <c r="BH60" i="4"/>
  <c r="BH61" i="4"/>
  <c r="BH91" i="4"/>
  <c r="BH63" i="4"/>
  <c r="BH75" i="4"/>
  <c r="BH90" i="4"/>
  <c r="BH92" i="4"/>
  <c r="BH93" i="4"/>
  <c r="BH76" i="4"/>
  <c r="BE25" i="4"/>
  <c r="BF99" i="4"/>
  <c r="BF114" i="4" s="1"/>
  <c r="BF115" i="4" s="1"/>
  <c r="BF51" i="4"/>
  <c r="BG64" i="4" s="1"/>
  <c r="BF111" i="4"/>
  <c r="BF129" i="4" s="1"/>
  <c r="BF130" i="4" s="1"/>
  <c r="BF50" i="4"/>
  <c r="BF142" i="4" s="1"/>
  <c r="BF143" i="4" s="1"/>
  <c r="BF52" i="4"/>
  <c r="BG79" i="4" s="1"/>
  <c r="BF100" i="4"/>
  <c r="BF116" i="4" s="1"/>
  <c r="BF117" i="4" s="1"/>
  <c r="BF109" i="4"/>
  <c r="BF125" i="4" s="1"/>
  <c r="BF126" i="4" s="1"/>
  <c r="BF110" i="4"/>
  <c r="BF127" i="4" s="1"/>
  <c r="BF128" i="4" s="1"/>
  <c r="BF101" i="4"/>
  <c r="BF118" i="4" s="1"/>
  <c r="BF119" i="4" s="1"/>
  <c r="BF47" i="4"/>
  <c r="BF138" i="4" s="1"/>
  <c r="BF139" i="4" s="1"/>
  <c r="BF49" i="4"/>
  <c r="BF140" i="4" s="1"/>
  <c r="BF141" i="4" s="1"/>
  <c r="BF102" i="4"/>
  <c r="BF120" i="4" s="1"/>
  <c r="BF121" i="4" s="1"/>
  <c r="BF48" i="4"/>
  <c r="BG61" i="4" s="1"/>
  <c r="BF108" i="4"/>
  <c r="BF123" i="4" s="1"/>
  <c r="BF124" i="4" s="1"/>
  <c r="BF28" i="4"/>
  <c r="BF30" i="4" s="1"/>
  <c r="BH74" i="4"/>
  <c r="BH77" i="4"/>
  <c r="BH88" i="4"/>
  <c r="BH62" i="4"/>
  <c r="M152" i="15" l="1"/>
  <c r="N152" i="15" s="1"/>
  <c r="K152" i="15"/>
  <c r="BG92" i="4"/>
  <c r="BG77" i="4"/>
  <c r="BG90" i="4"/>
  <c r="BG60" i="4"/>
  <c r="BG91" i="4"/>
  <c r="BG93" i="4"/>
  <c r="BD25" i="4"/>
  <c r="BE101" i="4"/>
  <c r="BE118" i="4" s="1"/>
  <c r="BE119" i="4" s="1"/>
  <c r="BE100" i="4"/>
  <c r="BE116" i="4" s="1"/>
  <c r="BE117" i="4" s="1"/>
  <c r="BE47" i="4"/>
  <c r="BE138" i="4" s="1"/>
  <c r="BE139" i="4" s="1"/>
  <c r="BE51" i="4"/>
  <c r="BE111" i="4"/>
  <c r="BE129" i="4" s="1"/>
  <c r="BE130" i="4" s="1"/>
  <c r="BE49" i="4"/>
  <c r="BE140" i="4" s="1"/>
  <c r="BE141" i="4" s="1"/>
  <c r="BE109" i="4"/>
  <c r="BE125" i="4" s="1"/>
  <c r="BE126" i="4" s="1"/>
  <c r="BE50" i="4"/>
  <c r="BE142" i="4" s="1"/>
  <c r="BE143" i="4" s="1"/>
  <c r="BE108" i="4"/>
  <c r="BE123" i="4" s="1"/>
  <c r="BE124" i="4" s="1"/>
  <c r="BE99" i="4"/>
  <c r="BE114" i="4" s="1"/>
  <c r="BE115" i="4" s="1"/>
  <c r="BE28" i="4"/>
  <c r="BE30" i="4" s="1"/>
  <c r="BE29" i="4" s="1"/>
  <c r="BE110" i="4"/>
  <c r="BE127" i="4" s="1"/>
  <c r="BE128" i="4" s="1"/>
  <c r="BE48" i="4"/>
  <c r="BE102" i="4"/>
  <c r="BE120" i="4" s="1"/>
  <c r="BE121" i="4" s="1"/>
  <c r="BE52" i="4"/>
  <c r="BF29" i="4"/>
  <c r="BG78" i="4"/>
  <c r="BG74" i="4"/>
  <c r="BG88" i="4"/>
  <c r="BG75" i="4"/>
  <c r="BG65" i="4"/>
  <c r="BG89" i="4"/>
  <c r="BG76" i="4"/>
  <c r="BG62" i="4"/>
  <c r="BG63" i="4"/>
  <c r="J153" i="15" l="1"/>
  <c r="L153" i="15" s="1"/>
  <c r="I153" i="15"/>
  <c r="BC25" i="4"/>
  <c r="BD51" i="4"/>
  <c r="BE78" i="4" s="1"/>
  <c r="BD100" i="4"/>
  <c r="BD116" i="4" s="1"/>
  <c r="BD117" i="4" s="1"/>
  <c r="BD50" i="4"/>
  <c r="BD142" i="4" s="1"/>
  <c r="BD143" i="4" s="1"/>
  <c r="BD49" i="4"/>
  <c r="BD140" i="4" s="1"/>
  <c r="BD141" i="4" s="1"/>
  <c r="BD48" i="4"/>
  <c r="BE89" i="4" s="1"/>
  <c r="BD101" i="4"/>
  <c r="BD118" i="4" s="1"/>
  <c r="BD119" i="4" s="1"/>
  <c r="BD108" i="4"/>
  <c r="BD123" i="4" s="1"/>
  <c r="BD124" i="4" s="1"/>
  <c r="BD28" i="4"/>
  <c r="BD30" i="4" s="1"/>
  <c r="BD29" i="4" s="1"/>
  <c r="BD47" i="4"/>
  <c r="BD138" i="4" s="1"/>
  <c r="BD139" i="4" s="1"/>
  <c r="BD110" i="4"/>
  <c r="BD127" i="4" s="1"/>
  <c r="BD128" i="4" s="1"/>
  <c r="BD109" i="4"/>
  <c r="BD125" i="4" s="1"/>
  <c r="BD126" i="4" s="1"/>
  <c r="BD99" i="4"/>
  <c r="BD114" i="4" s="1"/>
  <c r="BD115" i="4" s="1"/>
  <c r="BD102" i="4"/>
  <c r="BD120" i="4" s="1"/>
  <c r="BD121" i="4" s="1"/>
  <c r="BD111" i="4"/>
  <c r="BD129" i="4" s="1"/>
  <c r="BD130" i="4" s="1"/>
  <c r="BD52" i="4"/>
  <c r="BE79" i="4" s="1"/>
  <c r="BF92" i="4"/>
  <c r="BF62" i="4"/>
  <c r="BF65" i="4"/>
  <c r="BF60" i="4"/>
  <c r="BF91" i="4"/>
  <c r="BF78" i="4"/>
  <c r="BF63" i="4"/>
  <c r="BF93" i="4"/>
  <c r="BF64" i="4"/>
  <c r="BF61" i="4"/>
  <c r="BF90" i="4"/>
  <c r="BF89" i="4"/>
  <c r="BF75" i="4"/>
  <c r="BF76" i="4"/>
  <c r="BF88" i="4"/>
  <c r="BF74" i="4"/>
  <c r="BF79" i="4"/>
  <c r="BF77" i="4"/>
  <c r="K153" i="15" l="1"/>
  <c r="M153" i="15"/>
  <c r="N153" i="15" s="1"/>
  <c r="BE92" i="4"/>
  <c r="BE64" i="4"/>
  <c r="BE88" i="4"/>
  <c r="BE60" i="4"/>
  <c r="BE93" i="4"/>
  <c r="BE65" i="4"/>
  <c r="BE76" i="4"/>
  <c r="BE90" i="4"/>
  <c r="BE75" i="4"/>
  <c r="BE61" i="4"/>
  <c r="BE91" i="4"/>
  <c r="BB25" i="4"/>
  <c r="BC110" i="4"/>
  <c r="BC127" i="4" s="1"/>
  <c r="BC128" i="4" s="1"/>
  <c r="BC111" i="4"/>
  <c r="BC129" i="4" s="1"/>
  <c r="BC130" i="4" s="1"/>
  <c r="BC100" i="4"/>
  <c r="BC116" i="4" s="1"/>
  <c r="BC117" i="4" s="1"/>
  <c r="BC52" i="4"/>
  <c r="BD79" i="4" s="1"/>
  <c r="BC108" i="4"/>
  <c r="BC123" i="4" s="1"/>
  <c r="BC124" i="4" s="1"/>
  <c r="BC51" i="4"/>
  <c r="BD78" i="4" s="1"/>
  <c r="BC49" i="4"/>
  <c r="BD62" i="4" s="1"/>
  <c r="BC50" i="4"/>
  <c r="BC142" i="4" s="1"/>
  <c r="BC143" i="4" s="1"/>
  <c r="BC28" i="4"/>
  <c r="BC30" i="4" s="1"/>
  <c r="BC29" i="4" s="1"/>
  <c r="BC101" i="4"/>
  <c r="BC118" i="4" s="1"/>
  <c r="BC119" i="4" s="1"/>
  <c r="BC99" i="4"/>
  <c r="BC114" i="4" s="1"/>
  <c r="BC115" i="4" s="1"/>
  <c r="BC47" i="4"/>
  <c r="BC109" i="4"/>
  <c r="BC125" i="4" s="1"/>
  <c r="BC126" i="4" s="1"/>
  <c r="BC48" i="4"/>
  <c r="BD89" i="4" s="1"/>
  <c r="BC102" i="4"/>
  <c r="BC120" i="4" s="1"/>
  <c r="BC121" i="4" s="1"/>
  <c r="BE63" i="4"/>
  <c r="BE77" i="4"/>
  <c r="BE74" i="4"/>
  <c r="BE62" i="4"/>
  <c r="J154" i="15" l="1"/>
  <c r="L154" i="15" s="1"/>
  <c r="I154" i="15"/>
  <c r="BD76" i="4"/>
  <c r="BD61" i="4"/>
  <c r="BD92" i="4"/>
  <c r="BD75" i="4"/>
  <c r="BD77" i="4"/>
  <c r="BC138" i="4"/>
  <c r="BC139" i="4" s="1"/>
  <c r="BD88" i="4"/>
  <c r="BD74" i="4"/>
  <c r="BD65" i="4"/>
  <c r="BD93" i="4"/>
  <c r="BD60" i="4"/>
  <c r="BD63" i="4"/>
  <c r="BA25" i="4"/>
  <c r="BB109" i="4"/>
  <c r="BB125" i="4" s="1"/>
  <c r="BB126" i="4" s="1"/>
  <c r="BB110" i="4"/>
  <c r="BB127" i="4" s="1"/>
  <c r="BB128" i="4" s="1"/>
  <c r="BB49" i="4"/>
  <c r="BC62" i="4" s="1"/>
  <c r="BB50" i="4"/>
  <c r="BB99" i="4"/>
  <c r="BB114" i="4" s="1"/>
  <c r="BB115" i="4" s="1"/>
  <c r="BB28" i="4"/>
  <c r="BB30" i="4" s="1"/>
  <c r="BB29" i="4" s="1"/>
  <c r="BB51" i="4"/>
  <c r="BC64" i="4" s="1"/>
  <c r="BB102" i="4"/>
  <c r="BB120" i="4" s="1"/>
  <c r="BB121" i="4" s="1"/>
  <c r="BB52" i="4"/>
  <c r="BC93" i="4" s="1"/>
  <c r="BB108" i="4"/>
  <c r="BB123" i="4" s="1"/>
  <c r="BB124" i="4" s="1"/>
  <c r="BB47" i="4"/>
  <c r="BB138" i="4" s="1"/>
  <c r="BB139" i="4" s="1"/>
  <c r="BB48" i="4"/>
  <c r="BC89" i="4" s="1"/>
  <c r="BB100" i="4"/>
  <c r="BB116" i="4" s="1"/>
  <c r="BB117" i="4" s="1"/>
  <c r="BB111" i="4"/>
  <c r="BB129" i="4" s="1"/>
  <c r="BB130" i="4" s="1"/>
  <c r="BB101" i="4"/>
  <c r="BB118" i="4" s="1"/>
  <c r="BB119" i="4" s="1"/>
  <c r="BC140" i="4"/>
  <c r="BC141" i="4" s="1"/>
  <c r="BD90" i="4"/>
  <c r="BD91" i="4"/>
  <c r="BD64" i="4"/>
  <c r="M154" i="15" l="1"/>
  <c r="N154" i="15" s="1"/>
  <c r="K154" i="15"/>
  <c r="BC78" i="4"/>
  <c r="BC92" i="4"/>
  <c r="BC79" i="4"/>
  <c r="BB142" i="4"/>
  <c r="BB143" i="4" s="1"/>
  <c r="BC63" i="4"/>
  <c r="BC91" i="4"/>
  <c r="BC61" i="4"/>
  <c r="BC75" i="4"/>
  <c r="BC74" i="4"/>
  <c r="BB140" i="4"/>
  <c r="BB141" i="4" s="1"/>
  <c r="BC76" i="4"/>
  <c r="AZ25" i="4"/>
  <c r="BA101" i="4"/>
  <c r="BA118" i="4" s="1"/>
  <c r="BA119" i="4" s="1"/>
  <c r="BA100" i="4"/>
  <c r="BA116" i="4" s="1"/>
  <c r="BA117" i="4" s="1"/>
  <c r="BA50" i="4"/>
  <c r="BA142" i="4" s="1"/>
  <c r="BA143" i="4" s="1"/>
  <c r="BA52" i="4"/>
  <c r="BB79" i="4" s="1"/>
  <c r="BA110" i="4"/>
  <c r="BA127" i="4" s="1"/>
  <c r="BA128" i="4" s="1"/>
  <c r="BA102" i="4"/>
  <c r="BA120" i="4" s="1"/>
  <c r="BA121" i="4" s="1"/>
  <c r="BA51" i="4"/>
  <c r="BB64" i="4" s="1"/>
  <c r="BA108" i="4"/>
  <c r="BA123" i="4" s="1"/>
  <c r="BA124" i="4" s="1"/>
  <c r="BA109" i="4"/>
  <c r="BA125" i="4" s="1"/>
  <c r="BA126" i="4" s="1"/>
  <c r="BA28" i="4"/>
  <c r="BA30" i="4" s="1"/>
  <c r="BA29" i="4" s="1"/>
  <c r="BA49" i="4"/>
  <c r="BA140" i="4" s="1"/>
  <c r="BA141" i="4" s="1"/>
  <c r="BA47" i="4"/>
  <c r="BA138" i="4" s="1"/>
  <c r="BA139" i="4" s="1"/>
  <c r="BA111" i="4"/>
  <c r="BA129" i="4" s="1"/>
  <c r="BA130" i="4" s="1"/>
  <c r="BA99" i="4"/>
  <c r="BA114" i="4" s="1"/>
  <c r="BA115" i="4" s="1"/>
  <c r="BA48" i="4"/>
  <c r="BB75" i="4" s="1"/>
  <c r="BC60" i="4"/>
  <c r="BC90" i="4"/>
  <c r="BC65" i="4"/>
  <c r="BC77" i="4"/>
  <c r="BC88" i="4"/>
  <c r="J155" i="15" l="1"/>
  <c r="L155" i="15" s="1"/>
  <c r="I155" i="15"/>
  <c r="BB89" i="4"/>
  <c r="BB88" i="4"/>
  <c r="BB90" i="4"/>
  <c r="BB61" i="4"/>
  <c r="BB78" i="4"/>
  <c r="BB92" i="4"/>
  <c r="BB65" i="4"/>
  <c r="BB60" i="4"/>
  <c r="BB93" i="4"/>
  <c r="BB62" i="4"/>
  <c r="BB76" i="4"/>
  <c r="BB91" i="4"/>
  <c r="AY25" i="4"/>
  <c r="AZ101" i="4"/>
  <c r="AZ118" i="4" s="1"/>
  <c r="AZ119" i="4" s="1"/>
  <c r="AZ102" i="4"/>
  <c r="AZ120" i="4" s="1"/>
  <c r="AZ121" i="4" s="1"/>
  <c r="AZ52" i="4"/>
  <c r="BA65" i="4" s="1"/>
  <c r="AZ110" i="4"/>
  <c r="AZ127" i="4" s="1"/>
  <c r="AZ128" i="4" s="1"/>
  <c r="AZ100" i="4"/>
  <c r="AZ116" i="4" s="1"/>
  <c r="AZ117" i="4" s="1"/>
  <c r="AZ99" i="4"/>
  <c r="AZ114" i="4" s="1"/>
  <c r="AZ115" i="4" s="1"/>
  <c r="AZ108" i="4"/>
  <c r="AZ123" i="4" s="1"/>
  <c r="AZ124" i="4" s="1"/>
  <c r="AZ48" i="4"/>
  <c r="BA75" i="4" s="1"/>
  <c r="AZ28" i="4"/>
  <c r="AZ30" i="4" s="1"/>
  <c r="AZ29" i="4" s="1"/>
  <c r="AZ49" i="4"/>
  <c r="AZ47" i="4"/>
  <c r="AZ138" i="4" s="1"/>
  <c r="AZ139" i="4" s="1"/>
  <c r="AZ111" i="4"/>
  <c r="AZ129" i="4" s="1"/>
  <c r="AZ130" i="4" s="1"/>
  <c r="AZ51" i="4"/>
  <c r="BA92" i="4" s="1"/>
  <c r="AZ109" i="4"/>
  <c r="AZ125" i="4" s="1"/>
  <c r="AZ126" i="4" s="1"/>
  <c r="AZ50" i="4"/>
  <c r="AZ142" i="4" s="1"/>
  <c r="AZ143" i="4" s="1"/>
  <c r="BB77" i="4"/>
  <c r="BB63" i="4"/>
  <c r="BB74" i="4"/>
  <c r="K155" i="15" l="1"/>
  <c r="M155" i="15"/>
  <c r="N155" i="15" s="1"/>
  <c r="BA74" i="4"/>
  <c r="BA93" i="4"/>
  <c r="BA79" i="4"/>
  <c r="BA78" i="4"/>
  <c r="BA90" i="4"/>
  <c r="BA91" i="4"/>
  <c r="BA64" i="4"/>
  <c r="AX25" i="4"/>
  <c r="AY99" i="4"/>
  <c r="AY114" i="4" s="1"/>
  <c r="AY115" i="4" s="1"/>
  <c r="AY28" i="4"/>
  <c r="AY30" i="4" s="1"/>
  <c r="AY29" i="4" s="1"/>
  <c r="AY108" i="4"/>
  <c r="AY123" i="4" s="1"/>
  <c r="AY124" i="4" s="1"/>
  <c r="AY47" i="4"/>
  <c r="AY100" i="4"/>
  <c r="AY116" i="4" s="1"/>
  <c r="AY117" i="4" s="1"/>
  <c r="AY52" i="4"/>
  <c r="AZ79" i="4" s="1"/>
  <c r="AY102" i="4"/>
  <c r="AY120" i="4" s="1"/>
  <c r="AY121" i="4" s="1"/>
  <c r="AY48" i="4"/>
  <c r="AZ61" i="4" s="1"/>
  <c r="AY109" i="4"/>
  <c r="AY125" i="4" s="1"/>
  <c r="AY126" i="4" s="1"/>
  <c r="AY101" i="4"/>
  <c r="AY118" i="4" s="1"/>
  <c r="AY119" i="4" s="1"/>
  <c r="AY111" i="4"/>
  <c r="AY129" i="4" s="1"/>
  <c r="AY130" i="4" s="1"/>
  <c r="AY50" i="4"/>
  <c r="AY142" i="4" s="1"/>
  <c r="AY143" i="4" s="1"/>
  <c r="AY49" i="4"/>
  <c r="AY140" i="4" s="1"/>
  <c r="AY141" i="4" s="1"/>
  <c r="AY51" i="4"/>
  <c r="AZ78" i="4" s="1"/>
  <c r="AY110" i="4"/>
  <c r="AY127" i="4" s="1"/>
  <c r="AY128" i="4" s="1"/>
  <c r="BA89" i="4"/>
  <c r="AZ140" i="4"/>
  <c r="AZ141" i="4" s="1"/>
  <c r="BA62" i="4"/>
  <c r="BA77" i="4"/>
  <c r="BA76" i="4"/>
  <c r="BA61" i="4"/>
  <c r="BA63" i="4"/>
  <c r="BA88" i="4"/>
  <c r="BA60" i="4"/>
  <c r="I156" i="15" l="1"/>
  <c r="J156" i="15"/>
  <c r="L156" i="15" s="1"/>
  <c r="AZ75" i="4"/>
  <c r="AZ76" i="4"/>
  <c r="AZ90" i="4"/>
  <c r="AZ63" i="4"/>
  <c r="AY138" i="4"/>
  <c r="AY139" i="4" s="1"/>
  <c r="AZ74" i="4"/>
  <c r="AZ60" i="4"/>
  <c r="AZ88" i="4"/>
  <c r="AW25" i="4"/>
  <c r="AX49" i="4"/>
  <c r="AX140" i="4" s="1"/>
  <c r="AX141" i="4" s="1"/>
  <c r="AX51" i="4"/>
  <c r="AY64" i="4" s="1"/>
  <c r="AX108" i="4"/>
  <c r="AX123" i="4" s="1"/>
  <c r="AX124" i="4" s="1"/>
  <c r="AX102" i="4"/>
  <c r="AX120" i="4" s="1"/>
  <c r="AX121" i="4" s="1"/>
  <c r="AX101" i="4"/>
  <c r="AX118" i="4" s="1"/>
  <c r="AX119" i="4" s="1"/>
  <c r="AX48" i="4"/>
  <c r="AY75" i="4" s="1"/>
  <c r="AX109" i="4"/>
  <c r="AX125" i="4" s="1"/>
  <c r="AX126" i="4" s="1"/>
  <c r="AX47" i="4"/>
  <c r="AX138" i="4" s="1"/>
  <c r="AX139" i="4" s="1"/>
  <c r="AX111" i="4"/>
  <c r="AX129" i="4" s="1"/>
  <c r="AX130" i="4" s="1"/>
  <c r="AX99" i="4"/>
  <c r="AX114" i="4" s="1"/>
  <c r="AX115" i="4" s="1"/>
  <c r="AX50" i="4"/>
  <c r="AX142" i="4" s="1"/>
  <c r="AX143" i="4" s="1"/>
  <c r="AX28" i="4"/>
  <c r="AX30" i="4" s="1"/>
  <c r="AX29" i="4" s="1"/>
  <c r="AX110" i="4"/>
  <c r="AX127" i="4" s="1"/>
  <c r="AX128" i="4" s="1"/>
  <c r="AX52" i="4"/>
  <c r="AY79" i="4" s="1"/>
  <c r="AX100" i="4"/>
  <c r="AX116" i="4" s="1"/>
  <c r="AX117" i="4" s="1"/>
  <c r="AZ91" i="4"/>
  <c r="AZ89" i="4"/>
  <c r="AZ92" i="4"/>
  <c r="AZ64" i="4"/>
  <c r="AZ93" i="4"/>
  <c r="AZ65" i="4"/>
  <c r="AZ62" i="4"/>
  <c r="AZ77" i="4"/>
  <c r="K156" i="15" l="1"/>
  <c r="M156" i="15"/>
  <c r="N156" i="15" s="1"/>
  <c r="AY90" i="4"/>
  <c r="AY78" i="4"/>
  <c r="AY63" i="4"/>
  <c r="AY60" i="4"/>
  <c r="AY77" i="4"/>
  <c r="AY91" i="4"/>
  <c r="AY89" i="4"/>
  <c r="AY65" i="4"/>
  <c r="AY92" i="4"/>
  <c r="AY74" i="4"/>
  <c r="AY62" i="4"/>
  <c r="AY93" i="4"/>
  <c r="AV25" i="4"/>
  <c r="AW100" i="4"/>
  <c r="AW116" i="4" s="1"/>
  <c r="AW117" i="4" s="1"/>
  <c r="AW99" i="4"/>
  <c r="AW114" i="4" s="1"/>
  <c r="AW115" i="4" s="1"/>
  <c r="AW50" i="4"/>
  <c r="AX77" i="4" s="1"/>
  <c r="AW111" i="4"/>
  <c r="AW129" i="4" s="1"/>
  <c r="AW130" i="4" s="1"/>
  <c r="AW109" i="4"/>
  <c r="AW125" i="4" s="1"/>
  <c r="AW126" i="4" s="1"/>
  <c r="AW110" i="4"/>
  <c r="AW127" i="4" s="1"/>
  <c r="AW128" i="4" s="1"/>
  <c r="AW48" i="4"/>
  <c r="AX75" i="4" s="1"/>
  <c r="AW101" i="4"/>
  <c r="AW118" i="4" s="1"/>
  <c r="AW119" i="4" s="1"/>
  <c r="AW52" i="4"/>
  <c r="AX79" i="4" s="1"/>
  <c r="AW47" i="4"/>
  <c r="AX74" i="4" s="1"/>
  <c r="AW28" i="4"/>
  <c r="AW30" i="4" s="1"/>
  <c r="AW29" i="4" s="1"/>
  <c r="AW51" i="4"/>
  <c r="AX92" i="4" s="1"/>
  <c r="AW102" i="4"/>
  <c r="AW120" i="4" s="1"/>
  <c r="AW121" i="4" s="1"/>
  <c r="AW108" i="4"/>
  <c r="AW123" i="4" s="1"/>
  <c r="AW124" i="4" s="1"/>
  <c r="AW49" i="4"/>
  <c r="AW140" i="4" s="1"/>
  <c r="AW141" i="4" s="1"/>
  <c r="AY61" i="4"/>
  <c r="AY76" i="4"/>
  <c r="AY88" i="4"/>
  <c r="J157" i="15" l="1"/>
  <c r="L157" i="15" s="1"/>
  <c r="I157" i="15"/>
  <c r="AX64" i="4"/>
  <c r="AX93" i="4"/>
  <c r="AX78" i="4"/>
  <c r="AX89" i="4"/>
  <c r="AW142" i="4"/>
  <c r="AW143" i="4" s="1"/>
  <c r="AX91" i="4"/>
  <c r="AX61" i="4"/>
  <c r="AW138" i="4"/>
  <c r="AW139" i="4" s="1"/>
  <c r="AX60" i="4"/>
  <c r="AX65" i="4"/>
  <c r="AX62" i="4"/>
  <c r="AU25" i="4"/>
  <c r="AV102" i="4"/>
  <c r="AV120" i="4" s="1"/>
  <c r="AV121" i="4" s="1"/>
  <c r="AV48" i="4"/>
  <c r="AW61" i="4" s="1"/>
  <c r="AV110" i="4"/>
  <c r="AV127" i="4" s="1"/>
  <c r="AV128" i="4" s="1"/>
  <c r="AV101" i="4"/>
  <c r="AV118" i="4" s="1"/>
  <c r="AV119" i="4" s="1"/>
  <c r="AV108" i="4"/>
  <c r="AV123" i="4" s="1"/>
  <c r="AV124" i="4" s="1"/>
  <c r="AV52" i="4"/>
  <c r="AW79" i="4" s="1"/>
  <c r="AV47" i="4"/>
  <c r="AV138" i="4" s="1"/>
  <c r="AV139" i="4" s="1"/>
  <c r="AV28" i="4"/>
  <c r="AV30" i="4" s="1"/>
  <c r="AV29" i="4" s="1"/>
  <c r="AV111" i="4"/>
  <c r="AV129" i="4" s="1"/>
  <c r="AV130" i="4" s="1"/>
  <c r="AV49" i="4"/>
  <c r="AV140" i="4" s="1"/>
  <c r="AV141" i="4" s="1"/>
  <c r="AV109" i="4"/>
  <c r="AV125" i="4" s="1"/>
  <c r="AV126" i="4" s="1"/>
  <c r="AV100" i="4"/>
  <c r="AV116" i="4" s="1"/>
  <c r="AV117" i="4" s="1"/>
  <c r="AV99" i="4"/>
  <c r="AV114" i="4" s="1"/>
  <c r="AV115" i="4" s="1"/>
  <c r="AV50" i="4"/>
  <c r="AV142" i="4" s="1"/>
  <c r="AV143" i="4" s="1"/>
  <c r="AV51" i="4"/>
  <c r="AW78" i="4" s="1"/>
  <c r="AX63" i="4"/>
  <c r="AX88" i="4"/>
  <c r="AX90" i="4"/>
  <c r="AX76" i="4"/>
  <c r="K157" i="15" l="1"/>
  <c r="M157" i="15"/>
  <c r="N157" i="15" s="1"/>
  <c r="AW74" i="4"/>
  <c r="AW77" i="4"/>
  <c r="AW75" i="4"/>
  <c r="AW92" i="4"/>
  <c r="AW64" i="4"/>
  <c r="AW93" i="4"/>
  <c r="AW65" i="4"/>
  <c r="AW91" i="4"/>
  <c r="AT25" i="4"/>
  <c r="AU48" i="4"/>
  <c r="AV61" i="4" s="1"/>
  <c r="AU51" i="4"/>
  <c r="AV92" i="4" s="1"/>
  <c r="AU99" i="4"/>
  <c r="AU114" i="4" s="1"/>
  <c r="AU115" i="4" s="1"/>
  <c r="AU110" i="4"/>
  <c r="AU127" i="4" s="1"/>
  <c r="AU128" i="4" s="1"/>
  <c r="AU101" i="4"/>
  <c r="AU118" i="4" s="1"/>
  <c r="AU119" i="4" s="1"/>
  <c r="AU28" i="4"/>
  <c r="AU30" i="4" s="1"/>
  <c r="AU108" i="4"/>
  <c r="AU123" i="4" s="1"/>
  <c r="AU124" i="4" s="1"/>
  <c r="AU49" i="4"/>
  <c r="AV76" i="4" s="1"/>
  <c r="AU50" i="4"/>
  <c r="AU142" i="4" s="1"/>
  <c r="AU143" i="4" s="1"/>
  <c r="AU102" i="4"/>
  <c r="AU120" i="4" s="1"/>
  <c r="AU121" i="4" s="1"/>
  <c r="AU52" i="4"/>
  <c r="AV79" i="4" s="1"/>
  <c r="AU47" i="4"/>
  <c r="AV74" i="4" s="1"/>
  <c r="AU111" i="4"/>
  <c r="AU129" i="4" s="1"/>
  <c r="AU130" i="4" s="1"/>
  <c r="AU100" i="4"/>
  <c r="AU116" i="4" s="1"/>
  <c r="AU117" i="4" s="1"/>
  <c r="AU109" i="4"/>
  <c r="AU125" i="4" s="1"/>
  <c r="AU126" i="4" s="1"/>
  <c r="AW62" i="4"/>
  <c r="AW90" i="4"/>
  <c r="AW88" i="4"/>
  <c r="AW60" i="4"/>
  <c r="AW89" i="4"/>
  <c r="AW63" i="4"/>
  <c r="AW76" i="4"/>
  <c r="I158" i="15" l="1"/>
  <c r="J158" i="15"/>
  <c r="L158" i="15" s="1"/>
  <c r="AV91" i="4"/>
  <c r="AV89" i="4"/>
  <c r="AV63" i="4"/>
  <c r="AV75" i="4"/>
  <c r="AV78" i="4"/>
  <c r="AU140" i="4"/>
  <c r="AU141" i="4" s="1"/>
  <c r="AV90" i="4"/>
  <c r="AS25" i="4"/>
  <c r="AT100" i="4"/>
  <c r="AT116" i="4" s="1"/>
  <c r="AT117" i="4" s="1"/>
  <c r="AT102" i="4"/>
  <c r="AT120" i="4" s="1"/>
  <c r="AT121" i="4" s="1"/>
  <c r="AT52" i="4"/>
  <c r="AT101" i="4"/>
  <c r="AT118" i="4" s="1"/>
  <c r="AT119" i="4" s="1"/>
  <c r="AT47" i="4"/>
  <c r="AT138" i="4" s="1"/>
  <c r="AT139" i="4" s="1"/>
  <c r="AT51" i="4"/>
  <c r="AT111" i="4"/>
  <c r="AT129" i="4" s="1"/>
  <c r="AT130" i="4" s="1"/>
  <c r="AT99" i="4"/>
  <c r="AT114" i="4" s="1"/>
  <c r="AT115" i="4" s="1"/>
  <c r="AT110" i="4"/>
  <c r="AT127" i="4" s="1"/>
  <c r="AT128" i="4" s="1"/>
  <c r="AT49" i="4"/>
  <c r="AT140" i="4" s="1"/>
  <c r="AT141" i="4" s="1"/>
  <c r="AT109" i="4"/>
  <c r="AT125" i="4" s="1"/>
  <c r="AT126" i="4" s="1"/>
  <c r="AT108" i="4"/>
  <c r="AT123" i="4" s="1"/>
  <c r="AT124" i="4" s="1"/>
  <c r="AT50" i="4"/>
  <c r="AT142" i="4" s="1"/>
  <c r="AT143" i="4" s="1"/>
  <c r="AT28" i="4"/>
  <c r="AT30" i="4" s="1"/>
  <c r="AT29" i="4" s="1"/>
  <c r="AT48" i="4"/>
  <c r="AV93" i="4"/>
  <c r="AV65" i="4"/>
  <c r="AU138" i="4"/>
  <c r="AU139" i="4" s="1"/>
  <c r="AV60" i="4"/>
  <c r="AU29" i="4"/>
  <c r="AV88" i="4"/>
  <c r="AV64" i="4"/>
  <c r="AV62" i="4"/>
  <c r="AV77" i="4"/>
  <c r="M158" i="15" l="1"/>
  <c r="N158" i="15" s="1"/>
  <c r="K158" i="15"/>
  <c r="AR25" i="4"/>
  <c r="AS101" i="4"/>
  <c r="AS118" i="4" s="1"/>
  <c r="AS119" i="4" s="1"/>
  <c r="AS100" i="4"/>
  <c r="AS116" i="4" s="1"/>
  <c r="AS117" i="4" s="1"/>
  <c r="AS52" i="4"/>
  <c r="AT93" i="4" s="1"/>
  <c r="AS99" i="4"/>
  <c r="AS114" i="4" s="1"/>
  <c r="AS115" i="4" s="1"/>
  <c r="AS49" i="4"/>
  <c r="AS140" i="4" s="1"/>
  <c r="AS141" i="4" s="1"/>
  <c r="AS47" i="4"/>
  <c r="AS138" i="4" s="1"/>
  <c r="AS139" i="4" s="1"/>
  <c r="AS110" i="4"/>
  <c r="AS127" i="4" s="1"/>
  <c r="AS128" i="4" s="1"/>
  <c r="AS109" i="4"/>
  <c r="AS125" i="4" s="1"/>
  <c r="AS126" i="4" s="1"/>
  <c r="AS50" i="4"/>
  <c r="AS142" i="4" s="1"/>
  <c r="AS143" i="4" s="1"/>
  <c r="AS108" i="4"/>
  <c r="AS123" i="4" s="1"/>
  <c r="AS124" i="4" s="1"/>
  <c r="AS48" i="4"/>
  <c r="AT61" i="4" s="1"/>
  <c r="AS28" i="4"/>
  <c r="AS30" i="4" s="1"/>
  <c r="AS102" i="4"/>
  <c r="AS120" i="4" s="1"/>
  <c r="AS121" i="4" s="1"/>
  <c r="AS111" i="4"/>
  <c r="AS129" i="4" s="1"/>
  <c r="AS130" i="4" s="1"/>
  <c r="AS51" i="4"/>
  <c r="AT64" i="4" s="1"/>
  <c r="AU77" i="4"/>
  <c r="AU63" i="4"/>
  <c r="AU78" i="4"/>
  <c r="AU88" i="4"/>
  <c r="AU65" i="4"/>
  <c r="AU62" i="4"/>
  <c r="AU90" i="4"/>
  <c r="AU76" i="4"/>
  <c r="AU61" i="4"/>
  <c r="AU89" i="4"/>
  <c r="AU64" i="4"/>
  <c r="AU75" i="4"/>
  <c r="AU74" i="4"/>
  <c r="AU91" i="4"/>
  <c r="AU93" i="4"/>
  <c r="AU92" i="4"/>
  <c r="AU60" i="4"/>
  <c r="AU79" i="4"/>
  <c r="J159" i="15" l="1"/>
  <c r="L159" i="15" s="1"/>
  <c r="I159" i="15"/>
  <c r="AT75" i="4"/>
  <c r="AT79" i="4"/>
  <c r="AT65" i="4"/>
  <c r="AT77" i="4"/>
  <c r="AT63" i="4"/>
  <c r="AT91" i="4"/>
  <c r="AT89" i="4"/>
  <c r="AT92" i="4"/>
  <c r="AT78" i="4"/>
  <c r="AT60" i="4"/>
  <c r="AT88" i="4"/>
  <c r="AT62" i="4"/>
  <c r="AT90" i="4"/>
  <c r="AQ25" i="4"/>
  <c r="AR102" i="4"/>
  <c r="AR120" i="4" s="1"/>
  <c r="AR121" i="4" s="1"/>
  <c r="AR28" i="4"/>
  <c r="AR30" i="4" s="1"/>
  <c r="AR29" i="4" s="1"/>
  <c r="AR52" i="4"/>
  <c r="AR109" i="4"/>
  <c r="AR125" i="4" s="1"/>
  <c r="AR126" i="4" s="1"/>
  <c r="AR50" i="4"/>
  <c r="AR142" i="4" s="1"/>
  <c r="AR143" i="4" s="1"/>
  <c r="AR101" i="4"/>
  <c r="AR118" i="4" s="1"/>
  <c r="AR119" i="4" s="1"/>
  <c r="AR100" i="4"/>
  <c r="AR116" i="4" s="1"/>
  <c r="AR117" i="4" s="1"/>
  <c r="AR48" i="4"/>
  <c r="AR108" i="4"/>
  <c r="AR123" i="4" s="1"/>
  <c r="AR124" i="4" s="1"/>
  <c r="AR51" i="4"/>
  <c r="AR110" i="4"/>
  <c r="AR127" i="4" s="1"/>
  <c r="AR128" i="4" s="1"/>
  <c r="AR49" i="4"/>
  <c r="AR140" i="4" s="1"/>
  <c r="AR141" i="4" s="1"/>
  <c r="AR111" i="4"/>
  <c r="AR129" i="4" s="1"/>
  <c r="AR130" i="4" s="1"/>
  <c r="AR47" i="4"/>
  <c r="AR138" i="4" s="1"/>
  <c r="AR139" i="4" s="1"/>
  <c r="AR99" i="4"/>
  <c r="AR114" i="4" s="1"/>
  <c r="AR115" i="4" s="1"/>
  <c r="AT76" i="4"/>
  <c r="AS29" i="4"/>
  <c r="AT74" i="4"/>
  <c r="M159" i="15" l="1"/>
  <c r="N159" i="15" s="1"/>
  <c r="K159" i="15"/>
  <c r="AS78" i="4"/>
  <c r="AS77" i="4"/>
  <c r="AS91" i="4"/>
  <c r="AS79" i="4"/>
  <c r="AS92" i="4"/>
  <c r="AS65" i="4"/>
  <c r="AS75" i="4"/>
  <c r="AS62" i="4"/>
  <c r="AS89" i="4"/>
  <c r="AS93" i="4"/>
  <c r="AS64" i="4"/>
  <c r="AS63" i="4"/>
  <c r="AS74" i="4"/>
  <c r="AS61" i="4"/>
  <c r="AS76" i="4"/>
  <c r="AS60" i="4"/>
  <c r="AS90" i="4"/>
  <c r="AS88" i="4"/>
  <c r="AP25" i="4"/>
  <c r="AQ110" i="4"/>
  <c r="AQ127" i="4" s="1"/>
  <c r="AQ128" i="4" s="1"/>
  <c r="AQ99" i="4"/>
  <c r="AQ114" i="4" s="1"/>
  <c r="AQ115" i="4" s="1"/>
  <c r="AQ49" i="4"/>
  <c r="AR90" i="4" s="1"/>
  <c r="AQ102" i="4"/>
  <c r="AQ120" i="4" s="1"/>
  <c r="AQ121" i="4" s="1"/>
  <c r="AQ108" i="4"/>
  <c r="AQ123" i="4" s="1"/>
  <c r="AQ124" i="4" s="1"/>
  <c r="AQ51" i="4"/>
  <c r="AR78" i="4" s="1"/>
  <c r="AQ52" i="4"/>
  <c r="AR79" i="4" s="1"/>
  <c r="AQ101" i="4"/>
  <c r="AQ118" i="4" s="1"/>
  <c r="AQ119" i="4" s="1"/>
  <c r="AQ28" i="4"/>
  <c r="AQ30" i="4" s="1"/>
  <c r="AQ29" i="4" s="1"/>
  <c r="AQ100" i="4"/>
  <c r="AQ116" i="4" s="1"/>
  <c r="AQ117" i="4" s="1"/>
  <c r="AQ111" i="4"/>
  <c r="AQ129" i="4" s="1"/>
  <c r="AQ130" i="4" s="1"/>
  <c r="AQ48" i="4"/>
  <c r="AR61" i="4" s="1"/>
  <c r="AQ109" i="4"/>
  <c r="AQ125" i="4" s="1"/>
  <c r="AQ126" i="4" s="1"/>
  <c r="AQ50" i="4"/>
  <c r="AQ142" i="4" s="1"/>
  <c r="AQ143" i="4" s="1"/>
  <c r="AQ47" i="4"/>
  <c r="AQ138" i="4" s="1"/>
  <c r="AQ139" i="4" s="1"/>
  <c r="J160" i="15" l="1"/>
  <c r="L160" i="15" s="1"/>
  <c r="I160" i="15"/>
  <c r="AR63" i="4"/>
  <c r="AR76" i="4"/>
  <c r="AR74" i="4"/>
  <c r="AR60" i="4"/>
  <c r="AR88" i="4"/>
  <c r="AR65" i="4"/>
  <c r="AR93" i="4"/>
  <c r="AR75" i="4"/>
  <c r="AR91" i="4"/>
  <c r="AQ140" i="4"/>
  <c r="AQ141" i="4" s="1"/>
  <c r="AR62" i="4"/>
  <c r="AR92" i="4"/>
  <c r="AR77" i="4"/>
  <c r="AO25" i="4"/>
  <c r="AP100" i="4"/>
  <c r="AP116" i="4" s="1"/>
  <c r="AP117" i="4" s="1"/>
  <c r="AP50" i="4"/>
  <c r="AP142" i="4" s="1"/>
  <c r="AP143" i="4" s="1"/>
  <c r="AP48" i="4"/>
  <c r="AQ89" i="4" s="1"/>
  <c r="AP28" i="4"/>
  <c r="AP30" i="4" s="1"/>
  <c r="AP51" i="4"/>
  <c r="AQ78" i="4" s="1"/>
  <c r="AP108" i="4"/>
  <c r="AP123" i="4" s="1"/>
  <c r="AP124" i="4" s="1"/>
  <c r="AP99" i="4"/>
  <c r="AP114" i="4" s="1"/>
  <c r="AP115" i="4" s="1"/>
  <c r="AP49" i="4"/>
  <c r="AP140" i="4" s="1"/>
  <c r="AP141" i="4" s="1"/>
  <c r="AP52" i="4"/>
  <c r="AQ79" i="4" s="1"/>
  <c r="AP111" i="4"/>
  <c r="AP129" i="4" s="1"/>
  <c r="AP130" i="4" s="1"/>
  <c r="AP109" i="4"/>
  <c r="AP125" i="4" s="1"/>
  <c r="AP126" i="4" s="1"/>
  <c r="AP101" i="4"/>
  <c r="AP118" i="4" s="1"/>
  <c r="AP119" i="4" s="1"/>
  <c r="AP102" i="4"/>
  <c r="AP120" i="4" s="1"/>
  <c r="AP121" i="4" s="1"/>
  <c r="AP47" i="4"/>
  <c r="AP138" i="4" s="1"/>
  <c r="AP139" i="4" s="1"/>
  <c r="AP110" i="4"/>
  <c r="AP127" i="4" s="1"/>
  <c r="AP128" i="4" s="1"/>
  <c r="AR89" i="4"/>
  <c r="AR64" i="4"/>
  <c r="M160" i="15" l="1"/>
  <c r="N160" i="15" s="1"/>
  <c r="K160" i="15"/>
  <c r="AQ62" i="4"/>
  <c r="AP29" i="4"/>
  <c r="AQ88" i="4"/>
  <c r="AQ90" i="4"/>
  <c r="AN25" i="4"/>
  <c r="AO102" i="4"/>
  <c r="AO120" i="4" s="1"/>
  <c r="AO121" i="4" s="1"/>
  <c r="AO50" i="4"/>
  <c r="AO142" i="4" s="1"/>
  <c r="AO143" i="4" s="1"/>
  <c r="AO52" i="4"/>
  <c r="AO108" i="4"/>
  <c r="AO123" i="4" s="1"/>
  <c r="AO124" i="4" s="1"/>
  <c r="AO101" i="4"/>
  <c r="AO118" i="4" s="1"/>
  <c r="AO119" i="4" s="1"/>
  <c r="AO47" i="4"/>
  <c r="AO138" i="4" s="1"/>
  <c r="AO139" i="4" s="1"/>
  <c r="AO28" i="4"/>
  <c r="AO30" i="4" s="1"/>
  <c r="AO48" i="4"/>
  <c r="AO100" i="4"/>
  <c r="AO116" i="4" s="1"/>
  <c r="AO117" i="4" s="1"/>
  <c r="AO109" i="4"/>
  <c r="AO125" i="4" s="1"/>
  <c r="AO126" i="4" s="1"/>
  <c r="AO110" i="4"/>
  <c r="AO127" i="4" s="1"/>
  <c r="AO128" i="4" s="1"/>
  <c r="AO51" i="4"/>
  <c r="AO99" i="4"/>
  <c r="AO114" i="4" s="1"/>
  <c r="AO115" i="4" s="1"/>
  <c r="AO111" i="4"/>
  <c r="AO129" i="4" s="1"/>
  <c r="AO130" i="4" s="1"/>
  <c r="AO49" i="4"/>
  <c r="AO140" i="4" s="1"/>
  <c r="AO141" i="4" s="1"/>
  <c r="AQ74" i="4"/>
  <c r="AQ93" i="4"/>
  <c r="AQ75" i="4"/>
  <c r="AQ91" i="4"/>
  <c r="AQ92" i="4"/>
  <c r="AQ77" i="4"/>
  <c r="AQ65" i="4"/>
  <c r="AQ76" i="4"/>
  <c r="AQ64" i="4"/>
  <c r="AQ60" i="4"/>
  <c r="AQ63" i="4"/>
  <c r="AQ61" i="4"/>
  <c r="I161" i="15" l="1"/>
  <c r="J161" i="15"/>
  <c r="L161" i="15" s="1"/>
  <c r="AM25" i="4"/>
  <c r="AN111" i="4"/>
  <c r="AN129" i="4" s="1"/>
  <c r="AN130" i="4" s="1"/>
  <c r="AN49" i="4"/>
  <c r="AN140" i="4" s="1"/>
  <c r="AN141" i="4" s="1"/>
  <c r="AN110" i="4"/>
  <c r="AN127" i="4" s="1"/>
  <c r="AN128" i="4" s="1"/>
  <c r="AN108" i="4"/>
  <c r="AN123" i="4" s="1"/>
  <c r="AN124" i="4" s="1"/>
  <c r="AN48" i="4"/>
  <c r="AN47" i="4"/>
  <c r="AN138" i="4" s="1"/>
  <c r="AN139" i="4" s="1"/>
  <c r="AN99" i="4"/>
  <c r="AN114" i="4" s="1"/>
  <c r="AN115" i="4" s="1"/>
  <c r="AN100" i="4"/>
  <c r="AN116" i="4" s="1"/>
  <c r="AN117" i="4" s="1"/>
  <c r="AN28" i="4"/>
  <c r="AN30" i="4" s="1"/>
  <c r="AN29" i="4" s="1"/>
  <c r="AN50" i="4"/>
  <c r="AN142" i="4" s="1"/>
  <c r="AN143" i="4" s="1"/>
  <c r="AN109" i="4"/>
  <c r="AN125" i="4" s="1"/>
  <c r="AN126" i="4" s="1"/>
  <c r="AN52" i="4"/>
  <c r="AN101" i="4"/>
  <c r="AN118" i="4" s="1"/>
  <c r="AN119" i="4" s="1"/>
  <c r="AN102" i="4"/>
  <c r="AN120" i="4" s="1"/>
  <c r="AN121" i="4" s="1"/>
  <c r="AN51" i="4"/>
  <c r="AP89" i="4"/>
  <c r="AP75" i="4"/>
  <c r="AP92" i="4"/>
  <c r="AP91" i="4"/>
  <c r="AP90" i="4"/>
  <c r="AP76" i="4"/>
  <c r="AP78" i="4"/>
  <c r="AP64" i="4"/>
  <c r="AP74" i="4"/>
  <c r="AP61" i="4"/>
  <c r="AP77" i="4"/>
  <c r="AP65" i="4"/>
  <c r="AP60" i="4"/>
  <c r="AP63" i="4"/>
  <c r="AP62" i="4"/>
  <c r="AP79" i="4"/>
  <c r="AP88" i="4"/>
  <c r="AP93" i="4"/>
  <c r="AO29" i="4"/>
  <c r="K161" i="15" l="1"/>
  <c r="M161" i="15"/>
  <c r="N161" i="15" s="1"/>
  <c r="AO92" i="4"/>
  <c r="AO74" i="4"/>
  <c r="AO64" i="4"/>
  <c r="AO62" i="4"/>
  <c r="AO63" i="4"/>
  <c r="AO61" i="4"/>
  <c r="AO75" i="4"/>
  <c r="AO60" i="4"/>
  <c r="AO78" i="4"/>
  <c r="AO93" i="4"/>
  <c r="AO88" i="4"/>
  <c r="AO65" i="4"/>
  <c r="AO77" i="4"/>
  <c r="AO90" i="4"/>
  <c r="AO79" i="4"/>
  <c r="AO76" i="4"/>
  <c r="AO89" i="4"/>
  <c r="AO91" i="4"/>
  <c r="AL25" i="4"/>
  <c r="AM102" i="4"/>
  <c r="AM120" i="4" s="1"/>
  <c r="AM121" i="4" s="1"/>
  <c r="AM47" i="4"/>
  <c r="AM138" i="4" s="1"/>
  <c r="AM139" i="4" s="1"/>
  <c r="AM51" i="4"/>
  <c r="AN64" i="4" s="1"/>
  <c r="AM50" i="4"/>
  <c r="AM142" i="4" s="1"/>
  <c r="AM143" i="4" s="1"/>
  <c r="AM28" i="4"/>
  <c r="AM30" i="4" s="1"/>
  <c r="AM29" i="4" s="1"/>
  <c r="AM49" i="4"/>
  <c r="AM140" i="4" s="1"/>
  <c r="AM141" i="4" s="1"/>
  <c r="AM100" i="4"/>
  <c r="AM116" i="4" s="1"/>
  <c r="AM117" i="4" s="1"/>
  <c r="AM108" i="4"/>
  <c r="AM123" i="4" s="1"/>
  <c r="AM124" i="4" s="1"/>
  <c r="AM48" i="4"/>
  <c r="AN89" i="4" s="1"/>
  <c r="AM110" i="4"/>
  <c r="AM127" i="4" s="1"/>
  <c r="AM128" i="4" s="1"/>
  <c r="AM111" i="4"/>
  <c r="AM129" i="4" s="1"/>
  <c r="AM130" i="4" s="1"/>
  <c r="AM101" i="4"/>
  <c r="AM118" i="4" s="1"/>
  <c r="AM119" i="4" s="1"/>
  <c r="AM99" i="4"/>
  <c r="AM114" i="4" s="1"/>
  <c r="AM115" i="4" s="1"/>
  <c r="AM109" i="4"/>
  <c r="AM125" i="4" s="1"/>
  <c r="AM126" i="4" s="1"/>
  <c r="AM52" i="4"/>
  <c r="AN93" i="4" s="1"/>
  <c r="J162" i="15" l="1"/>
  <c r="L162" i="15" s="1"/>
  <c r="I162" i="15"/>
  <c r="AN76" i="4"/>
  <c r="AN75" i="4"/>
  <c r="AN77" i="4"/>
  <c r="AN92" i="4"/>
  <c r="AN74" i="4"/>
  <c r="AN78" i="4"/>
  <c r="AN88" i="4"/>
  <c r="AN60" i="4"/>
  <c r="AN91" i="4"/>
  <c r="AN90" i="4"/>
  <c r="AN79" i="4"/>
  <c r="AK25" i="4"/>
  <c r="AL108" i="4"/>
  <c r="AL123" i="4" s="1"/>
  <c r="AL124" i="4" s="1"/>
  <c r="AL102" i="4"/>
  <c r="AL120" i="4" s="1"/>
  <c r="AL121" i="4" s="1"/>
  <c r="AL48" i="4"/>
  <c r="AM75" i="4" s="1"/>
  <c r="AL99" i="4"/>
  <c r="AL114" i="4" s="1"/>
  <c r="AL115" i="4" s="1"/>
  <c r="AL101" i="4"/>
  <c r="AL118" i="4" s="1"/>
  <c r="AL119" i="4" s="1"/>
  <c r="AL109" i="4"/>
  <c r="AL125" i="4" s="1"/>
  <c r="AL126" i="4" s="1"/>
  <c r="AL49" i="4"/>
  <c r="AL140" i="4" s="1"/>
  <c r="AL141" i="4" s="1"/>
  <c r="AL51" i="4"/>
  <c r="AM92" i="4" s="1"/>
  <c r="AL100" i="4"/>
  <c r="AL116" i="4" s="1"/>
  <c r="AL117" i="4" s="1"/>
  <c r="AL47" i="4"/>
  <c r="AL138" i="4" s="1"/>
  <c r="AL139" i="4" s="1"/>
  <c r="AL110" i="4"/>
  <c r="AL127" i="4" s="1"/>
  <c r="AL128" i="4" s="1"/>
  <c r="AL52" i="4"/>
  <c r="AM65" i="4" s="1"/>
  <c r="AL28" i="4"/>
  <c r="AL30" i="4" s="1"/>
  <c r="AL29" i="4" s="1"/>
  <c r="AL50" i="4"/>
  <c r="AL111" i="4"/>
  <c r="AL129" i="4" s="1"/>
  <c r="AL130" i="4" s="1"/>
  <c r="AN63" i="4"/>
  <c r="AN61" i="4"/>
  <c r="AN65" i="4"/>
  <c r="AN62" i="4"/>
  <c r="K162" i="15" l="1"/>
  <c r="M162" i="15"/>
  <c r="N162" i="15" s="1"/>
  <c r="AM78" i="4"/>
  <c r="AM74" i="4"/>
  <c r="AM93" i="4"/>
  <c r="AJ25" i="4"/>
  <c r="AK108" i="4"/>
  <c r="AK123" i="4" s="1"/>
  <c r="AK124" i="4" s="1"/>
  <c r="AK51" i="4"/>
  <c r="AL78" i="4" s="1"/>
  <c r="AK52" i="4"/>
  <c r="AL79" i="4" s="1"/>
  <c r="AK100" i="4"/>
  <c r="AK116" i="4" s="1"/>
  <c r="AK117" i="4" s="1"/>
  <c r="AK101" i="4"/>
  <c r="AK118" i="4" s="1"/>
  <c r="AK119" i="4" s="1"/>
  <c r="AK111" i="4"/>
  <c r="AK129" i="4" s="1"/>
  <c r="AK130" i="4" s="1"/>
  <c r="AK49" i="4"/>
  <c r="AK140" i="4" s="1"/>
  <c r="AK141" i="4" s="1"/>
  <c r="AK50" i="4"/>
  <c r="AK142" i="4" s="1"/>
  <c r="AK143" i="4" s="1"/>
  <c r="AK102" i="4"/>
  <c r="AK120" i="4" s="1"/>
  <c r="AK121" i="4" s="1"/>
  <c r="AK99" i="4"/>
  <c r="AK114" i="4" s="1"/>
  <c r="AK115" i="4" s="1"/>
  <c r="AK109" i="4"/>
  <c r="AK125" i="4" s="1"/>
  <c r="AK126" i="4" s="1"/>
  <c r="AK47" i="4"/>
  <c r="AK138" i="4" s="1"/>
  <c r="AK139" i="4" s="1"/>
  <c r="AK28" i="4"/>
  <c r="AK30" i="4" s="1"/>
  <c r="AK29" i="4" s="1"/>
  <c r="AK110" i="4"/>
  <c r="AK127" i="4" s="1"/>
  <c r="AK128" i="4" s="1"/>
  <c r="AK48" i="4"/>
  <c r="AL75" i="4" s="1"/>
  <c r="AM76" i="4"/>
  <c r="AM61" i="4"/>
  <c r="AM79" i="4"/>
  <c r="AM88" i="4"/>
  <c r="AM60" i="4"/>
  <c r="AM62" i="4"/>
  <c r="AL142" i="4"/>
  <c r="AL143" i="4" s="1"/>
  <c r="AM63" i="4"/>
  <c r="AM77" i="4"/>
  <c r="AM91" i="4"/>
  <c r="AM89" i="4"/>
  <c r="AM90" i="4"/>
  <c r="AM64" i="4"/>
  <c r="J163" i="15" l="1"/>
  <c r="L163" i="15" s="1"/>
  <c r="I163" i="15"/>
  <c r="AL77" i="4"/>
  <c r="AL92" i="4"/>
  <c r="AL64" i="4"/>
  <c r="AL76" i="4"/>
  <c r="AL61" i="4"/>
  <c r="AL62" i="4"/>
  <c r="AL89" i="4"/>
  <c r="AL90" i="4"/>
  <c r="AL65" i="4"/>
  <c r="AL60" i="4"/>
  <c r="AL63" i="4"/>
  <c r="AL74" i="4"/>
  <c r="AL88" i="4"/>
  <c r="AI25" i="4"/>
  <c r="AJ111" i="4"/>
  <c r="AJ129" i="4" s="1"/>
  <c r="AJ130" i="4" s="1"/>
  <c r="AJ110" i="4"/>
  <c r="AJ127" i="4" s="1"/>
  <c r="AJ128" i="4" s="1"/>
  <c r="AJ28" i="4"/>
  <c r="AJ30" i="4" s="1"/>
  <c r="AJ29" i="4" s="1"/>
  <c r="AJ101" i="4"/>
  <c r="AJ118" i="4" s="1"/>
  <c r="AJ119" i="4" s="1"/>
  <c r="AJ52" i="4"/>
  <c r="AK65" i="4" s="1"/>
  <c r="AJ50" i="4"/>
  <c r="AJ142" i="4" s="1"/>
  <c r="AJ143" i="4" s="1"/>
  <c r="AJ99" i="4"/>
  <c r="AJ114" i="4" s="1"/>
  <c r="AJ115" i="4" s="1"/>
  <c r="AJ51" i="4"/>
  <c r="AK92" i="4" s="1"/>
  <c r="AJ102" i="4"/>
  <c r="AJ120" i="4" s="1"/>
  <c r="AJ121" i="4" s="1"/>
  <c r="AJ49" i="4"/>
  <c r="AJ140" i="4" s="1"/>
  <c r="AJ141" i="4" s="1"/>
  <c r="AJ100" i="4"/>
  <c r="AJ116" i="4" s="1"/>
  <c r="AJ117" i="4" s="1"/>
  <c r="AJ108" i="4"/>
  <c r="AJ123" i="4" s="1"/>
  <c r="AJ124" i="4" s="1"/>
  <c r="AJ109" i="4"/>
  <c r="AJ125" i="4" s="1"/>
  <c r="AJ126" i="4" s="1"/>
  <c r="AJ48" i="4"/>
  <c r="AK75" i="4" s="1"/>
  <c r="AJ47" i="4"/>
  <c r="AJ138" i="4" s="1"/>
  <c r="AJ139" i="4" s="1"/>
  <c r="AL93" i="4"/>
  <c r="AL91" i="4"/>
  <c r="K163" i="15" l="1"/>
  <c r="M163" i="15"/>
  <c r="N163" i="15" s="1"/>
  <c r="AK64" i="4"/>
  <c r="AK78" i="4"/>
  <c r="AK60" i="4"/>
  <c r="AK88" i="4"/>
  <c r="AK89" i="4"/>
  <c r="AK63" i="4"/>
  <c r="AK93" i="4"/>
  <c r="AK74" i="4"/>
  <c r="AK79" i="4"/>
  <c r="AK61" i="4"/>
  <c r="AK62" i="4"/>
  <c r="AK77" i="4"/>
  <c r="AK90" i="4"/>
  <c r="AH25" i="4"/>
  <c r="AI49" i="4"/>
  <c r="AI140" i="4" s="1"/>
  <c r="AI141" i="4" s="1"/>
  <c r="AI28" i="4"/>
  <c r="AI30" i="4" s="1"/>
  <c r="AI29" i="4" s="1"/>
  <c r="AI110" i="4"/>
  <c r="AI127" i="4" s="1"/>
  <c r="AI128" i="4" s="1"/>
  <c r="AI100" i="4"/>
  <c r="AI116" i="4" s="1"/>
  <c r="AI117" i="4" s="1"/>
  <c r="AI50" i="4"/>
  <c r="AI142" i="4" s="1"/>
  <c r="AI143" i="4" s="1"/>
  <c r="AI109" i="4"/>
  <c r="AI125" i="4" s="1"/>
  <c r="AI126" i="4" s="1"/>
  <c r="AI108" i="4"/>
  <c r="AI123" i="4" s="1"/>
  <c r="AI124" i="4" s="1"/>
  <c r="AI47" i="4"/>
  <c r="AI138" i="4" s="1"/>
  <c r="AI139" i="4" s="1"/>
  <c r="AI51" i="4"/>
  <c r="AJ64" i="4" s="1"/>
  <c r="AI101" i="4"/>
  <c r="AI118" i="4" s="1"/>
  <c r="AI119" i="4" s="1"/>
  <c r="AI52" i="4"/>
  <c r="AJ93" i="4" s="1"/>
  <c r="AI99" i="4"/>
  <c r="AI114" i="4" s="1"/>
  <c r="AI115" i="4" s="1"/>
  <c r="AI102" i="4"/>
  <c r="AI120" i="4" s="1"/>
  <c r="AI121" i="4" s="1"/>
  <c r="AI48" i="4"/>
  <c r="AJ61" i="4" s="1"/>
  <c r="AI111" i="4"/>
  <c r="AI129" i="4" s="1"/>
  <c r="AI130" i="4" s="1"/>
  <c r="AK76" i="4"/>
  <c r="AK91" i="4"/>
  <c r="J164" i="15" l="1"/>
  <c r="L164" i="15" s="1"/>
  <c r="I164" i="15"/>
  <c r="AJ88" i="4"/>
  <c r="AJ89" i="4"/>
  <c r="AJ74" i="4"/>
  <c r="AG25" i="4"/>
  <c r="AH47" i="4"/>
  <c r="AH138" i="4" s="1"/>
  <c r="AH139" i="4" s="1"/>
  <c r="AH102" i="4"/>
  <c r="AH120" i="4" s="1"/>
  <c r="AH121" i="4" s="1"/>
  <c r="AH110" i="4"/>
  <c r="AH127" i="4" s="1"/>
  <c r="AH128" i="4" s="1"/>
  <c r="AH99" i="4"/>
  <c r="AH114" i="4" s="1"/>
  <c r="AH115" i="4" s="1"/>
  <c r="AH50" i="4"/>
  <c r="AI91" i="4" s="1"/>
  <c r="AH52" i="4"/>
  <c r="AI79" i="4" s="1"/>
  <c r="AH108" i="4"/>
  <c r="AH123" i="4" s="1"/>
  <c r="AH124" i="4" s="1"/>
  <c r="AH101" i="4"/>
  <c r="AH118" i="4" s="1"/>
  <c r="AH119" i="4" s="1"/>
  <c r="AH111" i="4"/>
  <c r="AH129" i="4" s="1"/>
  <c r="AH130" i="4" s="1"/>
  <c r="AH51" i="4"/>
  <c r="AI92" i="4" s="1"/>
  <c r="AH100" i="4"/>
  <c r="AH116" i="4" s="1"/>
  <c r="AH117" i="4" s="1"/>
  <c r="AH49" i="4"/>
  <c r="AH140" i="4" s="1"/>
  <c r="AH141" i="4" s="1"/>
  <c r="AH48" i="4"/>
  <c r="AI75" i="4" s="1"/>
  <c r="AH109" i="4"/>
  <c r="AH125" i="4" s="1"/>
  <c r="AH126" i="4" s="1"/>
  <c r="AH28" i="4"/>
  <c r="AH30" i="4" s="1"/>
  <c r="AJ63" i="4"/>
  <c r="AJ79" i="4"/>
  <c r="AJ65" i="4"/>
  <c r="AJ92" i="4"/>
  <c r="AJ76" i="4"/>
  <c r="AJ78" i="4"/>
  <c r="AJ75" i="4"/>
  <c r="AJ91" i="4"/>
  <c r="AJ60" i="4"/>
  <c r="AJ62" i="4"/>
  <c r="AJ90" i="4"/>
  <c r="AJ77" i="4"/>
  <c r="K164" i="15" l="1"/>
  <c r="M164" i="15"/>
  <c r="N164" i="15" s="1"/>
  <c r="AI74" i="4"/>
  <c r="AI88" i="4"/>
  <c r="AI78" i="4"/>
  <c r="AI60" i="4"/>
  <c r="AI76" i="4"/>
  <c r="AI90" i="4"/>
  <c r="AI62" i="4"/>
  <c r="AI89" i="4"/>
  <c r="AI61" i="4"/>
  <c r="AI65" i="4"/>
  <c r="AI93" i="4"/>
  <c r="AH29" i="4"/>
  <c r="AI64" i="4"/>
  <c r="AF25" i="4"/>
  <c r="AG111" i="4"/>
  <c r="AG129" i="4" s="1"/>
  <c r="AG130" i="4" s="1"/>
  <c r="AG28" i="4"/>
  <c r="AG30" i="4" s="1"/>
  <c r="AG110" i="4"/>
  <c r="AG127" i="4" s="1"/>
  <c r="AG128" i="4" s="1"/>
  <c r="AG48" i="4"/>
  <c r="AG47" i="4"/>
  <c r="AG138" i="4" s="1"/>
  <c r="AG139" i="4" s="1"/>
  <c r="AG102" i="4"/>
  <c r="AG120" i="4" s="1"/>
  <c r="AG121" i="4" s="1"/>
  <c r="AG52" i="4"/>
  <c r="AG101" i="4"/>
  <c r="AG118" i="4" s="1"/>
  <c r="AG119" i="4" s="1"/>
  <c r="AG49" i="4"/>
  <c r="AG140" i="4" s="1"/>
  <c r="AG141" i="4" s="1"/>
  <c r="AG51" i="4"/>
  <c r="AG100" i="4"/>
  <c r="AG116" i="4" s="1"/>
  <c r="AG117" i="4" s="1"/>
  <c r="AG109" i="4"/>
  <c r="AG125" i="4" s="1"/>
  <c r="AG126" i="4" s="1"/>
  <c r="AG99" i="4"/>
  <c r="AG114" i="4" s="1"/>
  <c r="AG115" i="4" s="1"/>
  <c r="AG50" i="4"/>
  <c r="AG142" i="4" s="1"/>
  <c r="AG143" i="4" s="1"/>
  <c r="AG108" i="4"/>
  <c r="AG123" i="4" s="1"/>
  <c r="AG124" i="4" s="1"/>
  <c r="AH142" i="4"/>
  <c r="AH143" i="4" s="1"/>
  <c r="AI77" i="4"/>
  <c r="AI63" i="4"/>
  <c r="J165" i="15" l="1"/>
  <c r="L165" i="15" s="1"/>
  <c r="I165" i="15"/>
  <c r="AE25" i="4"/>
  <c r="AF49" i="4"/>
  <c r="AF140" i="4" s="1"/>
  <c r="AF141" i="4" s="1"/>
  <c r="AF51" i="4"/>
  <c r="AF52" i="4"/>
  <c r="AF48" i="4"/>
  <c r="AF111" i="4"/>
  <c r="AF129" i="4" s="1"/>
  <c r="AF130" i="4" s="1"/>
  <c r="AF109" i="4"/>
  <c r="AF125" i="4" s="1"/>
  <c r="AF126" i="4" s="1"/>
  <c r="AF108" i="4"/>
  <c r="AF123" i="4" s="1"/>
  <c r="AF124" i="4" s="1"/>
  <c r="AF28" i="4"/>
  <c r="AF30" i="4" s="1"/>
  <c r="AF102" i="4"/>
  <c r="AF120" i="4" s="1"/>
  <c r="AF121" i="4" s="1"/>
  <c r="AF47" i="4"/>
  <c r="AF138" i="4" s="1"/>
  <c r="AF139" i="4" s="1"/>
  <c r="AF99" i="4"/>
  <c r="AF114" i="4" s="1"/>
  <c r="AF115" i="4" s="1"/>
  <c r="AF100" i="4"/>
  <c r="AF116" i="4" s="1"/>
  <c r="AF117" i="4" s="1"/>
  <c r="AF101" i="4"/>
  <c r="AF118" i="4" s="1"/>
  <c r="AF119" i="4" s="1"/>
  <c r="AF50" i="4"/>
  <c r="AF142" i="4" s="1"/>
  <c r="AF143" i="4" s="1"/>
  <c r="AF110" i="4"/>
  <c r="AF127" i="4" s="1"/>
  <c r="AF128" i="4" s="1"/>
  <c r="AH74" i="4"/>
  <c r="AH78" i="4"/>
  <c r="AH77" i="4"/>
  <c r="AH76" i="4"/>
  <c r="AH89" i="4"/>
  <c r="AH92" i="4"/>
  <c r="AH90" i="4"/>
  <c r="AH79" i="4"/>
  <c r="AH63" i="4"/>
  <c r="AH62" i="4"/>
  <c r="AH93" i="4"/>
  <c r="AH64" i="4"/>
  <c r="AH60" i="4"/>
  <c r="AH61" i="4"/>
  <c r="AH75" i="4"/>
  <c r="AH88" i="4"/>
  <c r="AH91" i="4"/>
  <c r="AH65" i="4"/>
  <c r="AG29" i="4"/>
  <c r="K165" i="15" l="1"/>
  <c r="M165" i="15"/>
  <c r="N165" i="15" s="1"/>
  <c r="AF29" i="4"/>
  <c r="AD25" i="4"/>
  <c r="AE99" i="4"/>
  <c r="AE114" i="4" s="1"/>
  <c r="AE115" i="4" s="1"/>
  <c r="AE110" i="4"/>
  <c r="AE127" i="4" s="1"/>
  <c r="AE128" i="4" s="1"/>
  <c r="AE52" i="4"/>
  <c r="AE101" i="4"/>
  <c r="AE118" i="4" s="1"/>
  <c r="AE119" i="4" s="1"/>
  <c r="AE111" i="4"/>
  <c r="AE129" i="4" s="1"/>
  <c r="AE130" i="4" s="1"/>
  <c r="AE102" i="4"/>
  <c r="AE120" i="4" s="1"/>
  <c r="AE121" i="4" s="1"/>
  <c r="AE51" i="4"/>
  <c r="AE48" i="4"/>
  <c r="AE47" i="4"/>
  <c r="AE138" i="4" s="1"/>
  <c r="AE139" i="4" s="1"/>
  <c r="AE49" i="4"/>
  <c r="AE140" i="4" s="1"/>
  <c r="AE141" i="4" s="1"/>
  <c r="AE50" i="4"/>
  <c r="AE142" i="4" s="1"/>
  <c r="AE143" i="4" s="1"/>
  <c r="AE100" i="4"/>
  <c r="AE116" i="4" s="1"/>
  <c r="AE117" i="4" s="1"/>
  <c r="AE28" i="4"/>
  <c r="AE30" i="4" s="1"/>
  <c r="AE109" i="4"/>
  <c r="AE125" i="4" s="1"/>
  <c r="AE126" i="4" s="1"/>
  <c r="AE108" i="4"/>
  <c r="AE123" i="4" s="1"/>
  <c r="AE124" i="4" s="1"/>
  <c r="AG88" i="4"/>
  <c r="AG65" i="4"/>
  <c r="AG93" i="4"/>
  <c r="AG60" i="4"/>
  <c r="AG74" i="4"/>
  <c r="AG78" i="4"/>
  <c r="AG92" i="4"/>
  <c r="AG64" i="4"/>
  <c r="AG62" i="4"/>
  <c r="AG75" i="4"/>
  <c r="AG79" i="4"/>
  <c r="AG76" i="4"/>
  <c r="AG89" i="4"/>
  <c r="AG91" i="4"/>
  <c r="AG63" i="4"/>
  <c r="AG90" i="4"/>
  <c r="AG77" i="4"/>
  <c r="AG61" i="4"/>
  <c r="J166" i="15" l="1"/>
  <c r="L166" i="15" s="1"/>
  <c r="I166" i="15"/>
  <c r="AC25" i="4"/>
  <c r="AD108" i="4"/>
  <c r="AD123" i="4" s="1"/>
  <c r="AD124" i="4" s="1"/>
  <c r="AD48" i="4"/>
  <c r="AD49" i="4"/>
  <c r="AD140" i="4" s="1"/>
  <c r="AD141" i="4" s="1"/>
  <c r="AD51" i="4"/>
  <c r="AD50" i="4"/>
  <c r="AD142" i="4" s="1"/>
  <c r="AD143" i="4" s="1"/>
  <c r="AD102" i="4"/>
  <c r="AD120" i="4" s="1"/>
  <c r="AD121" i="4" s="1"/>
  <c r="AD100" i="4"/>
  <c r="AD116" i="4" s="1"/>
  <c r="AD117" i="4" s="1"/>
  <c r="AD111" i="4"/>
  <c r="AD129" i="4" s="1"/>
  <c r="AD130" i="4" s="1"/>
  <c r="AD47" i="4"/>
  <c r="AD138" i="4" s="1"/>
  <c r="AD139" i="4" s="1"/>
  <c r="AD99" i="4"/>
  <c r="AD114" i="4" s="1"/>
  <c r="AD115" i="4" s="1"/>
  <c r="AD109" i="4"/>
  <c r="AD125" i="4" s="1"/>
  <c r="AD126" i="4" s="1"/>
  <c r="AD52" i="4"/>
  <c r="AD28" i="4"/>
  <c r="AD30" i="4" s="1"/>
  <c r="AD101" i="4"/>
  <c r="AD118" i="4" s="1"/>
  <c r="AD119" i="4" s="1"/>
  <c r="AD110" i="4"/>
  <c r="AD127" i="4" s="1"/>
  <c r="AD128" i="4" s="1"/>
  <c r="AF74" i="4"/>
  <c r="AF62" i="4"/>
  <c r="AF92" i="4"/>
  <c r="AF65" i="4"/>
  <c r="AF75" i="4"/>
  <c r="AF89" i="4"/>
  <c r="AF77" i="4"/>
  <c r="AF63" i="4"/>
  <c r="AF60" i="4"/>
  <c r="AF64" i="4"/>
  <c r="AF90" i="4"/>
  <c r="AF78" i="4"/>
  <c r="AF91" i="4"/>
  <c r="AF76" i="4"/>
  <c r="AF61" i="4"/>
  <c r="AF88" i="4"/>
  <c r="AF93" i="4"/>
  <c r="AF79" i="4"/>
  <c r="AE29" i="4"/>
  <c r="K166" i="15" l="1"/>
  <c r="M166" i="15"/>
  <c r="N166" i="15" s="1"/>
  <c r="AB25" i="4"/>
  <c r="AC100" i="4"/>
  <c r="AC116" i="4" s="1"/>
  <c r="AC117" i="4" s="1"/>
  <c r="AC28" i="4"/>
  <c r="AC30" i="4" s="1"/>
  <c r="AC49" i="4"/>
  <c r="AC140" i="4" s="1"/>
  <c r="AC141" i="4" s="1"/>
  <c r="AC99" i="4"/>
  <c r="AC114" i="4" s="1"/>
  <c r="AC115" i="4" s="1"/>
  <c r="AC109" i="4"/>
  <c r="AC125" i="4" s="1"/>
  <c r="AC126" i="4" s="1"/>
  <c r="AC47" i="4"/>
  <c r="AC138" i="4" s="1"/>
  <c r="AC139" i="4" s="1"/>
  <c r="AC48" i="4"/>
  <c r="AC108" i="4"/>
  <c r="AC123" i="4" s="1"/>
  <c r="AC124" i="4" s="1"/>
  <c r="AC101" i="4"/>
  <c r="AC118" i="4" s="1"/>
  <c r="AC119" i="4" s="1"/>
  <c r="AC52" i="4"/>
  <c r="AC102" i="4"/>
  <c r="AC120" i="4" s="1"/>
  <c r="AC121" i="4" s="1"/>
  <c r="AC51" i="4"/>
  <c r="AC110" i="4"/>
  <c r="AC127" i="4" s="1"/>
  <c r="AC128" i="4" s="1"/>
  <c r="AC111" i="4"/>
  <c r="AC129" i="4" s="1"/>
  <c r="AC130" i="4" s="1"/>
  <c r="AC50" i="4"/>
  <c r="AC142" i="4" s="1"/>
  <c r="AC143" i="4" s="1"/>
  <c r="AE76" i="4"/>
  <c r="AE91" i="4"/>
  <c r="AE90" i="4"/>
  <c r="AE75" i="4"/>
  <c r="AE77" i="4"/>
  <c r="AE64" i="4"/>
  <c r="AE78" i="4"/>
  <c r="AE92" i="4"/>
  <c r="AE79" i="4"/>
  <c r="AE89" i="4"/>
  <c r="AE60" i="4"/>
  <c r="AE65" i="4"/>
  <c r="AE88" i="4"/>
  <c r="AE61" i="4"/>
  <c r="AE63" i="4"/>
  <c r="AE74" i="4"/>
  <c r="AE62" i="4"/>
  <c r="AE93" i="4"/>
  <c r="AD29" i="4"/>
  <c r="I167" i="15" l="1"/>
  <c r="J167" i="15"/>
  <c r="L167" i="15" s="1"/>
  <c r="AC29" i="4"/>
  <c r="AA25" i="4"/>
  <c r="AB109" i="4"/>
  <c r="AB125" i="4" s="1"/>
  <c r="AB126" i="4" s="1"/>
  <c r="AB51" i="4"/>
  <c r="AB99" i="4"/>
  <c r="AB114" i="4" s="1"/>
  <c r="AB115" i="4" s="1"/>
  <c r="AB100" i="4"/>
  <c r="AB116" i="4" s="1"/>
  <c r="AB117" i="4" s="1"/>
  <c r="AB102" i="4"/>
  <c r="AB120" i="4" s="1"/>
  <c r="AB121" i="4" s="1"/>
  <c r="AB52" i="4"/>
  <c r="AB101" i="4"/>
  <c r="AB118" i="4" s="1"/>
  <c r="AB119" i="4" s="1"/>
  <c r="AB47" i="4"/>
  <c r="AB138" i="4" s="1"/>
  <c r="AB139" i="4" s="1"/>
  <c r="AB49" i="4"/>
  <c r="AB140" i="4" s="1"/>
  <c r="AB141" i="4" s="1"/>
  <c r="AB108" i="4"/>
  <c r="AB123" i="4" s="1"/>
  <c r="AB124" i="4" s="1"/>
  <c r="AB111" i="4"/>
  <c r="AB129" i="4" s="1"/>
  <c r="AB130" i="4" s="1"/>
  <c r="AB50" i="4"/>
  <c r="AB142" i="4" s="1"/>
  <c r="AB143" i="4" s="1"/>
  <c r="AB28" i="4"/>
  <c r="AB30" i="4" s="1"/>
  <c r="AB110" i="4"/>
  <c r="AB127" i="4" s="1"/>
  <c r="AB128" i="4" s="1"/>
  <c r="AB48" i="4"/>
  <c r="AD93" i="4"/>
  <c r="AD63" i="4"/>
  <c r="AD91" i="4"/>
  <c r="AD78" i="4"/>
  <c r="AD79" i="4"/>
  <c r="AD61" i="4"/>
  <c r="AD64" i="4"/>
  <c r="AD60" i="4"/>
  <c r="AD74" i="4"/>
  <c r="AD62" i="4"/>
  <c r="AD92" i="4"/>
  <c r="AD90" i="4"/>
  <c r="AD75" i="4"/>
  <c r="AD89" i="4"/>
  <c r="AD65" i="4"/>
  <c r="AD76" i="4"/>
  <c r="AD88" i="4"/>
  <c r="AD77" i="4"/>
  <c r="M167" i="15" l="1"/>
  <c r="N167" i="15" s="1"/>
  <c r="K167" i="15"/>
  <c r="AB29" i="4"/>
  <c r="Z25" i="4"/>
  <c r="AA109" i="4"/>
  <c r="AA125" i="4" s="1"/>
  <c r="AA126" i="4" s="1"/>
  <c r="AA99" i="4"/>
  <c r="AA114" i="4" s="1"/>
  <c r="AA115" i="4" s="1"/>
  <c r="AA52" i="4"/>
  <c r="AA101" i="4"/>
  <c r="AA118" i="4" s="1"/>
  <c r="AA119" i="4" s="1"/>
  <c r="AA102" i="4"/>
  <c r="AA120" i="4" s="1"/>
  <c r="AA121" i="4" s="1"/>
  <c r="AA51" i="4"/>
  <c r="AA100" i="4"/>
  <c r="AA116" i="4" s="1"/>
  <c r="AA117" i="4" s="1"/>
  <c r="AA47" i="4"/>
  <c r="AA138" i="4" s="1"/>
  <c r="AA139" i="4" s="1"/>
  <c r="AA111" i="4"/>
  <c r="AA129" i="4" s="1"/>
  <c r="AA130" i="4" s="1"/>
  <c r="AA108" i="4"/>
  <c r="AA123" i="4" s="1"/>
  <c r="AA124" i="4" s="1"/>
  <c r="AA110" i="4"/>
  <c r="AA127" i="4" s="1"/>
  <c r="AA128" i="4" s="1"/>
  <c r="AA48" i="4"/>
  <c r="AA50" i="4"/>
  <c r="AA142" i="4" s="1"/>
  <c r="AA143" i="4" s="1"/>
  <c r="AA28" i="4"/>
  <c r="AA30" i="4" s="1"/>
  <c r="AA49" i="4"/>
  <c r="AA140" i="4" s="1"/>
  <c r="AA141" i="4" s="1"/>
  <c r="AC88" i="4"/>
  <c r="AC62" i="4"/>
  <c r="AC60" i="4"/>
  <c r="AC78" i="4"/>
  <c r="AC90" i="4"/>
  <c r="AC75" i="4"/>
  <c r="AC93" i="4"/>
  <c r="AC92" i="4"/>
  <c r="AC61" i="4"/>
  <c r="AC63" i="4"/>
  <c r="AC89" i="4"/>
  <c r="AC91" i="4"/>
  <c r="AC74" i="4"/>
  <c r="AC76" i="4"/>
  <c r="AC77" i="4"/>
  <c r="AC64" i="4"/>
  <c r="AC79" i="4"/>
  <c r="AC65" i="4"/>
  <c r="D123" i="15" l="1"/>
  <c r="AT122" i="15"/>
  <c r="AA29" i="4"/>
  <c r="Y25" i="4"/>
  <c r="Z100" i="4"/>
  <c r="Z116" i="4" s="1"/>
  <c r="Z117" i="4" s="1"/>
  <c r="Z110" i="4"/>
  <c r="Z127" i="4" s="1"/>
  <c r="Z128" i="4" s="1"/>
  <c r="Z52" i="4"/>
  <c r="Z28" i="4"/>
  <c r="Z30" i="4" s="1"/>
  <c r="Z109" i="4"/>
  <c r="Z125" i="4" s="1"/>
  <c r="Z126" i="4" s="1"/>
  <c r="Z51" i="4"/>
  <c r="Z48" i="4"/>
  <c r="Z50" i="4"/>
  <c r="Z142" i="4" s="1"/>
  <c r="Z143" i="4" s="1"/>
  <c r="Z99" i="4"/>
  <c r="Z114" i="4" s="1"/>
  <c r="Z115" i="4" s="1"/>
  <c r="Z108" i="4"/>
  <c r="Z123" i="4" s="1"/>
  <c r="Z124" i="4" s="1"/>
  <c r="Z47" i="4"/>
  <c r="Z138" i="4" s="1"/>
  <c r="Z139" i="4" s="1"/>
  <c r="Z111" i="4"/>
  <c r="Z129" i="4" s="1"/>
  <c r="Z130" i="4" s="1"/>
  <c r="Z101" i="4"/>
  <c r="Z118" i="4" s="1"/>
  <c r="Z119" i="4" s="1"/>
  <c r="Z102" i="4"/>
  <c r="Z120" i="4" s="1"/>
  <c r="Z121" i="4" s="1"/>
  <c r="Z49" i="4"/>
  <c r="Z140" i="4" s="1"/>
  <c r="Z141" i="4" s="1"/>
  <c r="AB91" i="4"/>
  <c r="AB65" i="4"/>
  <c r="AB90" i="4"/>
  <c r="AB62" i="4"/>
  <c r="AB63" i="4"/>
  <c r="AB79" i="4"/>
  <c r="AB78" i="4"/>
  <c r="AB89" i="4"/>
  <c r="AB61" i="4"/>
  <c r="AB88" i="4"/>
  <c r="AB75" i="4"/>
  <c r="AB74" i="4"/>
  <c r="AB92" i="4"/>
  <c r="AB64" i="4"/>
  <c r="AB77" i="4"/>
  <c r="AB60" i="4"/>
  <c r="AB76" i="4"/>
  <c r="AB93" i="4"/>
  <c r="AT139" i="15" l="1"/>
  <c r="D124" i="15" s="1"/>
  <c r="AT123" i="15"/>
  <c r="AT134" i="15"/>
  <c r="AT132" i="15"/>
  <c r="AT133" i="15" s="1"/>
  <c r="X25" i="4"/>
  <c r="Y100" i="4"/>
  <c r="Y116" i="4" s="1"/>
  <c r="Y117" i="4" s="1"/>
  <c r="Y52" i="4"/>
  <c r="Y108" i="4"/>
  <c r="Y123" i="4" s="1"/>
  <c r="Y124" i="4" s="1"/>
  <c r="Y109" i="4"/>
  <c r="Y125" i="4" s="1"/>
  <c r="Y126" i="4" s="1"/>
  <c r="Y111" i="4"/>
  <c r="Y129" i="4" s="1"/>
  <c r="Y130" i="4" s="1"/>
  <c r="Y110" i="4"/>
  <c r="Y127" i="4" s="1"/>
  <c r="Y128" i="4" s="1"/>
  <c r="Y47" i="4"/>
  <c r="Y138" i="4" s="1"/>
  <c r="Y139" i="4" s="1"/>
  <c r="Y28" i="4"/>
  <c r="Y30" i="4" s="1"/>
  <c r="Y101" i="4"/>
  <c r="Y118" i="4" s="1"/>
  <c r="Y119" i="4" s="1"/>
  <c r="Y51" i="4"/>
  <c r="Y49" i="4"/>
  <c r="Y140" i="4" s="1"/>
  <c r="Y141" i="4" s="1"/>
  <c r="Y102" i="4"/>
  <c r="Y120" i="4" s="1"/>
  <c r="Y121" i="4" s="1"/>
  <c r="Y99" i="4"/>
  <c r="Y114" i="4" s="1"/>
  <c r="Y115" i="4" s="1"/>
  <c r="Y50" i="4"/>
  <c r="Y142" i="4" s="1"/>
  <c r="Y143" i="4" s="1"/>
  <c r="Y48" i="4"/>
  <c r="AA65" i="4"/>
  <c r="AA75" i="4"/>
  <c r="AA78" i="4"/>
  <c r="AA89" i="4"/>
  <c r="AA90" i="4"/>
  <c r="AA77" i="4"/>
  <c r="AA93" i="4"/>
  <c r="AA91" i="4"/>
  <c r="AA60" i="4"/>
  <c r="AA79" i="4"/>
  <c r="AA63" i="4"/>
  <c r="AA62" i="4"/>
  <c r="AA88" i="4"/>
  <c r="AA76" i="4"/>
  <c r="AA64" i="4"/>
  <c r="AA61" i="4"/>
  <c r="AA74" i="4"/>
  <c r="AA92" i="4"/>
  <c r="Z29" i="4"/>
  <c r="AT126" i="15" l="1"/>
  <c r="AT138" i="15"/>
  <c r="Y29" i="4"/>
  <c r="W25" i="4"/>
  <c r="X109" i="4"/>
  <c r="X125" i="4" s="1"/>
  <c r="X126" i="4" s="1"/>
  <c r="X47" i="4"/>
  <c r="X138" i="4" s="1"/>
  <c r="X139" i="4" s="1"/>
  <c r="X102" i="4"/>
  <c r="X120" i="4" s="1"/>
  <c r="X121" i="4" s="1"/>
  <c r="X100" i="4"/>
  <c r="X116" i="4" s="1"/>
  <c r="X117" i="4" s="1"/>
  <c r="X51" i="4"/>
  <c r="X101" i="4"/>
  <c r="X118" i="4" s="1"/>
  <c r="X119" i="4" s="1"/>
  <c r="X50" i="4"/>
  <c r="X142" i="4" s="1"/>
  <c r="X143" i="4" s="1"/>
  <c r="X49" i="4"/>
  <c r="X140" i="4" s="1"/>
  <c r="X141" i="4" s="1"/>
  <c r="X99" i="4"/>
  <c r="X114" i="4" s="1"/>
  <c r="X115" i="4" s="1"/>
  <c r="X108" i="4"/>
  <c r="X123" i="4" s="1"/>
  <c r="X124" i="4" s="1"/>
  <c r="X28" i="4"/>
  <c r="X30" i="4" s="1"/>
  <c r="X48" i="4"/>
  <c r="X52" i="4"/>
  <c r="X110" i="4"/>
  <c r="X127" i="4" s="1"/>
  <c r="X128" i="4" s="1"/>
  <c r="X111" i="4"/>
  <c r="X129" i="4" s="1"/>
  <c r="X130" i="4" s="1"/>
  <c r="Z90" i="4"/>
  <c r="Z60" i="4"/>
  <c r="Z89" i="4"/>
  <c r="Z64" i="4"/>
  <c r="Z88" i="4"/>
  <c r="Z79" i="4"/>
  <c r="Z61" i="4"/>
  <c r="Z75" i="4"/>
  <c r="Z74" i="4"/>
  <c r="Z65" i="4"/>
  <c r="Z91" i="4"/>
  <c r="Z93" i="4"/>
  <c r="Z77" i="4"/>
  <c r="Z76" i="4"/>
  <c r="Z78" i="4"/>
  <c r="Z62" i="4"/>
  <c r="Z63" i="4"/>
  <c r="Z92" i="4"/>
  <c r="V25" i="4" l="1"/>
  <c r="W110" i="4"/>
  <c r="W127" i="4" s="1"/>
  <c r="W128" i="4" s="1"/>
  <c r="W47" i="4"/>
  <c r="W138" i="4" s="1"/>
  <c r="W139" i="4" s="1"/>
  <c r="W49" i="4"/>
  <c r="W140" i="4" s="1"/>
  <c r="W141" i="4" s="1"/>
  <c r="W52" i="4"/>
  <c r="W100" i="4"/>
  <c r="W116" i="4" s="1"/>
  <c r="W117" i="4" s="1"/>
  <c r="W50" i="4"/>
  <c r="W142" i="4" s="1"/>
  <c r="W143" i="4" s="1"/>
  <c r="W109" i="4"/>
  <c r="W125" i="4" s="1"/>
  <c r="W126" i="4" s="1"/>
  <c r="W111" i="4"/>
  <c r="W129" i="4" s="1"/>
  <c r="W130" i="4" s="1"/>
  <c r="W28" i="4"/>
  <c r="W30" i="4" s="1"/>
  <c r="W102" i="4"/>
  <c r="W120" i="4" s="1"/>
  <c r="W121" i="4" s="1"/>
  <c r="W51" i="4"/>
  <c r="W99" i="4"/>
  <c r="W114" i="4" s="1"/>
  <c r="W115" i="4" s="1"/>
  <c r="W48" i="4"/>
  <c r="W108" i="4"/>
  <c r="W123" i="4" s="1"/>
  <c r="W124" i="4" s="1"/>
  <c r="W101" i="4"/>
  <c r="W118" i="4" s="1"/>
  <c r="W119" i="4" s="1"/>
  <c r="Y91" i="4"/>
  <c r="Y75" i="4"/>
  <c r="Y63" i="4"/>
  <c r="Y89" i="4"/>
  <c r="Y78" i="4"/>
  <c r="Y62" i="4"/>
  <c r="Y93" i="4"/>
  <c r="Y74" i="4"/>
  <c r="Y90" i="4"/>
  <c r="Y76" i="4"/>
  <c r="Y65" i="4"/>
  <c r="Y92" i="4"/>
  <c r="Y77" i="4"/>
  <c r="Y61" i="4"/>
  <c r="Y64" i="4"/>
  <c r="Y60" i="4"/>
  <c r="Y79" i="4"/>
  <c r="Y88" i="4"/>
  <c r="X29" i="4"/>
  <c r="W29" i="4" l="1"/>
  <c r="X90" i="4"/>
  <c r="X64" i="4"/>
  <c r="X63" i="4"/>
  <c r="X62" i="4"/>
  <c r="X74" i="4"/>
  <c r="X93" i="4"/>
  <c r="X89" i="4"/>
  <c r="X78" i="4"/>
  <c r="X77" i="4"/>
  <c r="X92" i="4"/>
  <c r="X91" i="4"/>
  <c r="X76" i="4"/>
  <c r="X65" i="4"/>
  <c r="X79" i="4"/>
  <c r="X61" i="4"/>
  <c r="X88" i="4"/>
  <c r="X75" i="4"/>
  <c r="X60" i="4"/>
  <c r="U25" i="4"/>
  <c r="V50" i="4"/>
  <c r="V142" i="4" s="1"/>
  <c r="V143" i="4" s="1"/>
  <c r="V110" i="4"/>
  <c r="V127" i="4" s="1"/>
  <c r="V128" i="4" s="1"/>
  <c r="V52" i="4"/>
  <c r="V102" i="4"/>
  <c r="V120" i="4" s="1"/>
  <c r="V121" i="4" s="1"/>
  <c r="V99" i="4"/>
  <c r="V114" i="4" s="1"/>
  <c r="V115" i="4" s="1"/>
  <c r="V28" i="4"/>
  <c r="V30" i="4" s="1"/>
  <c r="V101" i="4"/>
  <c r="V118" i="4" s="1"/>
  <c r="V119" i="4" s="1"/>
  <c r="V47" i="4"/>
  <c r="V138" i="4" s="1"/>
  <c r="V139" i="4" s="1"/>
  <c r="V108" i="4"/>
  <c r="V123" i="4" s="1"/>
  <c r="V124" i="4" s="1"/>
  <c r="V100" i="4"/>
  <c r="V116" i="4" s="1"/>
  <c r="V117" i="4" s="1"/>
  <c r="V49" i="4"/>
  <c r="V140" i="4" s="1"/>
  <c r="V141" i="4" s="1"/>
  <c r="V111" i="4"/>
  <c r="V129" i="4" s="1"/>
  <c r="V130" i="4" s="1"/>
  <c r="V109" i="4"/>
  <c r="V125" i="4" s="1"/>
  <c r="V126" i="4" s="1"/>
  <c r="V48" i="4"/>
  <c r="V51" i="4"/>
  <c r="V29" i="4" l="1"/>
  <c r="T25" i="4"/>
  <c r="U48" i="4"/>
  <c r="U51" i="4"/>
  <c r="U28" i="4"/>
  <c r="U30" i="4" s="1"/>
  <c r="U49" i="4"/>
  <c r="U140" i="4" s="1"/>
  <c r="U141" i="4" s="1"/>
  <c r="U110" i="4"/>
  <c r="U127" i="4" s="1"/>
  <c r="U128" i="4" s="1"/>
  <c r="U102" i="4"/>
  <c r="U120" i="4" s="1"/>
  <c r="U121" i="4" s="1"/>
  <c r="U52" i="4"/>
  <c r="U47" i="4"/>
  <c r="U138" i="4" s="1"/>
  <c r="U139" i="4" s="1"/>
  <c r="U101" i="4"/>
  <c r="U118" i="4" s="1"/>
  <c r="U119" i="4" s="1"/>
  <c r="U111" i="4"/>
  <c r="U129" i="4" s="1"/>
  <c r="U130" i="4" s="1"/>
  <c r="U109" i="4"/>
  <c r="U125" i="4" s="1"/>
  <c r="U126" i="4" s="1"/>
  <c r="U99" i="4"/>
  <c r="U114" i="4" s="1"/>
  <c r="U115" i="4" s="1"/>
  <c r="U108" i="4"/>
  <c r="U123" i="4" s="1"/>
  <c r="U124" i="4" s="1"/>
  <c r="U50" i="4"/>
  <c r="U142" i="4" s="1"/>
  <c r="U143" i="4" s="1"/>
  <c r="U100" i="4"/>
  <c r="U116" i="4" s="1"/>
  <c r="U117" i="4" s="1"/>
  <c r="W90" i="4"/>
  <c r="W65" i="4"/>
  <c r="W91" i="4"/>
  <c r="W77" i="4"/>
  <c r="W92" i="4"/>
  <c r="W62" i="4"/>
  <c r="W75" i="4"/>
  <c r="W76" i="4"/>
  <c r="W63" i="4"/>
  <c r="W64" i="4"/>
  <c r="W89" i="4"/>
  <c r="W93" i="4"/>
  <c r="W74" i="4"/>
  <c r="W79" i="4"/>
  <c r="W61" i="4"/>
  <c r="W78" i="4"/>
  <c r="W60" i="4"/>
  <c r="W88" i="4"/>
  <c r="V89" i="4" l="1"/>
  <c r="V74" i="4"/>
  <c r="V92" i="4"/>
  <c r="V65" i="4"/>
  <c r="V64" i="4"/>
  <c r="V90" i="4"/>
  <c r="V63" i="4"/>
  <c r="V93" i="4"/>
  <c r="V76" i="4"/>
  <c r="V88" i="4"/>
  <c r="V60" i="4"/>
  <c r="V75" i="4"/>
  <c r="V79" i="4"/>
  <c r="V78" i="4"/>
  <c r="V62" i="4"/>
  <c r="V91" i="4"/>
  <c r="V77" i="4"/>
  <c r="V61" i="4"/>
  <c r="S25" i="4"/>
  <c r="T108" i="4"/>
  <c r="T123" i="4" s="1"/>
  <c r="T124" i="4" s="1"/>
  <c r="T102" i="4"/>
  <c r="T120" i="4" s="1"/>
  <c r="T121" i="4" s="1"/>
  <c r="T99" i="4"/>
  <c r="T114" i="4" s="1"/>
  <c r="T115" i="4" s="1"/>
  <c r="T109" i="4"/>
  <c r="T125" i="4" s="1"/>
  <c r="T126" i="4" s="1"/>
  <c r="T50" i="4"/>
  <c r="T142" i="4" s="1"/>
  <c r="T143" i="4" s="1"/>
  <c r="T49" i="4"/>
  <c r="T140" i="4" s="1"/>
  <c r="T141" i="4" s="1"/>
  <c r="T28" i="4"/>
  <c r="T30" i="4" s="1"/>
  <c r="T111" i="4"/>
  <c r="T129" i="4" s="1"/>
  <c r="T130" i="4" s="1"/>
  <c r="T101" i="4"/>
  <c r="T118" i="4" s="1"/>
  <c r="T119" i="4" s="1"/>
  <c r="T47" i="4"/>
  <c r="T138" i="4" s="1"/>
  <c r="T139" i="4" s="1"/>
  <c r="T110" i="4"/>
  <c r="T127" i="4" s="1"/>
  <c r="T128" i="4" s="1"/>
  <c r="T52" i="4"/>
  <c r="T51" i="4"/>
  <c r="T48" i="4"/>
  <c r="T100" i="4"/>
  <c r="T116" i="4" s="1"/>
  <c r="T117" i="4" s="1"/>
  <c r="U29" i="4"/>
  <c r="T29" i="4" l="1"/>
  <c r="U65" i="4"/>
  <c r="U75" i="4"/>
  <c r="U91" i="4"/>
  <c r="U93" i="4"/>
  <c r="U92" i="4"/>
  <c r="U88" i="4"/>
  <c r="U78" i="4"/>
  <c r="U74" i="4"/>
  <c r="U64" i="4"/>
  <c r="U60" i="4"/>
  <c r="U76" i="4"/>
  <c r="U61" i="4"/>
  <c r="U62" i="4"/>
  <c r="U77" i="4"/>
  <c r="U90" i="4"/>
  <c r="U63" i="4"/>
  <c r="U79" i="4"/>
  <c r="U89" i="4"/>
  <c r="R25" i="4"/>
  <c r="S100" i="4"/>
  <c r="S116" i="4" s="1"/>
  <c r="S117" i="4" s="1"/>
  <c r="S108" i="4"/>
  <c r="S123" i="4" s="1"/>
  <c r="S124" i="4" s="1"/>
  <c r="S28" i="4"/>
  <c r="S30" i="4" s="1"/>
  <c r="S52" i="4"/>
  <c r="S101" i="4"/>
  <c r="S118" i="4" s="1"/>
  <c r="S119" i="4" s="1"/>
  <c r="S50" i="4"/>
  <c r="S142" i="4" s="1"/>
  <c r="S143" i="4" s="1"/>
  <c r="S109" i="4"/>
  <c r="S125" i="4" s="1"/>
  <c r="S126" i="4" s="1"/>
  <c r="S51" i="4"/>
  <c r="S102" i="4"/>
  <c r="S120" i="4" s="1"/>
  <c r="S121" i="4" s="1"/>
  <c r="S47" i="4"/>
  <c r="S138" i="4" s="1"/>
  <c r="S139" i="4" s="1"/>
  <c r="S110" i="4"/>
  <c r="S127" i="4" s="1"/>
  <c r="S128" i="4" s="1"/>
  <c r="S48" i="4"/>
  <c r="S111" i="4"/>
  <c r="S129" i="4" s="1"/>
  <c r="S130" i="4" s="1"/>
  <c r="S49" i="4"/>
  <c r="S140" i="4" s="1"/>
  <c r="S141" i="4" s="1"/>
  <c r="S99" i="4"/>
  <c r="S114" i="4" s="1"/>
  <c r="S115" i="4" s="1"/>
  <c r="S29" i="4" l="1"/>
  <c r="Q25" i="4"/>
  <c r="R111" i="4"/>
  <c r="R129" i="4" s="1"/>
  <c r="R130" i="4" s="1"/>
  <c r="R51" i="4"/>
  <c r="R110" i="4"/>
  <c r="R127" i="4" s="1"/>
  <c r="R128" i="4" s="1"/>
  <c r="R100" i="4"/>
  <c r="R116" i="4" s="1"/>
  <c r="R117" i="4" s="1"/>
  <c r="R109" i="4"/>
  <c r="R125" i="4" s="1"/>
  <c r="R126" i="4" s="1"/>
  <c r="R108" i="4"/>
  <c r="R123" i="4" s="1"/>
  <c r="R124" i="4" s="1"/>
  <c r="R102" i="4"/>
  <c r="R120" i="4" s="1"/>
  <c r="R121" i="4" s="1"/>
  <c r="R48" i="4"/>
  <c r="R101" i="4"/>
  <c r="R118" i="4" s="1"/>
  <c r="R119" i="4" s="1"/>
  <c r="R50" i="4"/>
  <c r="R142" i="4" s="1"/>
  <c r="R143" i="4" s="1"/>
  <c r="R47" i="4"/>
  <c r="R138" i="4" s="1"/>
  <c r="R139" i="4" s="1"/>
  <c r="R99" i="4"/>
  <c r="R114" i="4" s="1"/>
  <c r="R115" i="4" s="1"/>
  <c r="R52" i="4"/>
  <c r="R49" i="4"/>
  <c r="R140" i="4" s="1"/>
  <c r="R141" i="4" s="1"/>
  <c r="R28" i="4"/>
  <c r="R30" i="4" s="1"/>
  <c r="T88" i="4"/>
  <c r="T76" i="4"/>
  <c r="T79" i="4"/>
  <c r="T90" i="4"/>
  <c r="T77" i="4"/>
  <c r="T92" i="4"/>
  <c r="T91" i="4"/>
  <c r="T64" i="4"/>
  <c r="T75" i="4"/>
  <c r="T65" i="4"/>
  <c r="T89" i="4"/>
  <c r="T74" i="4"/>
  <c r="T61" i="4"/>
  <c r="T93" i="4"/>
  <c r="T63" i="4"/>
  <c r="T60" i="4"/>
  <c r="T62" i="4"/>
  <c r="T78" i="4"/>
  <c r="R29" i="4" l="1"/>
  <c r="P25" i="4"/>
  <c r="Q111" i="4"/>
  <c r="Q129" i="4" s="1"/>
  <c r="Q130" i="4" s="1"/>
  <c r="Q108" i="4"/>
  <c r="Q123" i="4" s="1"/>
  <c r="Q124" i="4" s="1"/>
  <c r="Q47" i="4"/>
  <c r="Q138" i="4" s="1"/>
  <c r="Q139" i="4" s="1"/>
  <c r="Q28" i="4"/>
  <c r="Q30" i="4" s="1"/>
  <c r="Q49" i="4"/>
  <c r="Q140" i="4" s="1"/>
  <c r="Q141" i="4" s="1"/>
  <c r="Q51" i="4"/>
  <c r="Q109" i="4"/>
  <c r="Q125" i="4" s="1"/>
  <c r="Q126" i="4" s="1"/>
  <c r="Q99" i="4"/>
  <c r="Q114" i="4" s="1"/>
  <c r="Q115" i="4" s="1"/>
  <c r="Q50" i="4"/>
  <c r="Q142" i="4" s="1"/>
  <c r="Q143" i="4" s="1"/>
  <c r="Q48" i="4"/>
  <c r="Q101" i="4"/>
  <c r="Q118" i="4" s="1"/>
  <c r="Q119" i="4" s="1"/>
  <c r="Q110" i="4"/>
  <c r="Q127" i="4" s="1"/>
  <c r="Q128" i="4" s="1"/>
  <c r="Q100" i="4"/>
  <c r="Q116" i="4" s="1"/>
  <c r="Q117" i="4" s="1"/>
  <c r="Q102" i="4"/>
  <c r="Q120" i="4" s="1"/>
  <c r="Q121" i="4" s="1"/>
  <c r="Q52" i="4"/>
  <c r="S63" i="4"/>
  <c r="S75" i="4"/>
  <c r="S78" i="4"/>
  <c r="S62" i="4"/>
  <c r="S90" i="4"/>
  <c r="S93" i="4"/>
  <c r="S60" i="4"/>
  <c r="S89" i="4"/>
  <c r="S61" i="4"/>
  <c r="S91" i="4"/>
  <c r="S74" i="4"/>
  <c r="S92" i="4"/>
  <c r="S79" i="4"/>
  <c r="S76" i="4"/>
  <c r="S64" i="4"/>
  <c r="S77" i="4"/>
  <c r="S88" i="4"/>
  <c r="S65" i="4"/>
  <c r="Q29" i="4" l="1"/>
  <c r="O25" i="4"/>
  <c r="P102" i="4"/>
  <c r="P120" i="4" s="1"/>
  <c r="P121" i="4" s="1"/>
  <c r="P51" i="4"/>
  <c r="P111" i="4"/>
  <c r="P129" i="4" s="1"/>
  <c r="P130" i="4" s="1"/>
  <c r="P49" i="4"/>
  <c r="P140" i="4" s="1"/>
  <c r="P141" i="4" s="1"/>
  <c r="P50" i="4"/>
  <c r="P142" i="4" s="1"/>
  <c r="P143" i="4" s="1"/>
  <c r="P101" i="4"/>
  <c r="P118" i="4" s="1"/>
  <c r="P119" i="4" s="1"/>
  <c r="P109" i="4"/>
  <c r="P125" i="4" s="1"/>
  <c r="P126" i="4" s="1"/>
  <c r="P28" i="4"/>
  <c r="P30" i="4" s="1"/>
  <c r="P52" i="4"/>
  <c r="P110" i="4"/>
  <c r="P127" i="4" s="1"/>
  <c r="P128" i="4" s="1"/>
  <c r="P48" i="4"/>
  <c r="P47" i="4"/>
  <c r="P138" i="4" s="1"/>
  <c r="P139" i="4" s="1"/>
  <c r="P108" i="4"/>
  <c r="P123" i="4" s="1"/>
  <c r="P124" i="4" s="1"/>
  <c r="P100" i="4"/>
  <c r="P116" i="4" s="1"/>
  <c r="P117" i="4" s="1"/>
  <c r="P99" i="4"/>
  <c r="P114" i="4" s="1"/>
  <c r="P115" i="4" s="1"/>
  <c r="R92" i="4"/>
  <c r="R76" i="4"/>
  <c r="R78" i="4"/>
  <c r="R93" i="4"/>
  <c r="R65" i="4"/>
  <c r="R74" i="4"/>
  <c r="R90" i="4"/>
  <c r="R62" i="4"/>
  <c r="R89" i="4"/>
  <c r="R77" i="4"/>
  <c r="R63" i="4"/>
  <c r="R88" i="4"/>
  <c r="R61" i="4"/>
  <c r="R91" i="4"/>
  <c r="R75" i="4"/>
  <c r="R64" i="4"/>
  <c r="R60" i="4"/>
  <c r="R79" i="4"/>
  <c r="P29" i="4" l="1"/>
  <c r="N25" i="4"/>
  <c r="O110" i="4"/>
  <c r="O127" i="4" s="1"/>
  <c r="O128" i="4" s="1"/>
  <c r="O28" i="4"/>
  <c r="O30" i="4" s="1"/>
  <c r="O111" i="4"/>
  <c r="O129" i="4" s="1"/>
  <c r="O130" i="4" s="1"/>
  <c r="O52" i="4"/>
  <c r="O48" i="4"/>
  <c r="O100" i="4"/>
  <c r="O116" i="4" s="1"/>
  <c r="O117" i="4" s="1"/>
  <c r="O102" i="4"/>
  <c r="O120" i="4" s="1"/>
  <c r="O121" i="4" s="1"/>
  <c r="O101" i="4"/>
  <c r="O118" i="4" s="1"/>
  <c r="O119" i="4" s="1"/>
  <c r="O47" i="4"/>
  <c r="O138" i="4" s="1"/>
  <c r="O139" i="4" s="1"/>
  <c r="O109" i="4"/>
  <c r="O125" i="4" s="1"/>
  <c r="O126" i="4" s="1"/>
  <c r="O99" i="4"/>
  <c r="O114" i="4" s="1"/>
  <c r="O115" i="4" s="1"/>
  <c r="O108" i="4"/>
  <c r="O123" i="4" s="1"/>
  <c r="O124" i="4" s="1"/>
  <c r="O49" i="4"/>
  <c r="O140" i="4" s="1"/>
  <c r="O141" i="4" s="1"/>
  <c r="O50" i="4"/>
  <c r="O142" i="4" s="1"/>
  <c r="O143" i="4" s="1"/>
  <c r="O51" i="4"/>
  <c r="Q76" i="4"/>
  <c r="Q61" i="4"/>
  <c r="Q77" i="4"/>
  <c r="Q62" i="4"/>
  <c r="Q63" i="4"/>
  <c r="Q88" i="4"/>
  <c r="Q74" i="4"/>
  <c r="Q65" i="4"/>
  <c r="Q89" i="4"/>
  <c r="Q91" i="4"/>
  <c r="Q78" i="4"/>
  <c r="Q92" i="4"/>
  <c r="Q75" i="4"/>
  <c r="Q93" i="4"/>
  <c r="Q60" i="4"/>
  <c r="Q64" i="4"/>
  <c r="Q79" i="4"/>
  <c r="Q90" i="4"/>
  <c r="O29" i="4" l="1"/>
  <c r="M25" i="4"/>
  <c r="N50" i="4"/>
  <c r="N142" i="4" s="1"/>
  <c r="N143" i="4" s="1"/>
  <c r="N101" i="4"/>
  <c r="N118" i="4" s="1"/>
  <c r="N119" i="4" s="1"/>
  <c r="N28" i="4"/>
  <c r="N30" i="4" s="1"/>
  <c r="N100" i="4"/>
  <c r="N116" i="4" s="1"/>
  <c r="N117" i="4" s="1"/>
  <c r="N52" i="4"/>
  <c r="N102" i="4"/>
  <c r="N120" i="4" s="1"/>
  <c r="N121" i="4" s="1"/>
  <c r="N49" i="4"/>
  <c r="N140" i="4" s="1"/>
  <c r="N141" i="4" s="1"/>
  <c r="N99" i="4"/>
  <c r="N114" i="4" s="1"/>
  <c r="N115" i="4" s="1"/>
  <c r="N48" i="4"/>
  <c r="N109" i="4"/>
  <c r="N125" i="4" s="1"/>
  <c r="N126" i="4" s="1"/>
  <c r="N51" i="4"/>
  <c r="N108" i="4"/>
  <c r="N123" i="4" s="1"/>
  <c r="N124" i="4" s="1"/>
  <c r="N110" i="4"/>
  <c r="N127" i="4" s="1"/>
  <c r="N128" i="4" s="1"/>
  <c r="N111" i="4"/>
  <c r="N129" i="4" s="1"/>
  <c r="N130" i="4" s="1"/>
  <c r="N47" i="4"/>
  <c r="N138" i="4" s="1"/>
  <c r="N139" i="4" s="1"/>
  <c r="P93" i="4"/>
  <c r="P63" i="4"/>
  <c r="P62" i="4"/>
  <c r="P61" i="4"/>
  <c r="P78" i="4"/>
  <c r="P74" i="4"/>
  <c r="P79" i="4"/>
  <c r="P60" i="4"/>
  <c r="P75" i="4"/>
  <c r="P88" i="4"/>
  <c r="P92" i="4"/>
  <c r="P65" i="4"/>
  <c r="P90" i="4"/>
  <c r="P91" i="4"/>
  <c r="P77" i="4"/>
  <c r="P89" i="4"/>
  <c r="P64" i="4"/>
  <c r="P76" i="4"/>
  <c r="L25" i="4" l="1"/>
  <c r="M52" i="4"/>
  <c r="M50" i="4"/>
  <c r="M142" i="4" s="1"/>
  <c r="M143" i="4" s="1"/>
  <c r="M49" i="4"/>
  <c r="M140" i="4" s="1"/>
  <c r="M141" i="4" s="1"/>
  <c r="M28" i="4"/>
  <c r="M30" i="4" s="1"/>
  <c r="M51" i="4"/>
  <c r="M47" i="4"/>
  <c r="M138" i="4" s="1"/>
  <c r="M139" i="4" s="1"/>
  <c r="M102" i="4"/>
  <c r="M120" i="4" s="1"/>
  <c r="M121" i="4" s="1"/>
  <c r="M108" i="4"/>
  <c r="M123" i="4" s="1"/>
  <c r="M124" i="4" s="1"/>
  <c r="M101" i="4"/>
  <c r="M118" i="4" s="1"/>
  <c r="M119" i="4" s="1"/>
  <c r="M99" i="4"/>
  <c r="M114" i="4" s="1"/>
  <c r="M115" i="4" s="1"/>
  <c r="M100" i="4"/>
  <c r="M116" i="4" s="1"/>
  <c r="M117" i="4" s="1"/>
  <c r="M110" i="4"/>
  <c r="M127" i="4" s="1"/>
  <c r="M128" i="4" s="1"/>
  <c r="M109" i="4"/>
  <c r="M125" i="4" s="1"/>
  <c r="M126" i="4" s="1"/>
  <c r="M48" i="4"/>
  <c r="M111" i="4"/>
  <c r="M129" i="4" s="1"/>
  <c r="M130" i="4" s="1"/>
  <c r="O78" i="4"/>
  <c r="O89" i="4"/>
  <c r="O90" i="4"/>
  <c r="O92" i="4"/>
  <c r="O62" i="4"/>
  <c r="O74" i="4"/>
  <c r="O64" i="4"/>
  <c r="O79" i="4"/>
  <c r="O63" i="4"/>
  <c r="O88" i="4"/>
  <c r="O76" i="4"/>
  <c r="O65" i="4"/>
  <c r="O91" i="4"/>
  <c r="O77" i="4"/>
  <c r="O61" i="4"/>
  <c r="O75" i="4"/>
  <c r="O60" i="4"/>
  <c r="O93" i="4"/>
  <c r="N29" i="4"/>
  <c r="N60" i="4" l="1"/>
  <c r="N93" i="4"/>
  <c r="N76" i="4"/>
  <c r="N62" i="4"/>
  <c r="N77" i="4"/>
  <c r="N91" i="4"/>
  <c r="N63" i="4"/>
  <c r="N61" i="4"/>
  <c r="N74" i="4"/>
  <c r="N89" i="4"/>
  <c r="N90" i="4"/>
  <c r="N75" i="4"/>
  <c r="N78" i="4"/>
  <c r="N65" i="4"/>
  <c r="N79" i="4"/>
  <c r="N92" i="4"/>
  <c r="N64" i="4"/>
  <c r="N88" i="4"/>
  <c r="K25" i="4"/>
  <c r="L100" i="4"/>
  <c r="L116" i="4" s="1"/>
  <c r="L117" i="4" s="1"/>
  <c r="L102" i="4"/>
  <c r="L120" i="4" s="1"/>
  <c r="L121" i="4" s="1"/>
  <c r="L52" i="4"/>
  <c r="L108" i="4"/>
  <c r="L123" i="4" s="1"/>
  <c r="L124" i="4" s="1"/>
  <c r="L51" i="4"/>
  <c r="L28" i="4"/>
  <c r="L30" i="4" s="1"/>
  <c r="L111" i="4"/>
  <c r="L129" i="4" s="1"/>
  <c r="L130" i="4" s="1"/>
  <c r="L109" i="4"/>
  <c r="L125" i="4" s="1"/>
  <c r="L126" i="4" s="1"/>
  <c r="L101" i="4"/>
  <c r="L118" i="4" s="1"/>
  <c r="L119" i="4" s="1"/>
  <c r="L99" i="4"/>
  <c r="L114" i="4" s="1"/>
  <c r="L115" i="4" s="1"/>
  <c r="L48" i="4"/>
  <c r="L49" i="4"/>
  <c r="L140" i="4" s="1"/>
  <c r="L141" i="4" s="1"/>
  <c r="L47" i="4"/>
  <c r="L138" i="4" s="1"/>
  <c r="L139" i="4" s="1"/>
  <c r="L110" i="4"/>
  <c r="L127" i="4" s="1"/>
  <c r="L128" i="4" s="1"/>
  <c r="L50" i="4"/>
  <c r="L142" i="4" s="1"/>
  <c r="L143" i="4" s="1"/>
  <c r="M29" i="4"/>
  <c r="L29" i="4" l="1"/>
  <c r="J25" i="4"/>
  <c r="K101" i="4"/>
  <c r="K118" i="4" s="1"/>
  <c r="K119" i="4" s="1"/>
  <c r="K49" i="4"/>
  <c r="K140" i="4" s="1"/>
  <c r="K141" i="4" s="1"/>
  <c r="K109" i="4"/>
  <c r="K125" i="4" s="1"/>
  <c r="K126" i="4" s="1"/>
  <c r="K48" i="4"/>
  <c r="K52" i="4"/>
  <c r="K102" i="4"/>
  <c r="K120" i="4" s="1"/>
  <c r="K121" i="4" s="1"/>
  <c r="K50" i="4"/>
  <c r="K142" i="4" s="1"/>
  <c r="K143" i="4" s="1"/>
  <c r="K108" i="4"/>
  <c r="K123" i="4" s="1"/>
  <c r="K124" i="4" s="1"/>
  <c r="K28" i="4"/>
  <c r="K30" i="4" s="1"/>
  <c r="K51" i="4"/>
  <c r="K111" i="4"/>
  <c r="K129" i="4" s="1"/>
  <c r="K130" i="4" s="1"/>
  <c r="K110" i="4"/>
  <c r="K127" i="4" s="1"/>
  <c r="K128" i="4" s="1"/>
  <c r="K47" i="4"/>
  <c r="K138" i="4" s="1"/>
  <c r="K139" i="4" s="1"/>
  <c r="K99" i="4"/>
  <c r="K114" i="4" s="1"/>
  <c r="K115" i="4" s="1"/>
  <c r="K100" i="4"/>
  <c r="K116" i="4" s="1"/>
  <c r="K117" i="4" s="1"/>
  <c r="M90" i="4"/>
  <c r="M64" i="4"/>
  <c r="M65" i="4"/>
  <c r="M88" i="4"/>
  <c r="M91" i="4"/>
  <c r="M93" i="4"/>
  <c r="M61" i="4"/>
  <c r="M78" i="4"/>
  <c r="M75" i="4"/>
  <c r="M62" i="4"/>
  <c r="M77" i="4"/>
  <c r="M63" i="4"/>
  <c r="M92" i="4"/>
  <c r="M74" i="4"/>
  <c r="M60" i="4"/>
  <c r="M76" i="4"/>
  <c r="M89" i="4"/>
  <c r="M79" i="4"/>
  <c r="K29" i="4" l="1"/>
  <c r="I25" i="4"/>
  <c r="J101" i="4"/>
  <c r="J118" i="4" s="1"/>
  <c r="J119" i="4" s="1"/>
  <c r="J50" i="4"/>
  <c r="J142" i="4" s="1"/>
  <c r="J143" i="4" s="1"/>
  <c r="J52" i="4"/>
  <c r="J108" i="4"/>
  <c r="J123" i="4" s="1"/>
  <c r="J124" i="4" s="1"/>
  <c r="J51" i="4"/>
  <c r="J100" i="4"/>
  <c r="J116" i="4" s="1"/>
  <c r="J117" i="4" s="1"/>
  <c r="J110" i="4"/>
  <c r="J127" i="4" s="1"/>
  <c r="J128" i="4" s="1"/>
  <c r="J48" i="4"/>
  <c r="J109" i="4"/>
  <c r="J125" i="4" s="1"/>
  <c r="J126" i="4" s="1"/>
  <c r="J102" i="4"/>
  <c r="J120" i="4" s="1"/>
  <c r="J121" i="4" s="1"/>
  <c r="J28" i="4"/>
  <c r="J30" i="4" s="1"/>
  <c r="J49" i="4"/>
  <c r="J140" i="4" s="1"/>
  <c r="J141" i="4" s="1"/>
  <c r="J111" i="4"/>
  <c r="J129" i="4" s="1"/>
  <c r="J130" i="4" s="1"/>
  <c r="J99" i="4"/>
  <c r="J114" i="4" s="1"/>
  <c r="J115" i="4" s="1"/>
  <c r="J47" i="4"/>
  <c r="J138" i="4" s="1"/>
  <c r="J139" i="4" s="1"/>
  <c r="L61" i="4"/>
  <c r="L90" i="4"/>
  <c r="L89" i="4"/>
  <c r="L92" i="4"/>
  <c r="L75" i="4"/>
  <c r="L78" i="4"/>
  <c r="L60" i="4"/>
  <c r="L65" i="4"/>
  <c r="L74" i="4"/>
  <c r="L64" i="4"/>
  <c r="L63" i="4"/>
  <c r="L62" i="4"/>
  <c r="L93" i="4"/>
  <c r="L88" i="4"/>
  <c r="L91" i="4"/>
  <c r="L76" i="4"/>
  <c r="L79" i="4"/>
  <c r="L77" i="4"/>
  <c r="H25" i="4" l="1"/>
  <c r="I99" i="4"/>
  <c r="I114" i="4" s="1"/>
  <c r="I115" i="4" s="1"/>
  <c r="I108" i="4"/>
  <c r="I123" i="4" s="1"/>
  <c r="I124" i="4" s="1"/>
  <c r="I100" i="4"/>
  <c r="I116" i="4" s="1"/>
  <c r="I117" i="4" s="1"/>
  <c r="I28" i="4"/>
  <c r="I30" i="4" s="1"/>
  <c r="I101" i="4"/>
  <c r="I118" i="4" s="1"/>
  <c r="I119" i="4" s="1"/>
  <c r="I51" i="4"/>
  <c r="I111" i="4"/>
  <c r="I129" i="4" s="1"/>
  <c r="I130" i="4" s="1"/>
  <c r="I48" i="4"/>
  <c r="I109" i="4"/>
  <c r="I125" i="4" s="1"/>
  <c r="I126" i="4" s="1"/>
  <c r="I110" i="4"/>
  <c r="I127" i="4" s="1"/>
  <c r="I128" i="4" s="1"/>
  <c r="I49" i="4"/>
  <c r="I140" i="4" s="1"/>
  <c r="I141" i="4" s="1"/>
  <c r="I50" i="4"/>
  <c r="I142" i="4" s="1"/>
  <c r="I143" i="4" s="1"/>
  <c r="I102" i="4"/>
  <c r="I120" i="4" s="1"/>
  <c r="I121" i="4" s="1"/>
  <c r="I52" i="4"/>
  <c r="I47" i="4"/>
  <c r="I138" i="4" s="1"/>
  <c r="I139" i="4" s="1"/>
  <c r="K77" i="4"/>
  <c r="K78" i="4"/>
  <c r="K75" i="4"/>
  <c r="K93" i="4"/>
  <c r="K90" i="4"/>
  <c r="K60" i="4"/>
  <c r="K64" i="4"/>
  <c r="K65" i="4"/>
  <c r="K92" i="4"/>
  <c r="K63" i="4"/>
  <c r="K74" i="4"/>
  <c r="K91" i="4"/>
  <c r="K89" i="4"/>
  <c r="K88" i="4"/>
  <c r="K79" i="4"/>
  <c r="K76" i="4"/>
  <c r="K62" i="4"/>
  <c r="K61" i="4"/>
  <c r="J29" i="4"/>
  <c r="G25" i="4" l="1"/>
  <c r="H52" i="4"/>
  <c r="H110" i="4"/>
  <c r="H127" i="4" s="1"/>
  <c r="H128" i="4" s="1"/>
  <c r="H109" i="4"/>
  <c r="H125" i="4" s="1"/>
  <c r="H126" i="4" s="1"/>
  <c r="H48" i="4"/>
  <c r="H47" i="4"/>
  <c r="H138" i="4" s="1"/>
  <c r="H139" i="4" s="1"/>
  <c r="H50" i="4"/>
  <c r="H142" i="4" s="1"/>
  <c r="H143" i="4" s="1"/>
  <c r="H28" i="4"/>
  <c r="H30" i="4" s="1"/>
  <c r="H100" i="4"/>
  <c r="H116" i="4" s="1"/>
  <c r="H117" i="4" s="1"/>
  <c r="H111" i="4"/>
  <c r="H129" i="4" s="1"/>
  <c r="H130" i="4" s="1"/>
  <c r="H108" i="4"/>
  <c r="H123" i="4" s="1"/>
  <c r="H124" i="4" s="1"/>
  <c r="H101" i="4"/>
  <c r="H118" i="4" s="1"/>
  <c r="H119" i="4" s="1"/>
  <c r="H99" i="4"/>
  <c r="H114" i="4" s="1"/>
  <c r="H115" i="4" s="1"/>
  <c r="H49" i="4"/>
  <c r="H140" i="4" s="1"/>
  <c r="H141" i="4" s="1"/>
  <c r="H51" i="4"/>
  <c r="H102" i="4"/>
  <c r="H120" i="4" s="1"/>
  <c r="H121" i="4" s="1"/>
  <c r="J63" i="4"/>
  <c r="J74" i="4"/>
  <c r="J77" i="4"/>
  <c r="J92" i="4"/>
  <c r="J93" i="4"/>
  <c r="J64" i="4"/>
  <c r="J65" i="4"/>
  <c r="J75" i="4"/>
  <c r="J62" i="4"/>
  <c r="J61" i="4"/>
  <c r="J60" i="4"/>
  <c r="J79" i="4"/>
  <c r="J90" i="4"/>
  <c r="J91" i="4"/>
  <c r="J88" i="4"/>
  <c r="J78" i="4"/>
  <c r="J89" i="4"/>
  <c r="J76" i="4"/>
  <c r="I29" i="4"/>
  <c r="H29" i="4" l="1"/>
  <c r="F25" i="4"/>
  <c r="G99" i="4"/>
  <c r="G114" i="4" s="1"/>
  <c r="G115" i="4" s="1"/>
  <c r="G101" i="4"/>
  <c r="G118" i="4" s="1"/>
  <c r="G119" i="4" s="1"/>
  <c r="G109" i="4"/>
  <c r="G125" i="4" s="1"/>
  <c r="G126" i="4" s="1"/>
  <c r="G110" i="4"/>
  <c r="G127" i="4" s="1"/>
  <c r="G128" i="4" s="1"/>
  <c r="G28" i="4"/>
  <c r="G30" i="4" s="1"/>
  <c r="G49" i="4"/>
  <c r="G140" i="4" s="1"/>
  <c r="G141" i="4" s="1"/>
  <c r="G108" i="4"/>
  <c r="G123" i="4" s="1"/>
  <c r="G124" i="4" s="1"/>
  <c r="G51" i="4"/>
  <c r="G111" i="4"/>
  <c r="G129" i="4" s="1"/>
  <c r="G130" i="4" s="1"/>
  <c r="G102" i="4"/>
  <c r="G120" i="4" s="1"/>
  <c r="G121" i="4" s="1"/>
  <c r="G50" i="4"/>
  <c r="G142" i="4" s="1"/>
  <c r="G143" i="4" s="1"/>
  <c r="G100" i="4"/>
  <c r="G116" i="4" s="1"/>
  <c r="G117" i="4" s="1"/>
  <c r="G48" i="4"/>
  <c r="G47" i="4"/>
  <c r="G138" i="4" s="1"/>
  <c r="G139" i="4" s="1"/>
  <c r="G52" i="4"/>
  <c r="I63" i="4"/>
  <c r="I88" i="4"/>
  <c r="I64" i="4"/>
  <c r="I78" i="4"/>
  <c r="I74" i="4"/>
  <c r="I91" i="4"/>
  <c r="I76" i="4"/>
  <c r="I93" i="4"/>
  <c r="I62" i="4"/>
  <c r="I77" i="4"/>
  <c r="I92" i="4"/>
  <c r="I89" i="4"/>
  <c r="I90" i="4"/>
  <c r="I79" i="4"/>
  <c r="I75" i="4"/>
  <c r="I65" i="4"/>
  <c r="I60" i="4"/>
  <c r="I61" i="4"/>
  <c r="E25" i="4" l="1"/>
  <c r="F108" i="4"/>
  <c r="F123" i="4" s="1"/>
  <c r="F124" i="4" s="1"/>
  <c r="F50" i="4"/>
  <c r="F142" i="4" s="1"/>
  <c r="F143" i="4" s="1"/>
  <c r="F52" i="4"/>
  <c r="F47" i="4"/>
  <c r="F138" i="4" s="1"/>
  <c r="F139" i="4" s="1"/>
  <c r="F102" i="4"/>
  <c r="F120" i="4" s="1"/>
  <c r="F121" i="4" s="1"/>
  <c r="F51" i="4"/>
  <c r="F109" i="4"/>
  <c r="F125" i="4" s="1"/>
  <c r="F126" i="4" s="1"/>
  <c r="F48" i="4"/>
  <c r="F99" i="4"/>
  <c r="F114" i="4" s="1"/>
  <c r="F115" i="4" s="1"/>
  <c r="F110" i="4"/>
  <c r="F127" i="4" s="1"/>
  <c r="F128" i="4" s="1"/>
  <c r="F28" i="4"/>
  <c r="F30" i="4" s="1"/>
  <c r="F111" i="4"/>
  <c r="F129" i="4" s="1"/>
  <c r="F130" i="4" s="1"/>
  <c r="F49" i="4"/>
  <c r="F140" i="4" s="1"/>
  <c r="F141" i="4" s="1"/>
  <c r="F101" i="4"/>
  <c r="F118" i="4" s="1"/>
  <c r="F119" i="4" s="1"/>
  <c r="F100" i="4"/>
  <c r="F116" i="4" s="1"/>
  <c r="F117" i="4" s="1"/>
  <c r="H61" i="4"/>
  <c r="H79" i="4"/>
  <c r="H60" i="4"/>
  <c r="H64" i="4"/>
  <c r="H88" i="4"/>
  <c r="H92" i="4"/>
  <c r="H89" i="4"/>
  <c r="H62" i="4"/>
  <c r="H91" i="4"/>
  <c r="H63" i="4"/>
  <c r="H90" i="4"/>
  <c r="H93" i="4"/>
  <c r="H65" i="4"/>
  <c r="H77" i="4"/>
  <c r="H76" i="4"/>
  <c r="H78" i="4"/>
  <c r="H75" i="4"/>
  <c r="H74" i="4"/>
  <c r="G29" i="4"/>
  <c r="D25" i="4" l="1"/>
  <c r="E49" i="4"/>
  <c r="E140" i="4" s="1"/>
  <c r="E141" i="4" s="1"/>
  <c r="E109" i="4"/>
  <c r="E125" i="4" s="1"/>
  <c r="E126" i="4" s="1"/>
  <c r="E50" i="4"/>
  <c r="E142" i="4" s="1"/>
  <c r="E143" i="4" s="1"/>
  <c r="E100" i="4"/>
  <c r="E116" i="4" s="1"/>
  <c r="E117" i="4" s="1"/>
  <c r="E110" i="4"/>
  <c r="E127" i="4" s="1"/>
  <c r="E128" i="4" s="1"/>
  <c r="E47" i="4"/>
  <c r="E138" i="4" s="1"/>
  <c r="E139" i="4" s="1"/>
  <c r="E28" i="4"/>
  <c r="E30" i="4" s="1"/>
  <c r="E99" i="4"/>
  <c r="E114" i="4" s="1"/>
  <c r="E115" i="4" s="1"/>
  <c r="E102" i="4"/>
  <c r="E120" i="4" s="1"/>
  <c r="E121" i="4" s="1"/>
  <c r="E48" i="4"/>
  <c r="E111" i="4"/>
  <c r="E129" i="4" s="1"/>
  <c r="E130" i="4" s="1"/>
  <c r="E51" i="4"/>
  <c r="E52" i="4"/>
  <c r="E108" i="4"/>
  <c r="E123" i="4" s="1"/>
  <c r="E124" i="4" s="1"/>
  <c r="E101" i="4"/>
  <c r="E118" i="4" s="1"/>
  <c r="E119" i="4" s="1"/>
  <c r="G92" i="4"/>
  <c r="G62" i="4"/>
  <c r="G64" i="4"/>
  <c r="G79" i="4"/>
  <c r="G65" i="4"/>
  <c r="G90" i="4"/>
  <c r="G89" i="4"/>
  <c r="G78" i="4"/>
  <c r="G74" i="4"/>
  <c r="G91" i="4"/>
  <c r="G63" i="4"/>
  <c r="G93" i="4"/>
  <c r="G88" i="4"/>
  <c r="G60" i="4"/>
  <c r="G61" i="4"/>
  <c r="G77" i="4"/>
  <c r="G75" i="4"/>
  <c r="G76" i="4"/>
  <c r="F29" i="4"/>
  <c r="F79" i="4" l="1"/>
  <c r="F62" i="4"/>
  <c r="F78" i="4"/>
  <c r="F91" i="4"/>
  <c r="F75" i="4"/>
  <c r="F89" i="4"/>
  <c r="F74" i="4"/>
  <c r="F63" i="4"/>
  <c r="F77" i="4"/>
  <c r="F61" i="4"/>
  <c r="F76" i="4"/>
  <c r="F65" i="4"/>
  <c r="F60" i="4"/>
  <c r="F88" i="4"/>
  <c r="F64" i="4"/>
  <c r="F90" i="4"/>
  <c r="F93" i="4"/>
  <c r="F92" i="4"/>
  <c r="D28" i="4"/>
  <c r="D30" i="4" s="1"/>
  <c r="D110" i="4"/>
  <c r="D127" i="4" s="1"/>
  <c r="D128" i="4" s="1"/>
  <c r="CI128" i="4" s="1"/>
  <c r="CK128" i="4" s="1"/>
  <c r="D48" i="4"/>
  <c r="CK48" i="4" s="1"/>
  <c r="CJ48" i="4" s="1"/>
  <c r="CI48" i="4" s="1"/>
  <c r="D50" i="4"/>
  <c r="D101" i="4"/>
  <c r="D118" i="4" s="1"/>
  <c r="D119" i="4" s="1"/>
  <c r="CI119" i="4" s="1"/>
  <c r="D109" i="4"/>
  <c r="D125" i="4" s="1"/>
  <c r="D126" i="4" s="1"/>
  <c r="CI126" i="4" s="1"/>
  <c r="CK126" i="4" s="1"/>
  <c r="D52" i="4"/>
  <c r="CK52" i="4" s="1"/>
  <c r="CJ52" i="4" s="1"/>
  <c r="CI52" i="4" s="1"/>
  <c r="D111" i="4"/>
  <c r="D129" i="4" s="1"/>
  <c r="D130" i="4" s="1"/>
  <c r="CI130" i="4" s="1"/>
  <c r="CK130" i="4" s="1"/>
  <c r="D108" i="4"/>
  <c r="D123" i="4" s="1"/>
  <c r="D124" i="4" s="1"/>
  <c r="CI124" i="4" s="1"/>
  <c r="D100" i="4"/>
  <c r="D116" i="4" s="1"/>
  <c r="D117" i="4" s="1"/>
  <c r="CI117" i="4" s="1"/>
  <c r="D49" i="4"/>
  <c r="D51" i="4"/>
  <c r="CK51" i="4" s="1"/>
  <c r="CJ51" i="4" s="1"/>
  <c r="CI51" i="4" s="1"/>
  <c r="D102" i="4"/>
  <c r="D120" i="4" s="1"/>
  <c r="D121" i="4" s="1"/>
  <c r="CI121" i="4" s="1"/>
  <c r="D47" i="4"/>
  <c r="D99" i="4"/>
  <c r="D114" i="4" s="1"/>
  <c r="D115" i="4" s="1"/>
  <c r="CI115" i="4" s="1"/>
  <c r="E29" i="4"/>
  <c r="CH51" i="4" a="1"/>
  <c r="CH48" i="4" a="1"/>
  <c r="CH52" i="4" a="1"/>
  <c r="CH51" i="4" l="1"/>
  <c r="CH48" i="4"/>
  <c r="CH52" i="4"/>
  <c r="D142" i="4"/>
  <c r="D143" i="4" s="1"/>
  <c r="CI143" i="4" s="1"/>
  <c r="CJ150" i="4" s="1"/>
  <c r="CK50" i="4"/>
  <c r="CJ50" i="4" s="1"/>
  <c r="CI50" i="4" s="1"/>
  <c r="D140" i="4"/>
  <c r="D141" i="4" s="1"/>
  <c r="CI141" i="4" s="1"/>
  <c r="CJ151" i="4" s="1"/>
  <c r="CK49" i="4"/>
  <c r="CJ49" i="4" s="1"/>
  <c r="CI49" i="4" s="1"/>
  <c r="D138" i="4"/>
  <c r="D139" i="4" s="1"/>
  <c r="CI139" i="4" s="1"/>
  <c r="CJ152" i="4" s="1"/>
  <c r="CK47" i="4"/>
  <c r="CJ47" i="4" s="1"/>
  <c r="CI47" i="4" s="1"/>
  <c r="CJ124" i="4"/>
  <c r="CK124" i="4" s="1"/>
  <c r="C29" i="4"/>
  <c r="D29" i="4"/>
  <c r="E74" i="4"/>
  <c r="E77" i="4"/>
  <c r="E76" i="4"/>
  <c r="E75" i="4"/>
  <c r="E93" i="4"/>
  <c r="E88" i="4"/>
  <c r="E64" i="4"/>
  <c r="E92" i="4"/>
  <c r="E61" i="4"/>
  <c r="E60" i="4"/>
  <c r="E65" i="4"/>
  <c r="E79" i="4"/>
  <c r="E90" i="4"/>
  <c r="E63" i="4"/>
  <c r="E89" i="4"/>
  <c r="E62" i="4"/>
  <c r="E91" i="4"/>
  <c r="E78" i="4"/>
  <c r="CJ115" i="4"/>
  <c r="CK115" i="4" s="1"/>
  <c r="CH49" i="4" a="1"/>
  <c r="CH50" i="4" a="1"/>
  <c r="CH47" i="4" a="1"/>
  <c r="D61" i="4" l="1"/>
  <c r="BB150" i="4" s="1"/>
  <c r="D74" i="4"/>
  <c r="CJ153" i="4"/>
  <c r="CH49" i="4"/>
  <c r="CH50" i="4"/>
  <c r="CH47" i="4"/>
  <c r="CJ154" i="4"/>
  <c r="D93" i="4"/>
  <c r="CH93" i="4" s="1" a="1"/>
  <c r="D64" i="4"/>
  <c r="BB153" i="4" s="1"/>
  <c r="D76" i="4"/>
  <c r="BB199" i="4" s="1"/>
  <c r="D90" i="4"/>
  <c r="BB175" i="4" s="1"/>
  <c r="D79" i="4"/>
  <c r="CH79" i="4" s="1" a="1"/>
  <c r="D77" i="4"/>
  <c r="BB200" i="4" s="1"/>
  <c r="D75" i="4"/>
  <c r="BB198" i="4" s="1"/>
  <c r="D91" i="4"/>
  <c r="BB176" i="4" s="1"/>
  <c r="D78" i="4"/>
  <c r="BB201" i="4" s="1"/>
  <c r="D65" i="4"/>
  <c r="D63" i="4"/>
  <c r="BB152" i="4" s="1"/>
  <c r="D60" i="4"/>
  <c r="BB149" i="4" s="1"/>
  <c r="D88" i="4"/>
  <c r="BB173" i="4" s="1"/>
  <c r="D62" i="4"/>
  <c r="BB151" i="4" s="1"/>
  <c r="D89" i="4"/>
  <c r="BB174" i="4" s="1"/>
  <c r="D92" i="4"/>
  <c r="BB177" i="4" s="1"/>
  <c r="BB197" i="4" l="1"/>
  <c r="CH79" i="4"/>
  <c r="BB202" i="4" s="1"/>
  <c r="CH93" i="4"/>
  <c r="BB178" i="4" s="1"/>
  <c r="BC178" i="4" s="1"/>
  <c r="BD193" i="4" s="1"/>
  <c r="BD183" i="4" s="1"/>
  <c r="BB154" i="4"/>
  <c r="BC154" i="4" s="1"/>
  <c r="BD169" i="4" s="1"/>
  <c r="BD159" i="4" s="1"/>
  <c r="CH65" i="4" a="1"/>
  <c r="CH76" i="4" a="1"/>
  <c r="CH89" i="4" a="1"/>
  <c r="CH88" i="4" a="1"/>
  <c r="CH75" i="4" a="1"/>
  <c r="CH78" i="4" a="1"/>
  <c r="CH74" i="4" a="1"/>
  <c r="CH63" i="4" a="1"/>
  <c r="CH61" i="4" a="1"/>
  <c r="CH64" i="4" a="1"/>
  <c r="CH90" i="4" a="1"/>
  <c r="CH62" i="4" a="1"/>
  <c r="CH60" i="4" a="1"/>
  <c r="CH91" i="4" a="1"/>
  <c r="CH77" i="4" a="1"/>
  <c r="CH92" i="4" a="1"/>
  <c r="CH75" i="4" l="1"/>
  <c r="CH76" i="4"/>
  <c r="CH62" i="4"/>
  <c r="CH77" i="4"/>
  <c r="CH89" i="4"/>
  <c r="CH88" i="4"/>
  <c r="CH90" i="4"/>
  <c r="CH78" i="4"/>
  <c r="CH92" i="4"/>
  <c r="CH91" i="4"/>
  <c r="CH63" i="4"/>
  <c r="CH61" i="4"/>
  <c r="CH60" i="4"/>
  <c r="BC197" i="4"/>
  <c r="BD212" i="4" s="1"/>
  <c r="D2" i="11" s="1"/>
  <c r="D3" i="11" s="1"/>
  <c r="D19" i="11" s="1"/>
  <c r="CH74" i="4"/>
  <c r="BC173" i="4"/>
  <c r="E47" i="9" s="1"/>
  <c r="E50" i="9" s="1"/>
  <c r="CH65" i="4"/>
  <c r="CH64" i="4"/>
  <c r="BC202" i="4"/>
  <c r="BD217" i="4" s="1"/>
  <c r="BD207" i="4" s="1"/>
  <c r="BC153" i="4"/>
  <c r="BD168" i="4" s="1"/>
  <c r="BD160" i="4" s="1"/>
  <c r="BC201" i="4"/>
  <c r="BD216" i="4" s="1"/>
  <c r="BD208" i="4" s="1"/>
  <c r="BC198" i="4"/>
  <c r="BD213" i="4" s="1"/>
  <c r="BD211" i="4" s="1"/>
  <c r="BC199" i="4"/>
  <c r="BD214" i="4" s="1"/>
  <c r="BD210" i="4" s="1"/>
  <c r="BC200" i="4"/>
  <c r="C34" i="9" s="1"/>
  <c r="C37" i="9" l="1"/>
  <c r="C44" i="9" s="1"/>
  <c r="E34" i="9"/>
  <c r="E37" i="9" s="1"/>
  <c r="E40" i="9" s="1"/>
  <c r="BC177" i="4"/>
  <c r="BD192" i="4" s="1"/>
  <c r="BD184" i="4" s="1"/>
  <c r="BD188" i="4"/>
  <c r="BC175" i="4"/>
  <c r="D47" i="9" s="1"/>
  <c r="D50" i="9" s="1"/>
  <c r="D51" i="9" s="1"/>
  <c r="D52" i="9" s="1"/>
  <c r="BC174" i="4"/>
  <c r="BD189" i="4" s="1"/>
  <c r="BD187" i="4" s="1"/>
  <c r="BC176" i="4"/>
  <c r="C47" i="9" s="1"/>
  <c r="BD215" i="4"/>
  <c r="BD209" i="4" s="1"/>
  <c r="D34" i="9"/>
  <c r="D37" i="9" s="1"/>
  <c r="D40" i="9" s="1"/>
  <c r="E54" i="9"/>
  <c r="C41" i="9"/>
  <c r="E51" i="9"/>
  <c r="E52" i="9" s="1"/>
  <c r="E53" i="9"/>
  <c r="C40" i="9" l="1"/>
  <c r="C42" i="9" s="1"/>
  <c r="C43" i="9" s="1"/>
  <c r="C38" i="9"/>
  <c r="C39" i="9" s="1"/>
  <c r="C50" i="9"/>
  <c r="C51" i="9" s="1"/>
  <c r="C52" i="9" s="1"/>
  <c r="E38" i="9"/>
  <c r="E39" i="9" s="1"/>
  <c r="E41" i="9"/>
  <c r="E42" i="9" s="1"/>
  <c r="E43" i="9" s="1"/>
  <c r="D54" i="9"/>
  <c r="BD190" i="4"/>
  <c r="BD186" i="4" s="1"/>
  <c r="BD191" i="4"/>
  <c r="BD185" i="4" s="1"/>
  <c r="C54" i="9"/>
  <c r="BC152" i="4"/>
  <c r="BD167" i="4" s="1"/>
  <c r="BD161" i="4" s="1"/>
  <c r="D38" i="9"/>
  <c r="D39" i="9" s="1"/>
  <c r="D41" i="9"/>
  <c r="D42" i="9" s="1"/>
  <c r="D43" i="9" s="1"/>
  <c r="BC150" i="4"/>
  <c r="BD165" i="4" s="1"/>
  <c r="BD163" i="4" s="1"/>
  <c r="BC149" i="4"/>
  <c r="BD164" i="4" s="1"/>
  <c r="BC151" i="4"/>
  <c r="D21" i="9" s="1"/>
  <c r="E55" i="9"/>
  <c r="E56" i="9" s="1"/>
  <c r="D53" i="9"/>
  <c r="C57" i="9" l="1"/>
  <c r="C53" i="9"/>
  <c r="C55" i="9" s="1"/>
  <c r="C56" i="9" s="1"/>
  <c r="D55" i="9"/>
  <c r="D56" i="9" s="1"/>
  <c r="C21" i="9"/>
  <c r="E21" i="9"/>
  <c r="BD166" i="4"/>
  <c r="BD162" i="4" s="1"/>
  <c r="D24" i="9"/>
  <c r="D28" i="9"/>
  <c r="C28" i="9" l="1"/>
  <c r="C24" i="9"/>
  <c r="C25" i="9" s="1"/>
  <c r="D67" i="2" s="1"/>
  <c r="E24" i="9"/>
  <c r="E28" i="9"/>
  <c r="D27" i="9"/>
  <c r="D29" i="9" s="1"/>
  <c r="D30" i="9" s="1"/>
  <c r="D25" i="9"/>
  <c r="D26" i="9" s="1"/>
  <c r="C31" i="9" l="1"/>
  <c r="D28" i="10" s="1"/>
  <c r="D40" i="10" s="1"/>
  <c r="D34" i="10"/>
  <c r="D37" i="10" s="1"/>
  <c r="D68" i="2"/>
  <c r="C27" i="9"/>
  <c r="C29" i="9" s="1"/>
  <c r="E25" i="9"/>
  <c r="E26" i="9" s="1"/>
  <c r="D86" i="10"/>
  <c r="D90" i="10" s="1"/>
  <c r="E27" i="9"/>
  <c r="D66" i="2" s="1"/>
  <c r="C26" i="9"/>
  <c r="D85" i="10" s="1"/>
  <c r="D100" i="10" s="1"/>
  <c r="D84" i="10"/>
  <c r="D39" i="10" l="1"/>
  <c r="D60" i="10"/>
  <c r="D65" i="2"/>
  <c r="D33" i="11"/>
  <c r="D47" i="11" s="1"/>
  <c r="C30" i="9"/>
  <c r="D61" i="10" s="1"/>
  <c r="D78" i="10" s="1"/>
  <c r="D79" i="10" s="1"/>
  <c r="D32" i="11"/>
  <c r="D39" i="11" s="1"/>
  <c r="D65" i="10"/>
  <c r="E29" i="9"/>
  <c r="D102" i="10"/>
  <c r="D101" i="10"/>
  <c r="E30" i="9" l="1"/>
  <c r="D44" i="11"/>
  <c r="D40" i="11"/>
  <c r="D42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<sst xmlns="http://schemas.openxmlformats.org/spreadsheetml/2006/main" count="1644" uniqueCount="852">
  <si>
    <t>Input data specs. and pre design choices</t>
  </si>
  <si>
    <t>Parameters</t>
  </si>
  <si>
    <t>Name</t>
  </si>
  <si>
    <t>Value</t>
  </si>
  <si>
    <t>Unit</t>
  </si>
  <si>
    <t>Minimum Input voltage</t>
  </si>
  <si>
    <t>VAC.min</t>
  </si>
  <si>
    <t>Vac</t>
  </si>
  <si>
    <t>Maximum Input voltage</t>
  </si>
  <si>
    <t>VAC.max</t>
  </si>
  <si>
    <t>Config.</t>
  </si>
  <si>
    <t>Line frequency</t>
  </si>
  <si>
    <t>fl</t>
  </si>
  <si>
    <t>Hz</t>
  </si>
  <si>
    <t>Minimum Line frequency</t>
  </si>
  <si>
    <t>fl.min</t>
  </si>
  <si>
    <t>Selected value</t>
  </si>
  <si>
    <t>Minimum voltage for Res. Tank Design</t>
  </si>
  <si>
    <t>Vin.min</t>
  </si>
  <si>
    <t>Regulated Output Voltage</t>
  </si>
  <si>
    <t>V.out</t>
  </si>
  <si>
    <t>V</t>
  </si>
  <si>
    <t>Minimum admitted voltage (for hold up req)</t>
  </si>
  <si>
    <t>Vo_min_adm</t>
  </si>
  <si>
    <t>Output voltage ripple pk-pk</t>
  </si>
  <si>
    <t>∆vout</t>
  </si>
  <si>
    <t>%</t>
  </si>
  <si>
    <t>Hold up capability</t>
  </si>
  <si>
    <t>Thold</t>
  </si>
  <si>
    <t>ms</t>
  </si>
  <si>
    <t>Maximum Output Power</t>
  </si>
  <si>
    <t>Pout</t>
  </si>
  <si>
    <t>W</t>
  </si>
  <si>
    <t>Expected HB efficiency</t>
  </si>
  <si>
    <t>ηLLC</t>
  </si>
  <si>
    <t>Max capacitor height (empty or 0 for unlimited)</t>
  </si>
  <si>
    <t>h</t>
  </si>
  <si>
    <t>mm</t>
  </si>
  <si>
    <t>Output cap estimation (MCLPR series)</t>
  </si>
  <si>
    <t>Output capacitor working voltage</t>
  </si>
  <si>
    <t>W.V</t>
  </si>
  <si>
    <t>Single capacitor value</t>
  </si>
  <si>
    <t>Cout.s.est</t>
  </si>
  <si>
    <t>uF</t>
  </si>
  <si>
    <t>Equivalent Series Resistor</t>
  </si>
  <si>
    <t>ESR.single</t>
  </si>
  <si>
    <t>Ω</t>
  </si>
  <si>
    <t>Case Size diameter</t>
  </si>
  <si>
    <t>ØD</t>
  </si>
  <si>
    <t>Case Size height</t>
  </si>
  <si>
    <t>Estimated number of cap</t>
  </si>
  <si>
    <t>n.Cap</t>
  </si>
  <si>
    <t>-</t>
  </si>
  <si>
    <t>Expected ouptut cap volume [cm3]</t>
  </si>
  <si>
    <t>Cap.Volume</t>
  </si>
  <si>
    <r>
      <t>cm</t>
    </r>
    <r>
      <rPr>
        <vertAlign val="superscript"/>
        <sz val="11"/>
        <color theme="1"/>
        <rFont val="Arial"/>
        <family val="2"/>
      </rPr>
      <t>3</t>
    </r>
  </si>
  <si>
    <t>Upper Resonant Frequency</t>
  </si>
  <si>
    <t>f.R1</t>
  </si>
  <si>
    <t>kHz</t>
  </si>
  <si>
    <t>Minimum switching frequency</t>
  </si>
  <si>
    <t>fsw.min</t>
  </si>
  <si>
    <t>Maximum Switching Frequency (1.5*f.R1 sugg)</t>
  </si>
  <si>
    <t>fsw.max</t>
  </si>
  <si>
    <t>Single HB midpoint estimated Cap</t>
  </si>
  <si>
    <t>c.HB</t>
  </si>
  <si>
    <t>pF</t>
  </si>
  <si>
    <t>Dead Time</t>
  </si>
  <si>
    <t>t.D</t>
  </si>
  <si>
    <t>ns</t>
  </si>
  <si>
    <t>Parassitic Capacitance</t>
  </si>
  <si>
    <t>Cp</t>
  </si>
  <si>
    <t>nF</t>
  </si>
  <si>
    <t>EMI filter resistance</t>
  </si>
  <si>
    <t>R.EMI</t>
  </si>
  <si>
    <t>Bridge Rectifier Voltage Drop</t>
  </si>
  <si>
    <t>Vf.BR</t>
  </si>
  <si>
    <t>Dynamic Resistance (1 diode)</t>
  </si>
  <si>
    <t>Rd</t>
  </si>
  <si>
    <t>Output stage configuration (CT/FB)</t>
  </si>
  <si>
    <t>Output Rectifier Voltage Drop</t>
  </si>
  <si>
    <t>Vrect</t>
  </si>
  <si>
    <t>Output Rectifier configuration (1 = CT, 2 = FB)</t>
  </si>
  <si>
    <t>Configuration 1: CT=Center Tap Rectification</t>
  </si>
  <si>
    <t>Configuration 2: FB=Full Bridge Rectification</t>
  </si>
  <si>
    <t>To blank</t>
  </si>
  <si>
    <t>Minimum Input voltage (for input curr)</t>
  </si>
  <si>
    <t>Universal range = calcoli ok</t>
  </si>
  <si>
    <t>FB a bassa rete = I calcoli del tank sono ok, cambia la dissipazione ?</t>
  </si>
  <si>
    <t>HB a bassa rete = va dimezzata la tensione di ingresso con la quale si calcola il tank, aumenta dissipazione sui mos</t>
  </si>
  <si>
    <t>FB ad alta rete = va raddoppiata la tensione di ingresso con la quale si calcola il tank, diminuisce dissipazione sui mos</t>
  </si>
  <si>
    <t>HB ad alta rete = I calcoli del tank sono ok, cambia la dissipazione sul ponte a diodi in ingresso (dovrebbe già essere corretta nei calcoli, prendendo Vinmin)</t>
  </si>
  <si>
    <t>High line resonant operation</t>
  </si>
  <si>
    <t>Vin.nom</t>
  </si>
  <si>
    <t>Nominal input voltage (config dependent)</t>
  </si>
  <si>
    <t>Fixed</t>
  </si>
  <si>
    <t>Above resonance modulation depth</t>
  </si>
  <si>
    <t>Input voltage for imposing resonant operation</t>
  </si>
  <si>
    <t>Vin.res</t>
  </si>
  <si>
    <t>Maximum cap height</t>
  </si>
  <si>
    <t>Output voltage ripple</t>
  </si>
  <si>
    <r>
      <rPr>
        <sz val="11"/>
        <color theme="1"/>
        <rFont val="Grotesque"/>
        <family val="2"/>
      </rPr>
      <t>∆</t>
    </r>
    <r>
      <rPr>
        <sz val="11"/>
        <color theme="1"/>
        <rFont val="Aptos Narrow"/>
        <family val="2"/>
        <scheme val="minor"/>
      </rPr>
      <t>vout</t>
    </r>
  </si>
  <si>
    <t>Maximum Switching Frequency</t>
  </si>
  <si>
    <t>HB midpoint estimated Cap</t>
  </si>
  <si>
    <t>Cap…</t>
  </si>
  <si>
    <t>Preliminary Calculations</t>
  </si>
  <si>
    <t>Output current</t>
  </si>
  <si>
    <t>Iout</t>
  </si>
  <si>
    <t>A</t>
  </si>
  <si>
    <t>Output rectifier efficiency</t>
  </si>
  <si>
    <t>η.rect</t>
  </si>
  <si>
    <t>Transformer output power</t>
  </si>
  <si>
    <t>P.sec</t>
  </si>
  <si>
    <t>LLC converter input power</t>
  </si>
  <si>
    <t>P.in.LLC</t>
  </si>
  <si>
    <t>Max mains input rms current</t>
  </si>
  <si>
    <t>I.in.max</t>
  </si>
  <si>
    <t>Output rectifier dissipation</t>
  </si>
  <si>
    <t>P.d.Drect</t>
  </si>
  <si>
    <t>LLC converter dissipation (trafo+MOS)</t>
  </si>
  <si>
    <t>P.d.LLC</t>
  </si>
  <si>
    <t>Bridge rectifier dissipation</t>
  </si>
  <si>
    <t>P.D.br</t>
  </si>
  <si>
    <t>EMI filter resistance dissipation</t>
  </si>
  <si>
    <t>P.D.Rin</t>
  </si>
  <si>
    <t>TOTAL power dissipation</t>
  </si>
  <si>
    <t>P.D</t>
  </si>
  <si>
    <t>HB converter expected efficiency</t>
  </si>
  <si>
    <t>η.HB</t>
  </si>
  <si>
    <t>EMI filter and bridge rectifier efficiency</t>
  </si>
  <si>
    <t>η.ac</t>
  </si>
  <si>
    <t>Total expected efficiency</t>
  </si>
  <si>
    <t>η.tot</t>
  </si>
  <si>
    <t>Rated input power</t>
  </si>
  <si>
    <t>P.in</t>
  </si>
  <si>
    <t>Resonant Tank Design</t>
  </si>
  <si>
    <t>FHA-based design</t>
  </si>
  <si>
    <t>Selected Value</t>
  </si>
  <si>
    <t>Physical Turn Ratio (npri/nsec):</t>
  </si>
  <si>
    <t>n</t>
  </si>
  <si>
    <t>Maximum Voltage Gain@Vin.min</t>
  </si>
  <si>
    <t>M.Vmin.pk</t>
  </si>
  <si>
    <t>Minimum Voltage Gain@Vin.min</t>
  </si>
  <si>
    <t>M.Vmax.pk</t>
  </si>
  <si>
    <t>Min λ ratio for min gain req</t>
  </si>
  <si>
    <t>λ.min.1</t>
  </si>
  <si>
    <t>Min λ ratio for max freq req</t>
  </si>
  <si>
    <t>λ.min.2</t>
  </si>
  <si>
    <t>Min λ ratio for max freq req (TD)</t>
  </si>
  <si>
    <t>λ.min.TD</t>
  </si>
  <si>
    <t>Min λ ratio for min freq req</t>
  </si>
  <si>
    <t>λ.min.3</t>
  </si>
  <si>
    <t>Maximum value</t>
  </si>
  <si>
    <t>λ</t>
  </si>
  <si>
    <t xml:space="preserve">removed 1.2 factor on  λ.min.1 </t>
  </si>
  <si>
    <t>Equivalent output impedance</t>
  </si>
  <si>
    <t>Rac</t>
  </si>
  <si>
    <t>For ZVS at Vin.min and max load</t>
  </si>
  <si>
    <t>QZVS.1</t>
  </si>
  <si>
    <t>For ZVS at Vin.max and zero load</t>
  </si>
  <si>
    <t>QZVS.2</t>
  </si>
  <si>
    <t>QZVS.3</t>
  </si>
  <si>
    <t>Not used since evaluated at f.o</t>
  </si>
  <si>
    <t>ZVS condition</t>
  </si>
  <si>
    <t>Margin to achieve ZVS</t>
  </si>
  <si>
    <t>ZVSmargin</t>
  </si>
  <si>
    <t>Selected quality factor</t>
  </si>
  <si>
    <t>QZVS</t>
  </si>
  <si>
    <t>Resonant tank characteristic imp</t>
  </si>
  <si>
    <t>Z0</t>
  </si>
  <si>
    <t>Minimum fsw.norm at Vin.min.pk</t>
  </si>
  <si>
    <t>f.n.min</t>
  </si>
  <si>
    <t>Minimum resonant tank phase shift</t>
  </si>
  <si>
    <t>φ.min</t>
  </si>
  <si>
    <t>Resonant current ZC instant</t>
  </si>
  <si>
    <t>T.ZC</t>
  </si>
  <si>
    <t>Reference Dead time</t>
  </si>
  <si>
    <t>T.D</t>
  </si>
  <si>
    <t>ZVS condition satisfied?</t>
  </si>
  <si>
    <t>Peak Resonant Current</t>
  </si>
  <si>
    <t>IR1.pk</t>
  </si>
  <si>
    <t>Minimum current for achieving ZVS</t>
  </si>
  <si>
    <t>IR0</t>
  </si>
  <si>
    <t>Transition time</t>
  </si>
  <si>
    <t>T.T</t>
  </si>
  <si>
    <t>Resonant Tank Parameters</t>
  </si>
  <si>
    <t>Turn Ratio</t>
  </si>
  <si>
    <t>Resonant Capacitor</t>
  </si>
  <si>
    <t>C.r</t>
  </si>
  <si>
    <t>Leakage inductance</t>
  </si>
  <si>
    <t>L.r</t>
  </si>
  <si>
    <t>µH</t>
  </si>
  <si>
    <t>Magnetizing inductance</t>
  </si>
  <si>
    <t>L.m</t>
  </si>
  <si>
    <t>Final Design Check</t>
  </si>
  <si>
    <t>Series over parallel inductance ratio</t>
  </si>
  <si>
    <t>Real Turn Ratio</t>
  </si>
  <si>
    <t>n.T</t>
  </si>
  <si>
    <t>Series resonant characteristic imp</t>
  </si>
  <si>
    <t>Z.o</t>
  </si>
  <si>
    <t>Parallel resonant characteristic imp</t>
  </si>
  <si>
    <t>Z.O</t>
  </si>
  <si>
    <t>Normalized parallel resonant frequency</t>
  </si>
  <si>
    <t>f.no</t>
  </si>
  <si>
    <t>Series resonant frequency</t>
  </si>
  <si>
    <t>f.r</t>
  </si>
  <si>
    <t>Parallel resonant frequency</t>
  </si>
  <si>
    <t>f.o</t>
  </si>
  <si>
    <t>Primary inductance</t>
  </si>
  <si>
    <t>L.μ</t>
  </si>
  <si>
    <t>Primary side leakage inductance</t>
  </si>
  <si>
    <t>L.L1</t>
  </si>
  <si>
    <t>Secondary side leakaged inductance</t>
  </si>
  <si>
    <t>L.L2</t>
  </si>
  <si>
    <t>Current for achieving ZVS</t>
  </si>
  <si>
    <t>I.R0.crit</t>
  </si>
  <si>
    <t>Estimated transformer current</t>
  </si>
  <si>
    <t>Primary RMS current @ Vin min</t>
  </si>
  <si>
    <t>Ipri.rms (mains cycle)</t>
  </si>
  <si>
    <t>Primary peak current @ Vin_min</t>
  </si>
  <si>
    <t>Ipri.pk (at Vin.min pk)</t>
  </si>
  <si>
    <t>Secondary RMS current @ Vin min</t>
  </si>
  <si>
    <t>Isec.rms (mains cycle)</t>
  </si>
  <si>
    <t>Secondary peak current @ Vin_min</t>
  </si>
  <si>
    <t>Isec.pk (at Vin.min pk)</t>
  </si>
  <si>
    <t>Input capacitor selection</t>
  </si>
  <si>
    <t>Minimum Input Cap.</t>
  </si>
  <si>
    <t>C.in.min</t>
  </si>
  <si>
    <t>Output capacitor selection</t>
  </si>
  <si>
    <t>Parameter</t>
  </si>
  <si>
    <t>Output Power</t>
  </si>
  <si>
    <t>Regulated output voltage</t>
  </si>
  <si>
    <t>Vout</t>
  </si>
  <si>
    <t>Minimum admitted voltage</t>
  </si>
  <si>
    <t>Ripple</t>
  </si>
  <si>
    <t>Minimum Mains frequency</t>
  </si>
  <si>
    <t>Output cap considering ripple pk-pk</t>
  </si>
  <si>
    <t>Cout1</t>
  </si>
  <si>
    <t>Ouptut cap considering hold up</t>
  </si>
  <si>
    <t>Cout2</t>
  </si>
  <si>
    <t>Number of output capacitors</t>
  </si>
  <si>
    <t>n.Cout</t>
  </si>
  <si>
    <t>Insert the single capacitor value</t>
  </si>
  <si>
    <t>Cout.single</t>
  </si>
  <si>
    <t>Insert the ESR value of the single capacitor</t>
  </si>
  <si>
    <t>mΩ</t>
  </si>
  <si>
    <t>Total ouptut capacitor Cout</t>
  </si>
  <si>
    <t>Cout</t>
  </si>
  <si>
    <t>Total ESR of Cout</t>
  </si>
  <si>
    <t>ESR</t>
  </si>
  <si>
    <t>Output cap RMS current</t>
  </si>
  <si>
    <t>I.Cout.RMS</t>
  </si>
  <si>
    <t>Low frequency ripple voltage pk-pk recalculation</t>
  </si>
  <si>
    <t>V_Ripple_pk-pk</t>
  </si>
  <si>
    <t>% Ripple pk-pk on Vout</t>
  </si>
  <si>
    <t>Ripple pk-pk %</t>
  </si>
  <si>
    <t>Hold up time recalculation</t>
  </si>
  <si>
    <t>Estimated maximum R&amp;N @ Vinmin</t>
  </si>
  <si>
    <t>R&amp;N_0</t>
  </si>
  <si>
    <t>mV</t>
  </si>
  <si>
    <t>Maximum allowed R&amp;N @ fsw</t>
  </si>
  <si>
    <t>R&amp;N_max</t>
  </si>
  <si>
    <t>Displacement factor of ceramic capacitor</t>
  </si>
  <si>
    <t>DF</t>
  </si>
  <si>
    <t>Suggested minimum ceramic capacitor</t>
  </si>
  <si>
    <t>Cceramic min</t>
  </si>
  <si>
    <t>Select the ceramic capacitor</t>
  </si>
  <si>
    <t>Cceramic</t>
  </si>
  <si>
    <t>Estimated  R&amp;N @ fsw</t>
  </si>
  <si>
    <t>R&amp;N</t>
  </si>
  <si>
    <t>Estimated dissipated power on output capacitors</t>
  </si>
  <si>
    <t>P.Cout</t>
  </si>
  <si>
    <t>Input Bridge Rectifier</t>
  </si>
  <si>
    <t>Maximum RMS Input Current</t>
  </si>
  <si>
    <t>Iin</t>
  </si>
  <si>
    <t>Selected Bridge Forward Voltage (1 diode)</t>
  </si>
  <si>
    <t>Vth</t>
  </si>
  <si>
    <t>Bridge rectifier schematic</t>
  </si>
  <si>
    <t xml:space="preserve">Please Select a BRIDGE RECTIFIER part number </t>
  </si>
  <si>
    <t>GBJ1506U</t>
  </si>
  <si>
    <t>Rectified Sine Current (half wave)_RMS</t>
  </si>
  <si>
    <t>I hw_RMS</t>
  </si>
  <si>
    <t>Rectified Sine Current (half wave)_Average</t>
  </si>
  <si>
    <t>I hw_Average</t>
  </si>
  <si>
    <t>Power dissipation</t>
  </si>
  <si>
    <t>Pbridge</t>
  </si>
  <si>
    <t>LLC Half Brigdge Power Switch Selection</t>
  </si>
  <si>
    <t>Primary RMS current @Vin min</t>
  </si>
  <si>
    <t>Ipri.rms</t>
  </si>
  <si>
    <t>Primary RMS Switch current @Vin min</t>
  </si>
  <si>
    <t>Ipri.rms (per mos)</t>
  </si>
  <si>
    <t>Suggested Min Voltage rating for each power</t>
  </si>
  <si>
    <t>VDS</t>
  </si>
  <si>
    <t>Suggested Min Current rating for each power</t>
  </si>
  <si>
    <t>IF Switch</t>
  </si>
  <si>
    <t xml:space="preserve">Please Select a dedicated Switch part number </t>
  </si>
  <si>
    <r>
      <t>Rdson resistance@25</t>
    </r>
    <r>
      <rPr>
        <sz val="11"/>
        <color theme="1"/>
        <rFont val="Grotesque"/>
        <family val="2"/>
      </rPr>
      <t>˚</t>
    </r>
    <r>
      <rPr>
        <sz val="11"/>
        <color theme="1"/>
        <rFont val="Arial"/>
        <family val="2"/>
      </rPr>
      <t>C</t>
    </r>
  </si>
  <si>
    <t>Rdson</t>
  </si>
  <si>
    <t>Drain Capacitance</t>
  </si>
  <si>
    <t>Coss</t>
  </si>
  <si>
    <t>Parassitic Drain Node Capacitance</t>
  </si>
  <si>
    <t>Cpar</t>
  </si>
  <si>
    <t>Operating Ambient Temperature</t>
  </si>
  <si>
    <t>Ta</t>
  </si>
  <si>
    <t>C˚</t>
  </si>
  <si>
    <t>Total HB parassitic Capacitance</t>
  </si>
  <si>
    <t>Ctot</t>
  </si>
  <si>
    <t>Maximum Power Losses extimation for each switch</t>
  </si>
  <si>
    <t>Pdiss.s</t>
  </si>
  <si>
    <t>Extimated Rth max j-a</t>
  </si>
  <si>
    <t>Rth</t>
  </si>
  <si>
    <r>
      <rPr>
        <sz val="11"/>
        <color theme="1"/>
        <rFont val="Grotesque"/>
        <family val="2"/>
      </rPr>
      <t>˚</t>
    </r>
    <r>
      <rPr>
        <sz val="11"/>
        <color theme="1"/>
        <rFont val="Arial"/>
        <family val="2"/>
      </rPr>
      <t>C/W</t>
    </r>
  </si>
  <si>
    <t>Unit [ ]</t>
  </si>
  <si>
    <t>Secondary RMS current @Vin min-each winding</t>
  </si>
  <si>
    <t>Isec.rms (per winding)</t>
  </si>
  <si>
    <t>Secondary RMS Switch current @Vin min-each diode</t>
  </si>
  <si>
    <t>Idiode.rms (per diode)</t>
  </si>
  <si>
    <t>Secondary peak Switch current @Vin min-each diode</t>
  </si>
  <si>
    <t>Isec.pk</t>
  </si>
  <si>
    <t xml:space="preserve">Suggested Min Voltage rating for each power switch </t>
  </si>
  <si>
    <t xml:space="preserve">Suggested Min Current rating for each power switch  </t>
  </si>
  <si>
    <t>Forward voltage drop</t>
  </si>
  <si>
    <t>RD</t>
  </si>
  <si>
    <t>Pdiss_d</t>
  </si>
  <si>
    <t>Extimated Rth</t>
  </si>
  <si>
    <t>Total Power dissipation</t>
  </si>
  <si>
    <t>Pdiss</t>
  </si>
  <si>
    <t>Conf.1: CT=Center Tap Rectification</t>
  </si>
  <si>
    <t>Conf.2: FB=Full Bridge Rectification</t>
  </si>
  <si>
    <t>Minimum switching frequency  = lower resonant frequency</t>
  </si>
  <si>
    <t>f.sw.min</t>
  </si>
  <si>
    <t>Maximum switching frequency at Vinmax and max load</t>
  </si>
  <si>
    <t>f.sw.max</t>
  </si>
  <si>
    <t>Maximum switching frequency for component design</t>
  </si>
  <si>
    <t>f.sw.max.design</t>
  </si>
  <si>
    <t>Resonant Frequency</t>
  </si>
  <si>
    <t>1-VCO timing components setting</t>
  </si>
  <si>
    <t>DS_Reference voltage for CT Typ.</t>
  </si>
  <si>
    <t>VREF</t>
  </si>
  <si>
    <t>DS_Oscillator idle time 350ns Typ.</t>
  </si>
  <si>
    <t>Tidle</t>
  </si>
  <si>
    <t>DS_Timing resistor operating range [5-30]kΩ</t>
  </si>
  <si>
    <t>Rtmax</t>
  </si>
  <si>
    <r>
      <t>k</t>
    </r>
    <r>
      <rPr>
        <sz val="11"/>
        <color theme="1"/>
        <rFont val="Grotesque"/>
        <family val="2"/>
      </rPr>
      <t>Ω</t>
    </r>
  </si>
  <si>
    <t>DS_IEA_max typ. 400uA</t>
  </si>
  <si>
    <t>I.CTL.max</t>
  </si>
  <si>
    <t>mA</t>
  </si>
  <si>
    <t>DS_Extra osccillator current at start-up:</t>
  </si>
  <si>
    <t>IOSC.SU</t>
  </si>
  <si>
    <t>VCO block diagram</t>
  </si>
  <si>
    <t>Maximum Timing Capacitor</t>
  </si>
  <si>
    <t>CT.max</t>
  </si>
  <si>
    <t>Minimum Timing Capacitor</t>
  </si>
  <si>
    <t>CT.min</t>
  </si>
  <si>
    <t>Select the timing capacitor between CTmin and Ctmax</t>
  </si>
  <si>
    <t>CT</t>
  </si>
  <si>
    <t>Minimum Resistor value</t>
  </si>
  <si>
    <t>RT.min</t>
  </si>
  <si>
    <t xml:space="preserve">Actual Max. switching frequency </t>
  </si>
  <si>
    <t>f.Max</t>
  </si>
  <si>
    <t>Actual Min. switching frequency</t>
  </si>
  <si>
    <t>f.Min</t>
  </si>
  <si>
    <t xml:space="preserve">Actual Start-up switching frequency </t>
  </si>
  <si>
    <t>f.start-up</t>
  </si>
  <si>
    <t>Ilr.pk.max</t>
  </si>
  <si>
    <t>Maximum rms current on sense resistor (at Vinmin)</t>
  </si>
  <si>
    <t>I.Rcs.rms.max</t>
  </si>
  <si>
    <t>2-ISEN (Pin6) Current sense resistor calculation</t>
  </si>
  <si>
    <t>Max input power at FB voltage clamped to the VFB.max</t>
  </si>
  <si>
    <t>R.CS.max1</t>
  </si>
  <si>
    <t>Minimum input voltage, the maximum input peak current</t>
  </si>
  <si>
    <t>R.CS.max2</t>
  </si>
  <si>
    <t>Sense dissipation @ low mains</t>
  </si>
  <si>
    <t>P.Rcs.avg</t>
  </si>
  <si>
    <t>Single sense resistor maximum power dissipation</t>
  </si>
  <si>
    <t>P.Rcs.sing</t>
  </si>
  <si>
    <t>Minimum number or parallel sense resistors</t>
  </si>
  <si>
    <t>N.Rcs.sing</t>
  </si>
  <si>
    <t>Select number of parallel sense resistors</t>
  </si>
  <si>
    <t>N.Rcs.parall</t>
  </si>
  <si>
    <t>Maximum value of single sense resistor</t>
  </si>
  <si>
    <t>Max.Rcs.parall</t>
  </si>
  <si>
    <t>Select current sense resistor</t>
  </si>
  <si>
    <t>R.CS.single</t>
  </si>
  <si>
    <t>220||220||220||(220+220)</t>
  </si>
  <si>
    <t>180||180||240</t>
  </si>
  <si>
    <t>Current sense resistor</t>
  </si>
  <si>
    <t>R.CS</t>
  </si>
  <si>
    <t>Actual estimated power dissipation on current sense resistor</t>
  </si>
  <si>
    <t>P.Rcs.act</t>
  </si>
  <si>
    <t>Actual estimated maximum input power</t>
  </si>
  <si>
    <t>Pin.max</t>
  </si>
  <si>
    <t>3-BM (pin10) - Burst mode resistor setting:</t>
  </si>
  <si>
    <t>DS_BM pin current</t>
  </si>
  <si>
    <t>I.BM</t>
  </si>
  <si>
    <r>
      <rPr>
        <sz val="11"/>
        <color theme="1"/>
        <rFont val="Grotesque"/>
        <family val="2"/>
        <charset val="1"/>
      </rPr>
      <t>µ</t>
    </r>
    <r>
      <rPr>
        <sz val="9.35"/>
        <color theme="1"/>
        <rFont val="Aptos Narrow"/>
        <family val="2"/>
      </rPr>
      <t>A</t>
    </r>
  </si>
  <si>
    <t>DS_Scaling factor for burst mode threshold setting</t>
  </si>
  <si>
    <t>k.BM</t>
  </si>
  <si>
    <t>V/kΩ</t>
  </si>
  <si>
    <t>DS_Internal FB offset</t>
  </si>
  <si>
    <t>V.off</t>
  </si>
  <si>
    <t>Input power burst mode threshold</t>
  </si>
  <si>
    <t>P.in.BM</t>
  </si>
  <si>
    <t>Expected converter efficiency at BM entering threshold</t>
  </si>
  <si>
    <t>η.BM.in</t>
  </si>
  <si>
    <t>Maximum burst mode resistor</t>
  </si>
  <si>
    <t>R.BM.max</t>
  </si>
  <si>
    <t>kΩ</t>
  </si>
  <si>
    <t>Expected BM entering threshold</t>
  </si>
  <si>
    <t>P.in.BM.exp</t>
  </si>
  <si>
    <t>Expected output power at BM entering</t>
  </si>
  <si>
    <t>P.o.BM.exp</t>
  </si>
  <si>
    <t>to blank</t>
  </si>
  <si>
    <t>4-ZCD (Pin12) resistors setting:</t>
  </si>
  <si>
    <t>DS_IC start-up phase end th at ZCD pin</t>
  </si>
  <si>
    <t>V.Startup.end.th</t>
  </si>
  <si>
    <t>DS_OVP1 threshold</t>
  </si>
  <si>
    <t>V.OVP1.th</t>
  </si>
  <si>
    <t>DS_OVP2 threshold</t>
  </si>
  <si>
    <t>V.OVP2.th</t>
  </si>
  <si>
    <t>DS_Maximum auxiliary voltage</t>
  </si>
  <si>
    <t>V.AUX.max</t>
  </si>
  <si>
    <t>OVP1 threshold percentage</t>
  </si>
  <si>
    <t>V.OVP1%</t>
  </si>
  <si>
    <t>OVP1 threshold</t>
  </si>
  <si>
    <t>V.OVP1</t>
  </si>
  <si>
    <t>OVP2 threshold</t>
  </si>
  <si>
    <t>V.OVP2</t>
  </si>
  <si>
    <t>Bias current of ZCD resistor divider at OVP1 threshold</t>
  </si>
  <si>
    <t>I.bias.OVP1</t>
  </si>
  <si>
    <r>
      <t>µ</t>
    </r>
    <r>
      <rPr>
        <sz val="9.35"/>
        <color theme="1"/>
        <rFont val="Arial"/>
        <family val="2"/>
      </rPr>
      <t>A</t>
    </r>
  </si>
  <si>
    <t>Maximum auxiliary to secondary turn ratio (naux/nsec)</t>
  </si>
  <si>
    <t>n.aux_sec_max</t>
  </si>
  <si>
    <t>Peak aux voltage at OVP1</t>
  </si>
  <si>
    <t>V.aux.OVP1</t>
  </si>
  <si>
    <t>Peak aux voltage at OVP2</t>
  </si>
  <si>
    <t>V.aux.OVP2</t>
  </si>
  <si>
    <t>Peak aux voltage at end of start-up</t>
  </si>
  <si>
    <t>V.aux.startup.end</t>
  </si>
  <si>
    <t>Peak output voltage at end of start-up</t>
  </si>
  <si>
    <t>V.out.startup.end</t>
  </si>
  <si>
    <t>Lower ZCD resistor divider</t>
  </si>
  <si>
    <t>R.ZCD.L.min</t>
  </si>
  <si>
    <t>Upper ZCD resistor divider</t>
  </si>
  <si>
    <t>R.ZCD.H.max</t>
  </si>
  <si>
    <t>OVP1 actual thresholds</t>
  </si>
  <si>
    <t>OVP2 actual thresholds</t>
  </si>
  <si>
    <t>OVP1 on auxiliary winding</t>
  </si>
  <si>
    <t>OVP2 on auxiliary winding</t>
  </si>
  <si>
    <t>Actual End-Start-up voltage on aux</t>
  </si>
  <si>
    <t>Actual End-Start-up voltage on output</t>
  </si>
  <si>
    <t>Actual auxiliary regulated voltage</t>
  </si>
  <si>
    <t>V.aux.reg</t>
  </si>
  <si>
    <t>to balnk</t>
  </si>
  <si>
    <t>Vacmin</t>
  </si>
  <si>
    <t>5-CFG (Pin11) - resistor setting:</t>
  </si>
  <si>
    <t>Configuration table summary</t>
  </si>
  <si>
    <t>K factor</t>
  </si>
  <si>
    <t>k.CFG</t>
  </si>
  <si>
    <t>Configuration resistor value</t>
  </si>
  <si>
    <t>R.CFG.max</t>
  </si>
  <si>
    <t>Actual brownout threshold</t>
  </si>
  <si>
    <t>V.BO</t>
  </si>
  <si>
    <t>LOUT2 setting</t>
  </si>
  <si>
    <t>Actual configuration</t>
  </si>
  <si>
    <t>Split resonant capacitors for forced HB configuration</t>
  </si>
  <si>
    <t>Link input data</t>
  </si>
  <si>
    <t>Vinmax</t>
  </si>
  <si>
    <t>Vinmin</t>
  </si>
  <si>
    <t>Link_power components</t>
  </si>
  <si>
    <t>F</t>
  </si>
  <si>
    <t>flmin</t>
  </si>
  <si>
    <t>FB and secondary side voltage control loop</t>
  </si>
  <si>
    <t>Secondary side voltage control loop schematics:</t>
  </si>
  <si>
    <t>Feedback supply voltage</t>
  </si>
  <si>
    <t>V.Z</t>
  </si>
  <si>
    <t>Max feedback current</t>
  </si>
  <si>
    <t>I.FB.max</t>
  </si>
  <si>
    <t>Current out of FB pin</t>
  </si>
  <si>
    <t>I.FB.steady</t>
  </si>
  <si>
    <t>FB pin internal resistance</t>
  </si>
  <si>
    <t>R.FB</t>
  </si>
  <si>
    <t xml:space="preserve">Please Select a Voltage Regulator part number </t>
  </si>
  <si>
    <t>TL431AIT</t>
  </si>
  <si>
    <t>Tx431 referemce voltage</t>
  </si>
  <si>
    <t>V.R</t>
  </si>
  <si>
    <t>Tx431 min operating current</t>
  </si>
  <si>
    <t>I.min</t>
  </si>
  <si>
    <t xml:space="preserve">Please Select an Optocoupler part number </t>
  </si>
  <si>
    <t>SFH617A</t>
  </si>
  <si>
    <t>Optodiode voltage drop</t>
  </si>
  <si>
    <t>V.Fo</t>
  </si>
  <si>
    <t>Optocoupler transfer ratio when Itr = 150uA</t>
  </si>
  <si>
    <t>CTR.steady</t>
  </si>
  <si>
    <t>Optocoupler capacitance</t>
  </si>
  <si>
    <t>C.opto</t>
  </si>
  <si>
    <t>Optocoupler transfer ratio when Itr = 300uA</t>
  </si>
  <si>
    <t>CTR.max</t>
  </si>
  <si>
    <t>Output feedback divider and Vout setting</t>
  </si>
  <si>
    <t>Upper resistor divider</t>
  </si>
  <si>
    <t>R.I</t>
  </si>
  <si>
    <t>Lower resistor divider</t>
  </si>
  <si>
    <t>Ro</t>
  </si>
  <si>
    <t>Regulated ouput voltage</t>
  </si>
  <si>
    <t>Limiting Resistor</t>
  </si>
  <si>
    <t>R.p.Max</t>
  </si>
  <si>
    <t>External EA biasing resistor_max value</t>
  </si>
  <si>
    <t>R.B.max</t>
  </si>
  <si>
    <t>External EA biasing resistor_min value</t>
  </si>
  <si>
    <t>R.B.min</t>
  </si>
  <si>
    <t xml:space="preserve">Maximum Feedback current </t>
  </si>
  <si>
    <t>I.FB</t>
  </si>
  <si>
    <t>DS_Gain</t>
  </si>
  <si>
    <t>K.HV</t>
  </si>
  <si>
    <t>K.M</t>
  </si>
  <si>
    <t>1/V^2</t>
  </si>
  <si>
    <t>K.FF</t>
  </si>
  <si>
    <t>V^3</t>
  </si>
  <si>
    <t>DS_Offset</t>
  </si>
  <si>
    <t>Vos</t>
  </si>
  <si>
    <t>Link to Preliminary calculations</t>
  </si>
  <si>
    <t>Link to Device Setting</t>
  </si>
  <si>
    <t>Feedback Loop Requirements</t>
  </si>
  <si>
    <t>Required phase margin</t>
  </si>
  <si>
    <t>Φ.M</t>
  </si>
  <si>
    <t>deg</t>
  </si>
  <si>
    <t>Max. 3rd harm. Distortion @ full load:</t>
  </si>
  <si>
    <t>D.3rd%</t>
  </si>
  <si>
    <t>Output Power setpoint</t>
  </si>
  <si>
    <t>Po</t>
  </si>
  <si>
    <t>Error Amplifier FB voltage at output power Po</t>
  </si>
  <si>
    <t>V.FB(Po)</t>
  </si>
  <si>
    <t>Output ripple voltage @ 2fL and output power Po (peak-peak):</t>
  </si>
  <si>
    <t>DV(Po,fl)</t>
  </si>
  <si>
    <t xml:space="preserve"> Control-to-output Transfer Function (Constant-power Load) @ output power Po</t>
  </si>
  <si>
    <t>Go(Po)</t>
  </si>
  <si>
    <t>Error Amplifier Quiescent Point</t>
  </si>
  <si>
    <t>V.FB_set</t>
  </si>
  <si>
    <t>Output ripple voltage @ 2fLmin: (peak-peak)</t>
  </si>
  <si>
    <t>ΔV.O</t>
  </si>
  <si>
    <t>Control-to-output Transfer Function (Constant-power Load) worst case</t>
  </si>
  <si>
    <t>G.o_wstOC</t>
  </si>
  <si>
    <t xml:space="preserve"> Control-to-Output TF Crossover Frequency</t>
  </si>
  <si>
    <t>f.cto_Cross</t>
  </si>
  <si>
    <t>Required E/A Gain @ 2fLmin</t>
  </si>
  <si>
    <t>EA_G.2fl</t>
  </si>
  <si>
    <t xml:space="preserve"> Max-to-min input voltage ratio</t>
  </si>
  <si>
    <t>Γ.v</t>
  </si>
  <si>
    <t>Required Venable's α  factor</t>
  </si>
  <si>
    <t>α.v</t>
  </si>
  <si>
    <t>fissato</t>
  </si>
  <si>
    <t>Required Venable's  K factor</t>
  </si>
  <si>
    <t>K.v</t>
  </si>
  <si>
    <t>Compensated Error Amplifier Goal Transfer Function (Type II + HF pole):</t>
  </si>
  <si>
    <t>Required Unity Gain Factor</t>
  </si>
  <si>
    <t>EA.o_Goal</t>
  </si>
  <si>
    <t>Required Central Frequency</t>
  </si>
  <si>
    <t>f.MB</t>
  </si>
  <si>
    <t>Required Pole Frequencies</t>
  </si>
  <si>
    <t>f.p_Goal</t>
  </si>
  <si>
    <t>Required Zero Frequency</t>
  </si>
  <si>
    <t>f.z_Goal</t>
  </si>
  <si>
    <t>Added high frequency pole</t>
  </si>
  <si>
    <t>f.p_HF</t>
  </si>
  <si>
    <t>ERROR AMPLIFIER Compensation Network Implementation (circuit connected to pin 9)</t>
  </si>
  <si>
    <t>Calculated feedback capacitor CFo</t>
  </si>
  <si>
    <t>C.Fo</t>
  </si>
  <si>
    <t>Calculated feedback capacitor  CF</t>
  </si>
  <si>
    <t>C.f</t>
  </si>
  <si>
    <t>Calculated feedback  resistor RF</t>
  </si>
  <si>
    <t>R.f</t>
  </si>
  <si>
    <t>Calculated feedback capacitor CFo for fpx pol</t>
  </si>
  <si>
    <t>C.fx</t>
  </si>
  <si>
    <t>Implemented Error Amplifier Transfer Function Expression</t>
  </si>
  <si>
    <t>Implemented EA Unity Gain Factor</t>
  </si>
  <si>
    <t>EA.o</t>
  </si>
  <si>
    <t>Implemented EA Zero and Pole Frequency</t>
  </si>
  <si>
    <t>f.z</t>
  </si>
  <si>
    <t>f.p</t>
  </si>
  <si>
    <t>Implemented EA Higher Pole Frequency:</t>
  </si>
  <si>
    <t>f.px</t>
  </si>
  <si>
    <t>Loop Compensation Check @ Operating Conditions</t>
  </si>
  <si>
    <t>Output Power percentage</t>
  </si>
  <si>
    <t>P.o.%</t>
  </si>
  <si>
    <t>P.o.x</t>
  </si>
  <si>
    <t>V.FB_OC</t>
  </si>
  <si>
    <t>Output ripple voltage @ 2fL: (peak)</t>
  </si>
  <si>
    <t>ΔV.O_OC</t>
  </si>
  <si>
    <t>Control-to-Output Transfer function (constant-power load)</t>
  </si>
  <si>
    <t>G.o_OC</t>
  </si>
  <si>
    <t>Control-to-Output TF Crossover Frequency</t>
  </si>
  <si>
    <t>f.cto_cross</t>
  </si>
  <si>
    <t>Feedback Loop Requirements check</t>
  </si>
  <si>
    <t>Fcross</t>
  </si>
  <si>
    <t>2*fL</t>
  </si>
  <si>
    <t>frequency</t>
  </si>
  <si>
    <t>Crossover Frequency</t>
  </si>
  <si>
    <t>f.cross</t>
  </si>
  <si>
    <t>G.cto_OC</t>
  </si>
  <si>
    <t>Actual Phase Margin</t>
  </si>
  <si>
    <t>ϕ.M.Act</t>
  </si>
  <si>
    <t>Deg</t>
  </si>
  <si>
    <t>Actual E/A Gain @ 2fL</t>
  </si>
  <si>
    <t>EAG.2fl.Act</t>
  </si>
  <si>
    <t>Actual 3rd Harmonic Distortion @ 2fL</t>
  </si>
  <si>
    <t>D.3rd%.Act</t>
  </si>
  <si>
    <t>IGcto_OCI</t>
  </si>
  <si>
    <t>Fase_Gcto_OC</t>
  </si>
  <si>
    <t>Estimated FB ripple at BM entering threshold</t>
  </si>
  <si>
    <t>ΔV.FM@BM</t>
  </si>
  <si>
    <t>Suggested reduction of RBM resistor</t>
  </si>
  <si>
    <t>ΔRBM</t>
  </si>
  <si>
    <t>EA (f)</t>
  </si>
  <si>
    <t>EA(2fL)</t>
  </si>
  <si>
    <t>IEA(f)I</t>
  </si>
  <si>
    <t>Fase EA</t>
  </si>
  <si>
    <t>Zero</t>
  </si>
  <si>
    <t>IH_OL_OCI</t>
  </si>
  <si>
    <t>Fase H_OL_OC</t>
  </si>
  <si>
    <t>Power Part Schematics</t>
  </si>
  <si>
    <t>BOM and Schematics</t>
  </si>
  <si>
    <t>Resonant tank parameters</t>
  </si>
  <si>
    <t>Pri. to Sec. turn ratio</t>
  </si>
  <si>
    <t>Auxiliary to Secondary turn ratio</t>
  </si>
  <si>
    <t>n.aux_sec</t>
  </si>
  <si>
    <t>Input and output cap</t>
  </si>
  <si>
    <t>PFC input Capacitor</t>
  </si>
  <si>
    <t>Cin</t>
  </si>
  <si>
    <t>Number of output EL capacitor</t>
  </si>
  <si>
    <t>PFC Output EL Capacitor (single)</t>
  </si>
  <si>
    <t>µF</t>
  </si>
  <si>
    <t>PFC Output Ceramic Capcitor</t>
  </si>
  <si>
    <t>Cout ceramic</t>
  </si>
  <si>
    <t>HVSU connecting diodes PN</t>
  </si>
  <si>
    <t>Selected component</t>
  </si>
  <si>
    <t>PN</t>
  </si>
  <si>
    <t>Example of Diodes  PN (x 2)</t>
  </si>
  <si>
    <t>S1M</t>
  </si>
  <si>
    <t>Input Bridge Rectifier  PN</t>
  </si>
  <si>
    <t>Sense resistor</t>
  </si>
  <si>
    <t>Rsense total value</t>
  </si>
  <si>
    <t>Single Rsense value</t>
  </si>
  <si>
    <t>Number of Rsense</t>
  </si>
  <si>
    <t>Compensation network and Output Divider</t>
  </si>
  <si>
    <t>Feedback capacitor CFo</t>
  </si>
  <si>
    <t>C.fo</t>
  </si>
  <si>
    <t>Feedback capacitor CF</t>
  </si>
  <si>
    <t>Feedback resistor RF</t>
  </si>
  <si>
    <t xml:space="preserve">feedback capacitor </t>
  </si>
  <si>
    <t>Output Voltage upper resistor</t>
  </si>
  <si>
    <t>Output Voltage lower resistor</t>
  </si>
  <si>
    <t>R.o</t>
  </si>
  <si>
    <t>Photodiode parallel resistor</t>
  </si>
  <si>
    <t>R.P</t>
  </si>
  <si>
    <t>Bias resistor</t>
  </si>
  <si>
    <t>R.B</t>
  </si>
  <si>
    <t>Controller Part Schematics</t>
  </si>
  <si>
    <t>L6790 pin configuration</t>
  </si>
  <si>
    <t>Upper ZCD resistor</t>
  </si>
  <si>
    <t>R.ZCD.L</t>
  </si>
  <si>
    <t>Lower ZCD resistor</t>
  </si>
  <si>
    <t>R.ZCD.H</t>
  </si>
  <si>
    <t>VCO Timing Capacitor</t>
  </si>
  <si>
    <t>C.T</t>
  </si>
  <si>
    <t>VCO Timing Resistor</t>
  </si>
  <si>
    <t>R.T</t>
  </si>
  <si>
    <t>Burst Mode resistor</t>
  </si>
  <si>
    <t>R.BM</t>
  </si>
  <si>
    <t>CFG resistor</t>
  </si>
  <si>
    <t>R.CFG</t>
  </si>
  <si>
    <t>Half Bridge Switches PN</t>
  </si>
  <si>
    <t>Primary switches</t>
  </si>
  <si>
    <t>HVG1, HVG2, LVG1, LVG2</t>
  </si>
  <si>
    <t>Output power stage PN</t>
  </si>
  <si>
    <t>Optocoupler PN</t>
  </si>
  <si>
    <t>Feedabck Optocoupler</t>
  </si>
  <si>
    <t>EA Voltage Reference PN</t>
  </si>
  <si>
    <t>External Error Amplifier</t>
  </si>
  <si>
    <t>θ</t>
  </si>
  <si>
    <t>V.f</t>
  </si>
  <si>
    <t>Vin_min</t>
  </si>
  <si>
    <t>Vin_nom</t>
  </si>
  <si>
    <t>Vin_max</t>
  </si>
  <si>
    <t>Po-100%</t>
  </si>
  <si>
    <t>Po-75%</t>
  </si>
  <si>
    <t>Po-50%</t>
  </si>
  <si>
    <t>Po-25%</t>
  </si>
  <si>
    <t>Mreq(Vin_min, Vout,θ )</t>
  </si>
  <si>
    <t>Mreq(Vin_max, Vout,θ )</t>
  </si>
  <si>
    <t>Mreq(Vin_max, Vout,π/2 )</t>
  </si>
  <si>
    <t>P(100% Po,θ )</t>
  </si>
  <si>
    <t>P(75% Po,θ )</t>
  </si>
  <si>
    <t>P(50% Po,θ )</t>
  </si>
  <si>
    <t>P(25% Po,θ )</t>
  </si>
  <si>
    <t>fn.0</t>
  </si>
  <si>
    <t>fn</t>
  </si>
  <si>
    <t>fn.max</t>
  </si>
  <si>
    <t>fmax</t>
  </si>
  <si>
    <t>M.OL(fn)</t>
  </si>
  <si>
    <t>M.Z(fn)</t>
  </si>
  <si>
    <t>Minf</t>
  </si>
  <si>
    <r>
      <t>π</t>
    </r>
    <r>
      <rPr>
        <sz val="11.45"/>
        <color theme="1"/>
        <rFont val="Aptos Narrow"/>
        <family val="2"/>
      </rPr>
      <t>/2</t>
    </r>
  </si>
  <si>
    <r>
      <t>5π</t>
    </r>
    <r>
      <rPr>
        <sz val="11.45"/>
        <color theme="1"/>
        <rFont val="Aptos Narrow"/>
        <family val="2"/>
      </rPr>
      <t>/12</t>
    </r>
  </si>
  <si>
    <r>
      <t>π</t>
    </r>
    <r>
      <rPr>
        <sz val="11.45"/>
        <color theme="1"/>
        <rFont val="Aptos Narrow"/>
        <family val="2"/>
      </rPr>
      <t>/3</t>
    </r>
  </si>
  <si>
    <r>
      <t>π</t>
    </r>
    <r>
      <rPr>
        <sz val="11.45"/>
        <color theme="1"/>
        <rFont val="Aptos Narrow"/>
        <family val="2"/>
      </rPr>
      <t>/4</t>
    </r>
  </si>
  <si>
    <r>
      <t>π</t>
    </r>
    <r>
      <rPr>
        <sz val="11.45"/>
        <color theme="1"/>
        <rFont val="Aptos Narrow"/>
        <family val="2"/>
      </rPr>
      <t>/6</t>
    </r>
  </si>
  <si>
    <r>
      <t>π</t>
    </r>
    <r>
      <rPr>
        <sz val="11.45"/>
        <color theme="1"/>
        <rFont val="Aptos Narrow"/>
        <family val="2"/>
      </rPr>
      <t>/12</t>
    </r>
  </si>
  <si>
    <t>Q(Po,π/2 )</t>
  </si>
  <si>
    <t>Q(Po,5π/12 )</t>
  </si>
  <si>
    <t>Q(Po,π/3)</t>
  </si>
  <si>
    <t>Q(Po,π/4 )</t>
  </si>
  <si>
    <t>Q(Po,π/6)</t>
  </si>
  <si>
    <t>Q(Po,π/12)</t>
  </si>
  <si>
    <t>Fn max gain</t>
  </si>
  <si>
    <t>This cell value is fn at maximum gain</t>
  </si>
  <si>
    <t>M(fn,Po,π/2)</t>
  </si>
  <si>
    <t>M(fn,Po,5π/12)</t>
  </si>
  <si>
    <t>M(fn,Po,π/3)</t>
  </si>
  <si>
    <t>M(fn,Po,π/4)</t>
  </si>
  <si>
    <t>M(fn,Po,π/6)</t>
  </si>
  <si>
    <t>M(fn,Po,π/12)</t>
  </si>
  <si>
    <t>Mreq(Vin_min, Vout,π/2 )</t>
  </si>
  <si>
    <t>Mreq(Vin_min, Vout,5π/12 )</t>
  </si>
  <si>
    <t>Mreq(Vin_min, Vout,π/3 )</t>
  </si>
  <si>
    <t>Mreq(Vin_min, Vout,π/4 )</t>
  </si>
  <si>
    <t>Mreq(Vin_min, Vout,π/6 )</t>
  </si>
  <si>
    <t>Mreq(Vin_min, Vout,π/12 )</t>
  </si>
  <si>
    <t>fn where M(fn,Po,π/2)=Mreq(Vin_min, Vout,π/2 )</t>
  </si>
  <si>
    <t>fn where M(fn,Po,5π/12)=Mreq(Vin_min, Vout,5π/12 )</t>
  </si>
  <si>
    <t>fn where M(fn,Po,π/3)=Mreq(Vin_min, Vout,π/3 )</t>
  </si>
  <si>
    <t>fn where M(fn,Po,π/4)=Mreq(Vin_min, Vout,π/4 )</t>
  </si>
  <si>
    <t>fn where M(fn,Po,π/6)=Mreq(Vin_min, Vout,π/6 )</t>
  </si>
  <si>
    <t>fn where M(fn,Po,π/12)=Mreq(Vin_min, Vout,π/12 )</t>
  </si>
  <si>
    <t>Mreq(Vin_max, Vout,5π/12 )</t>
  </si>
  <si>
    <t>Mreq(Vin_max, Vout,π/3 )</t>
  </si>
  <si>
    <t>Mreq(Vin_max, Vout,π/4 )</t>
  </si>
  <si>
    <t>Mreq(Vin_max, Vout,π/6 )</t>
  </si>
  <si>
    <t>Mreq(Vin_max, Vout,π/12 )</t>
  </si>
  <si>
    <t>fn where M(fn,Po,π/2)=Mreq(Vin_max, Vout,π/2 )</t>
  </si>
  <si>
    <t>fn where M(fn,Po,5π/12)=Mreq(Vin_max, Vout,5π/12 )</t>
  </si>
  <si>
    <t>fn where M(fn,Po,π/3)=Mreq(Vin_max, Vout,π/3 )</t>
  </si>
  <si>
    <t>fn where M(fn,Po,π/4)=Mreq(Vin_max, Vout,π/4 )</t>
  </si>
  <si>
    <t>fn where M(fn,Po,π/6)=Mreq(Vin_max, Vout,π/6 )</t>
  </si>
  <si>
    <t>fn where M(fn,Po,π/12)=Mreq(Vin_max, Vout,π/12 )</t>
  </si>
  <si>
    <t>Mreq(Vin_nom, Vout,π/2 )</t>
  </si>
  <si>
    <t>Mreq(Vin_nom, Vout,5π/12 )</t>
  </si>
  <si>
    <t>Mreq(Vin_nom, Vout,π/3 )</t>
  </si>
  <si>
    <t>Mreq(Vin_nom, Vout,π/4 )</t>
  </si>
  <si>
    <t>Mreq(Vin_nom, Vout,π/6 )</t>
  </si>
  <si>
    <t>Mreq(Vin_nom, Vout,π/12 )</t>
  </si>
  <si>
    <t>fn where M(fn,Po,π/2)=Mreq(Vin_nom, Vout,π/2 )</t>
  </si>
  <si>
    <t>fn where M(fn,Po,5π/12)=Mreq(Vin_nom, Vout,5π/12 )</t>
  </si>
  <si>
    <t>fn where M(fn,Po,π/3)=Mreq(Vin_nom, Vout,π/3 )</t>
  </si>
  <si>
    <t>fn where M(fn,Po,π/4)=Mreq(Vin_nom, Vout,π/4 )</t>
  </si>
  <si>
    <t>fn where M(fn,Po,π/6)=Mreq(Vin_nom, Vout,π/6 )</t>
  </si>
  <si>
    <t>fn where M(fn,Po,π/12)=Mreq(Vin_nom, Vout,π/12 )</t>
  </si>
  <si>
    <t>Q(100% Po,π/2 )</t>
  </si>
  <si>
    <t>Q(75% Po,π/2 )</t>
  </si>
  <si>
    <t>Q(50% Po,π/2 )</t>
  </si>
  <si>
    <t>Q(25% Po,π/2 )</t>
  </si>
  <si>
    <t>M(fn,100% Po,π/2)</t>
  </si>
  <si>
    <t>M(fn,75% Po,π/2)</t>
  </si>
  <si>
    <t>M(fn,50% Po,π/2)</t>
  </si>
  <si>
    <t>M(fn,25% Po,π/2)</t>
  </si>
  <si>
    <t>Q(100% Po,π/4 )</t>
  </si>
  <si>
    <t>Q(75% Po,π/4 )</t>
  </si>
  <si>
    <t>Q(50% Po,π/4)</t>
  </si>
  <si>
    <t>Q(25% Po,π/4 )</t>
  </si>
  <si>
    <t>M(fn,100% Po,π/4)</t>
  </si>
  <si>
    <t>M(fn,75% Po,π/4)</t>
  </si>
  <si>
    <t>M(fn,50% Po,π/4)</t>
  </si>
  <si>
    <t>M(fn,25% Po,π/4)</t>
  </si>
  <si>
    <t>M(fn,100%,π/2)-Mreq(Vin_min, Vout,π/2)</t>
  </si>
  <si>
    <t>Favg_load</t>
  </si>
  <si>
    <t>Freal</t>
  </si>
  <si>
    <t>IF&lt;0,005</t>
  </si>
  <si>
    <t>M(fn,75%,π/2)-Mreq(Vin_min, Vout,π/2)</t>
  </si>
  <si>
    <t>M(fn,50%,π/2)-Mreq(Vin_min, Vout,π/2)</t>
  </si>
  <si>
    <t>M(fn,25%,π/2)-Mreq(Vin_min, Vout,π/2)</t>
  </si>
  <si>
    <t>M(fn,100%,π/4)-Mreq(Vin_max, Vout,π/4)</t>
  </si>
  <si>
    <t>M(fn,75%,π/4)-Mreq(Vin_max, Vout,π/4)</t>
  </si>
  <si>
    <t>M(fn,50%,π/4)-Mreq(Vin_max, Vout,π/4)</t>
  </si>
  <si>
    <t>M(fn,25%,π/4)-Mreq(Vin_max, Vout,π/4)</t>
  </si>
  <si>
    <t>Angolo</t>
  </si>
  <si>
    <t>Rad</t>
  </si>
  <si>
    <t>centro</t>
  </si>
  <si>
    <t xml:space="preserve">fsw </t>
  </si>
  <si>
    <t>fres [kHz]</t>
  </si>
  <si>
    <t>π</t>
  </si>
  <si>
    <t>11π/12</t>
  </si>
  <si>
    <t>5π/6</t>
  </si>
  <si>
    <t>3π/4</t>
  </si>
  <si>
    <t>2π/3</t>
  </si>
  <si>
    <t>7π/12</t>
  </si>
  <si>
    <t>π/2</t>
  </si>
  <si>
    <t>5π/12</t>
  </si>
  <si>
    <t>π/3</t>
  </si>
  <si>
    <t>π/4</t>
  </si>
  <si>
    <t>π/6</t>
  </si>
  <si>
    <t>π/12</t>
  </si>
  <si>
    <t>Vinnom</t>
  </si>
  <si>
    <t>Upper fres</t>
  </si>
  <si>
    <t xml:space="preserve">Lower fres </t>
  </si>
  <si>
    <t>PI/4</t>
  </si>
  <si>
    <t>PI/3</t>
  </si>
  <si>
    <t>PI/2</t>
  </si>
  <si>
    <t>2*PI/3</t>
  </si>
  <si>
    <t>3*PI/4</t>
  </si>
  <si>
    <t>Pinst</t>
  </si>
  <si>
    <t>Iout.inst</t>
  </si>
  <si>
    <t>@Vinmin</t>
  </si>
  <si>
    <t>fsw</t>
  </si>
  <si>
    <t>fr</t>
  </si>
  <si>
    <t>Isec.pk.tsw</t>
  </si>
  <si>
    <t>Isec.rms.tsw (per winding)</t>
  </si>
  <si>
    <t>Idiode.rms.tsw (per diode)</t>
  </si>
  <si>
    <t>Itrafo.pk.tsw</t>
  </si>
  <si>
    <t>Ilm.pk.tsw (trapezoidal)</t>
  </si>
  <si>
    <t>Ipri.rms.tsw</t>
  </si>
  <si>
    <t>Imos.rms.tsw (per mos)</t>
  </si>
  <si>
    <t>Icout.rms</t>
  </si>
  <si>
    <t>@Vinmax</t>
  </si>
  <si>
    <t>@Vinnom</t>
  </si>
  <si>
    <t>Case Size Table and Permissible Ripple Current</t>
  </si>
  <si>
    <t>Multicomp PRO MCLPR Series</t>
  </si>
  <si>
    <t xml:space="preserve">W.V. </t>
  </si>
  <si>
    <t xml:space="preserve">Cap.(μF) </t>
  </si>
  <si>
    <t>Case Size ØD [mm]</t>
  </si>
  <si>
    <t>Case Size L [mm]</t>
  </si>
  <si>
    <t>R.C. [A rms]</t>
  </si>
  <si>
    <t>tan(delta)</t>
  </si>
  <si>
    <t>Estimated ESR</t>
  </si>
  <si>
    <r>
      <t>Volume cm</t>
    </r>
    <r>
      <rPr>
        <b/>
        <vertAlign val="superscript"/>
        <sz val="9"/>
        <color rgb="FF242021"/>
        <rFont val="Arial-BoldMT"/>
      </rPr>
      <t>3</t>
    </r>
  </si>
  <si>
    <t>Cap/Vol</t>
  </si>
  <si>
    <t>Energy/Vol maximum</t>
  </si>
  <si>
    <t>Energy/Vol  suitable cap</t>
  </si>
  <si>
    <t>Total volume</t>
  </si>
  <si>
    <t>Min</t>
  </si>
  <si>
    <t>Expected cap volume [cm3]</t>
  </si>
  <si>
    <t>Number of caps</t>
  </si>
  <si>
    <t>Volume check</t>
  </si>
  <si>
    <t>Output voltage</t>
  </si>
  <si>
    <t>link</t>
  </si>
  <si>
    <t>Ripple pk-pk</t>
  </si>
  <si>
    <t xml:space="preserve">Maximum output voltage </t>
  </si>
  <si>
    <t>Min cap for ripple pk-pk</t>
  </si>
  <si>
    <t>Min cap for hold-up</t>
  </si>
  <si>
    <t>Max required cap</t>
  </si>
  <si>
    <t>Max height link [mm]</t>
  </si>
  <si>
    <t>Max height [mm]</t>
  </si>
  <si>
    <t>Release 1.0</t>
  </si>
  <si>
    <t xml:space="preserve"> STO60N045DM9</t>
  </si>
  <si>
    <t>TPH3R70APL1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</si>
</sst>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#,##0.00\ &quot;€&quot;"/>
    <numFmt numFmtId="166" formatCode="0.00000"/>
    <numFmt numFmtId="167" formatCode="0.000E+00"/>
    <numFmt numFmtId="168" formatCode="0.0"/>
  </numFmts>
  <fonts count="3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Grotesque"/>
      <family val="2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11.45"/>
      <color theme="1"/>
      <name val="Aptos Narrow"/>
      <family val="2"/>
    </font>
    <font>
      <sz val="8"/>
      <name val="Aptos Narrow"/>
      <family val="2"/>
      <scheme val="minor"/>
    </font>
    <font>
      <sz val="11"/>
      <color theme="1"/>
      <name val="Grotesque"/>
      <family val="2"/>
      <charset val="1"/>
    </font>
    <font>
      <sz val="9.35"/>
      <color theme="1"/>
      <name val="Aptos Narrow"/>
      <family val="2"/>
    </font>
    <font>
      <b/>
      <i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9.35"/>
      <color theme="1"/>
      <name val="Arial"/>
      <family val="2"/>
    </font>
    <font>
      <sz val="11"/>
      <name val="Arial"/>
      <family val="2"/>
    </font>
    <font>
      <b/>
      <sz val="20"/>
      <color rgb="FF000000"/>
      <name val="Arial"/>
      <family val="2"/>
    </font>
    <font>
      <b/>
      <u/>
      <sz val="11"/>
      <name val="Arial"/>
      <family val="2"/>
    </font>
    <font>
      <b/>
      <i/>
      <sz val="11"/>
      <name val="Arial"/>
      <family val="2"/>
    </font>
    <font>
      <b/>
      <sz val="12"/>
      <color theme="1"/>
      <name val="Arial"/>
      <family val="2"/>
    </font>
    <font>
      <sz val="11"/>
      <color theme="0"/>
      <name val="Arial"/>
      <family val="2"/>
    </font>
    <font>
      <b/>
      <sz val="11"/>
      <color theme="0" tint="-0.14999847407452621"/>
      <name val="Arial"/>
      <family val="2"/>
    </font>
    <font>
      <sz val="11"/>
      <color theme="0" tint="-0.14999847407452621"/>
      <name val="Arial"/>
      <family val="2"/>
    </font>
    <font>
      <b/>
      <sz val="12"/>
      <color theme="0"/>
      <name val="Arial"/>
      <family val="2"/>
    </font>
    <font>
      <sz val="14"/>
      <color theme="1"/>
      <name val="Arial"/>
      <family val="2"/>
    </font>
    <font>
      <sz val="11"/>
      <color rgb="FFFF000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color rgb="FF242021"/>
      <name val="Arial-BoldMT"/>
    </font>
    <font>
      <b/>
      <sz val="9"/>
      <color rgb="FF242021"/>
      <name val="Arial-BoldMT"/>
    </font>
    <font>
      <b/>
      <vertAlign val="superscript"/>
      <sz val="9"/>
      <color rgb="FF242021"/>
      <name val="Arial-BoldMT"/>
    </font>
    <font>
      <sz val="9"/>
      <color rgb="FF242021"/>
      <name val="ArialMT"/>
    </font>
    <font>
      <vertAlign val="superscript"/>
      <sz val="11"/>
      <color theme="1"/>
      <name val="Arial"/>
      <family val="2"/>
    </font>
    <font>
      <sz val="11"/>
      <color theme="0"/>
      <name val="Aptos Narrow"/>
      <family val="2"/>
      <scheme val="minor"/>
    </font>
    <font>
      <sz val="10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0" fillId="3" borderId="0" xfId="0" applyFont="1" applyFill="1" applyProtection="1">
      <protection hidden="1"/>
    </xf>
    <xf numFmtId="0" fontId="0" fillId="3" borderId="0" xfId="0" applyFill="1" applyProtection="1">
      <protection hidden="1"/>
    </xf>
    <xf numFmtId="0" fontId="0" fillId="3" borderId="1" xfId="0" applyFill="1" applyBorder="1" applyProtection="1">
      <protection hidden="1"/>
    </xf>
    <xf numFmtId="2" fontId="0" fillId="3" borderId="0" xfId="0" applyNumberFormat="1" applyFill="1" applyProtection="1">
      <protection hidden="1"/>
    </xf>
    <xf numFmtId="0" fontId="9" fillId="3" borderId="0" xfId="0" applyFont="1" applyFill="1" applyAlignment="1" applyProtection="1">
      <alignment horizontal="center"/>
      <protection hidden="1"/>
    </xf>
    <xf numFmtId="0" fontId="12" fillId="3" borderId="0" xfId="0" applyFont="1" applyFill="1" applyProtection="1">
      <protection hidden="1"/>
    </xf>
    <xf numFmtId="0" fontId="0" fillId="11" borderId="1" xfId="0" applyFill="1" applyBorder="1" applyProtection="1">
      <protection hidden="1"/>
    </xf>
    <xf numFmtId="0" fontId="0" fillId="3" borderId="23" xfId="0" applyFill="1" applyBorder="1" applyProtection="1">
      <protection hidden="1"/>
    </xf>
    <xf numFmtId="0" fontId="0" fillId="3" borderId="11" xfId="0" applyFill="1" applyBorder="1" applyProtection="1">
      <protection hidden="1"/>
    </xf>
    <xf numFmtId="0" fontId="0" fillId="3" borderId="12" xfId="0" applyFill="1" applyBorder="1" applyProtection="1">
      <protection hidden="1"/>
    </xf>
    <xf numFmtId="0" fontId="0" fillId="3" borderId="13" xfId="0" applyFill="1" applyBorder="1" applyProtection="1">
      <protection hidden="1"/>
    </xf>
    <xf numFmtId="0" fontId="0" fillId="3" borderId="14" xfId="0" applyFill="1" applyBorder="1" applyProtection="1">
      <protection hidden="1"/>
    </xf>
    <xf numFmtId="0" fontId="0" fillId="3" borderId="15" xfId="0" applyFill="1" applyBorder="1" applyProtection="1">
      <protection hidden="1"/>
    </xf>
    <xf numFmtId="0" fontId="0" fillId="3" borderId="16" xfId="0" applyFill="1" applyBorder="1" applyProtection="1">
      <protection hidden="1"/>
    </xf>
    <xf numFmtId="0" fontId="0" fillId="3" borderId="17" xfId="0" applyFill="1" applyBorder="1" applyProtection="1">
      <protection hidden="1"/>
    </xf>
    <xf numFmtId="0" fontId="0" fillId="5" borderId="1" xfId="0" applyFill="1" applyBorder="1" applyProtection="1">
      <protection hidden="1"/>
    </xf>
    <xf numFmtId="2" fontId="0" fillId="5" borderId="1" xfId="0" applyNumberFormat="1" applyFill="1" applyBorder="1" applyProtection="1">
      <protection hidden="1"/>
    </xf>
    <xf numFmtId="0" fontId="0" fillId="3" borderId="0" xfId="0" quotePrefix="1" applyFill="1" applyProtection="1">
      <protection hidden="1"/>
    </xf>
    <xf numFmtId="0" fontId="0" fillId="3" borderId="5" xfId="0" applyFill="1" applyBorder="1" applyProtection="1">
      <protection hidden="1"/>
    </xf>
    <xf numFmtId="0" fontId="1" fillId="3" borderId="0" xfId="0" applyFont="1" applyFill="1" applyProtection="1">
      <protection hidden="1"/>
    </xf>
    <xf numFmtId="0" fontId="14" fillId="3" borderId="0" xfId="0" applyFont="1" applyFill="1" applyProtection="1">
      <protection hidden="1"/>
    </xf>
    <xf numFmtId="2" fontId="14" fillId="11" borderId="1" xfId="0" applyNumberFormat="1" applyFont="1" applyFill="1" applyBorder="1" applyProtection="1">
      <protection hidden="1"/>
    </xf>
    <xf numFmtId="2" fontId="14" fillId="3" borderId="0" xfId="0" applyNumberFormat="1" applyFont="1" applyFill="1" applyProtection="1">
      <protection hidden="1"/>
    </xf>
    <xf numFmtId="0" fontId="14" fillId="11" borderId="1" xfId="0" applyFont="1" applyFill="1" applyBorder="1" applyProtection="1">
      <protection hidden="1"/>
    </xf>
    <xf numFmtId="0" fontId="15" fillId="3" borderId="0" xfId="0" applyFont="1" applyFill="1" applyProtection="1">
      <protection hidden="1"/>
    </xf>
    <xf numFmtId="2" fontId="0" fillId="11" borderId="1" xfId="0" applyNumberFormat="1" applyFill="1" applyBorder="1" applyProtection="1">
      <protection hidden="1"/>
    </xf>
    <xf numFmtId="0" fontId="17" fillId="3" borderId="0" xfId="0" applyFont="1" applyFill="1" applyProtection="1">
      <protection hidden="1"/>
    </xf>
    <xf numFmtId="0" fontId="17" fillId="11" borderId="1" xfId="0" applyFont="1" applyFill="1" applyBorder="1" applyProtection="1">
      <protection hidden="1"/>
    </xf>
    <xf numFmtId="0" fontId="15" fillId="3" borderId="5" xfId="0" applyFont="1" applyFill="1" applyBorder="1" applyProtection="1">
      <protection hidden="1"/>
    </xf>
    <xf numFmtId="0" fontId="14" fillId="3" borderId="5" xfId="0" applyFont="1" applyFill="1" applyBorder="1" applyProtection="1">
      <protection hidden="1"/>
    </xf>
    <xf numFmtId="0" fontId="17" fillId="3" borderId="5" xfId="0" applyFont="1" applyFill="1" applyBorder="1" applyProtection="1">
      <protection hidden="1"/>
    </xf>
    <xf numFmtId="0" fontId="0" fillId="2" borderId="0" xfId="0" applyFill="1" applyProtection="1">
      <protection hidden="1"/>
    </xf>
    <xf numFmtId="0" fontId="4" fillId="3" borderId="0" xfId="0" applyFont="1" applyFill="1" applyProtection="1">
      <protection hidden="1"/>
    </xf>
    <xf numFmtId="164" fontId="0" fillId="3" borderId="0" xfId="0" applyNumberFormat="1" applyFill="1" applyProtection="1">
      <protection hidden="1"/>
    </xf>
    <xf numFmtId="0" fontId="0" fillId="0" borderId="0" xfId="0" applyProtection="1">
      <protection hidden="1"/>
    </xf>
    <xf numFmtId="0" fontId="0" fillId="4" borderId="0" xfId="0" applyFill="1" applyProtection="1">
      <protection hidden="1"/>
    </xf>
    <xf numFmtId="0" fontId="0" fillId="9" borderId="0" xfId="0" applyFill="1" applyProtection="1">
      <protection hidden="1"/>
    </xf>
    <xf numFmtId="0" fontId="0" fillId="3" borderId="18" xfId="0" applyFill="1" applyBorder="1" applyProtection="1">
      <protection hidden="1"/>
    </xf>
    <xf numFmtId="0" fontId="0" fillId="3" borderId="19" xfId="0" applyFill="1" applyBorder="1" applyProtection="1">
      <protection hidden="1"/>
    </xf>
    <xf numFmtId="0" fontId="0" fillId="3" borderId="20" xfId="0" applyFill="1" applyBorder="1" applyProtection="1">
      <protection hidden="1"/>
    </xf>
    <xf numFmtId="0" fontId="1" fillId="10" borderId="21" xfId="0" applyFont="1" applyFill="1" applyBorder="1" applyProtection="1">
      <protection hidden="1"/>
    </xf>
    <xf numFmtId="0" fontId="1" fillId="3" borderId="10" xfId="0" applyFont="1" applyFill="1" applyBorder="1" applyProtection="1">
      <protection hidden="1"/>
    </xf>
    <xf numFmtId="0" fontId="1" fillId="3" borderId="22" xfId="0" applyFont="1" applyFill="1" applyBorder="1" applyProtection="1">
      <protection hidden="1"/>
    </xf>
    <xf numFmtId="0" fontId="0" fillId="10" borderId="13" xfId="0" applyFill="1" applyBorder="1" applyProtection="1">
      <protection hidden="1"/>
    </xf>
    <xf numFmtId="0" fontId="1" fillId="3" borderId="19" xfId="0" applyFont="1" applyFill="1" applyBorder="1" applyProtection="1">
      <protection hidden="1"/>
    </xf>
    <xf numFmtId="0" fontId="0" fillId="10" borderId="15" xfId="0" applyFill="1" applyBorder="1" applyProtection="1">
      <protection hidden="1"/>
    </xf>
    <xf numFmtId="0" fontId="1" fillId="3" borderId="20" xfId="0" applyFont="1" applyFill="1" applyBorder="1" applyProtection="1">
      <protection hidden="1"/>
    </xf>
    <xf numFmtId="0" fontId="0" fillId="3" borderId="18" xfId="0" applyFill="1" applyBorder="1" applyAlignment="1" applyProtection="1">
      <alignment horizontal="center"/>
      <protection hidden="1"/>
    </xf>
    <xf numFmtId="2" fontId="0" fillId="3" borderId="18" xfId="0" applyNumberFormat="1" applyFill="1" applyBorder="1" applyAlignment="1" applyProtection="1">
      <alignment horizontal="center"/>
      <protection hidden="1"/>
    </xf>
    <xf numFmtId="2" fontId="0" fillId="3" borderId="18" xfId="0" applyNumberFormat="1" applyFill="1" applyBorder="1" applyProtection="1">
      <protection hidden="1"/>
    </xf>
    <xf numFmtId="0" fontId="0" fillId="3" borderId="19" xfId="0" applyFill="1" applyBorder="1" applyAlignment="1" applyProtection="1">
      <alignment horizontal="center"/>
      <protection hidden="1"/>
    </xf>
    <xf numFmtId="2" fontId="0" fillId="3" borderId="19" xfId="0" applyNumberFormat="1" applyFill="1" applyBorder="1" applyAlignment="1" applyProtection="1">
      <alignment horizontal="center"/>
      <protection hidden="1"/>
    </xf>
    <xf numFmtId="2" fontId="0" fillId="3" borderId="19" xfId="0" applyNumberFormat="1" applyFill="1" applyBorder="1" applyProtection="1">
      <protection hidden="1"/>
    </xf>
    <xf numFmtId="0" fontId="0" fillId="3" borderId="20" xfId="0" applyFill="1" applyBorder="1" applyAlignment="1" applyProtection="1">
      <alignment horizontal="center"/>
      <protection hidden="1"/>
    </xf>
    <xf numFmtId="2" fontId="0" fillId="3" borderId="20" xfId="0" applyNumberFormat="1" applyFill="1" applyBorder="1" applyAlignment="1" applyProtection="1">
      <alignment horizontal="center"/>
      <protection hidden="1"/>
    </xf>
    <xf numFmtId="2" fontId="0" fillId="3" borderId="20" xfId="0" applyNumberFormat="1" applyFill="1" applyBorder="1" applyProtection="1">
      <protection hidden="1"/>
    </xf>
    <xf numFmtId="0" fontId="0" fillId="10" borderId="20" xfId="0" applyFill="1" applyBorder="1" applyProtection="1">
      <protection hidden="1"/>
    </xf>
    <xf numFmtId="0" fontId="0" fillId="6" borderId="0" xfId="0" applyFill="1" applyProtection="1">
      <protection hidden="1"/>
    </xf>
    <xf numFmtId="0" fontId="0" fillId="3" borderId="2" xfId="0" applyFill="1" applyBorder="1" applyProtection="1">
      <protection hidden="1"/>
    </xf>
    <xf numFmtId="0" fontId="0" fillId="3" borderId="3" xfId="0" applyFill="1" applyBorder="1" applyProtection="1">
      <protection hidden="1"/>
    </xf>
    <xf numFmtId="0" fontId="0" fillId="3" borderId="4" xfId="0" applyFill="1" applyBorder="1" applyProtection="1">
      <protection hidden="1"/>
    </xf>
    <xf numFmtId="0" fontId="0" fillId="3" borderId="6" xfId="0" applyFill="1" applyBorder="1" applyProtection="1">
      <protection hidden="1"/>
    </xf>
    <xf numFmtId="0" fontId="0" fillId="3" borderId="7" xfId="0" applyFill="1" applyBorder="1" applyProtection="1">
      <protection hidden="1"/>
    </xf>
    <xf numFmtId="0" fontId="0" fillId="3" borderId="8" xfId="0" applyFill="1" applyBorder="1" applyProtection="1">
      <protection hidden="1"/>
    </xf>
    <xf numFmtId="0" fontId="0" fillId="3" borderId="9" xfId="0" applyFill="1" applyBorder="1" applyProtection="1">
      <protection hidden="1"/>
    </xf>
    <xf numFmtId="0" fontId="13" fillId="3" borderId="0" xfId="0" applyFont="1" applyFill="1" applyProtection="1">
      <protection hidden="1"/>
    </xf>
    <xf numFmtId="0" fontId="2" fillId="3" borderId="1" xfId="0" applyFont="1" applyFill="1" applyBorder="1" applyProtection="1">
      <protection hidden="1"/>
    </xf>
    <xf numFmtId="0" fontId="3" fillId="12" borderId="25" xfId="0" applyFont="1" applyFill="1" applyBorder="1" applyProtection="1">
      <protection hidden="1"/>
    </xf>
    <xf numFmtId="0" fontId="3" fillId="12" borderId="1" xfId="0" applyFont="1" applyFill="1" applyBorder="1" applyProtection="1">
      <protection hidden="1"/>
    </xf>
    <xf numFmtId="0" fontId="0" fillId="13" borderId="25" xfId="0" applyFill="1" applyBorder="1" applyProtection="1">
      <protection hidden="1"/>
    </xf>
    <xf numFmtId="0" fontId="0" fillId="13" borderId="1" xfId="0" applyFill="1" applyBorder="1" applyProtection="1">
      <protection hidden="1"/>
    </xf>
    <xf numFmtId="0" fontId="0" fillId="12" borderId="1" xfId="0" applyFill="1" applyBorder="1" applyProtection="1">
      <protection hidden="1"/>
    </xf>
    <xf numFmtId="0" fontId="2" fillId="13" borderId="1" xfId="0" applyFont="1" applyFill="1" applyBorder="1" applyProtection="1">
      <protection hidden="1"/>
    </xf>
    <xf numFmtId="0" fontId="0" fillId="3" borderId="25" xfId="0" applyFill="1" applyBorder="1" applyProtection="1">
      <protection hidden="1"/>
    </xf>
    <xf numFmtId="2" fontId="14" fillId="5" borderId="1" xfId="0" applyNumberFormat="1" applyFont="1" applyFill="1" applyBorder="1" applyProtection="1">
      <protection hidden="1"/>
    </xf>
    <xf numFmtId="164" fontId="14" fillId="3" borderId="0" xfId="0" applyNumberFormat="1" applyFont="1" applyFill="1" applyProtection="1">
      <protection hidden="1"/>
    </xf>
    <xf numFmtId="165" fontId="14" fillId="3" borderId="0" xfId="0" applyNumberFormat="1" applyFont="1" applyFill="1" applyProtection="1">
      <protection hidden="1"/>
    </xf>
    <xf numFmtId="0" fontId="19" fillId="3" borderId="0" xfId="0" applyFont="1" applyFill="1" applyAlignment="1" applyProtection="1">
      <alignment horizontal="center"/>
      <protection hidden="1"/>
    </xf>
    <xf numFmtId="2" fontId="19" fillId="3" borderId="0" xfId="0" applyNumberFormat="1" applyFont="1" applyFill="1" applyAlignment="1" applyProtection="1">
      <alignment horizontal="center"/>
      <protection hidden="1"/>
    </xf>
    <xf numFmtId="0" fontId="20" fillId="3" borderId="0" xfId="0" applyFont="1" applyFill="1" applyAlignment="1" applyProtection="1">
      <alignment horizontal="center"/>
      <protection hidden="1"/>
    </xf>
    <xf numFmtId="0" fontId="14" fillId="5" borderId="1" xfId="0" applyFont="1" applyFill="1" applyBorder="1" applyProtection="1">
      <protection hidden="1"/>
    </xf>
    <xf numFmtId="0" fontId="21" fillId="3" borderId="0" xfId="0" applyFont="1" applyFill="1" applyProtection="1">
      <protection hidden="1"/>
    </xf>
    <xf numFmtId="166" fontId="14" fillId="11" borderId="1" xfId="0" applyNumberFormat="1" applyFont="1" applyFill="1" applyBorder="1" applyProtection="1">
      <protection hidden="1"/>
    </xf>
    <xf numFmtId="0" fontId="22" fillId="3" borderId="0" xfId="0" applyFont="1" applyFill="1" applyProtection="1">
      <protection hidden="1"/>
    </xf>
    <xf numFmtId="0" fontId="14" fillId="2" borderId="1" xfId="0" applyFont="1" applyFill="1" applyBorder="1" applyAlignment="1" applyProtection="1">
      <alignment horizontal="center"/>
      <protection locked="0"/>
    </xf>
    <xf numFmtId="164" fontId="14" fillId="3" borderId="1" xfId="0" applyNumberFormat="1" applyFont="1" applyFill="1" applyBorder="1" applyAlignment="1" applyProtection="1">
      <alignment horizontal="center"/>
      <protection hidden="1"/>
    </xf>
    <xf numFmtId="164" fontId="14" fillId="11" borderId="1" xfId="0" applyNumberFormat="1" applyFont="1" applyFill="1" applyBorder="1" applyAlignment="1" applyProtection="1">
      <alignment horizontal="center"/>
      <protection hidden="1"/>
    </xf>
    <xf numFmtId="0" fontId="14" fillId="3" borderId="1" xfId="0" applyFont="1" applyFill="1" applyBorder="1" applyAlignment="1" applyProtection="1">
      <alignment horizontal="center"/>
      <protection hidden="1"/>
    </xf>
    <xf numFmtId="0" fontId="14" fillId="11" borderId="1" xfId="0" applyFont="1" applyFill="1" applyBorder="1" applyAlignment="1" applyProtection="1">
      <alignment horizontal="center"/>
      <protection hidden="1"/>
    </xf>
    <xf numFmtId="0" fontId="15" fillId="4" borderId="1" xfId="0" applyFont="1" applyFill="1" applyBorder="1" applyAlignment="1" applyProtection="1">
      <alignment horizontal="center"/>
      <protection hidden="1"/>
    </xf>
    <xf numFmtId="1" fontId="14" fillId="2" borderId="1" xfId="0" applyNumberFormat="1" applyFont="1" applyFill="1" applyBorder="1" applyAlignment="1" applyProtection="1">
      <alignment horizontal="center"/>
      <protection locked="0"/>
    </xf>
    <xf numFmtId="2" fontId="14" fillId="3" borderId="1" xfId="0" applyNumberFormat="1" applyFont="1" applyFill="1" applyBorder="1" applyAlignment="1" applyProtection="1">
      <alignment horizontal="center"/>
      <protection hidden="1"/>
    </xf>
    <xf numFmtId="0" fontId="14" fillId="3" borderId="0" xfId="0" applyFont="1" applyFill="1" applyAlignment="1" applyProtection="1">
      <alignment horizontal="center"/>
      <protection hidden="1"/>
    </xf>
    <xf numFmtId="0" fontId="10" fillId="3" borderId="1" xfId="0" applyFont="1" applyFill="1" applyBorder="1" applyAlignment="1" applyProtection="1">
      <alignment horizontal="center"/>
      <protection hidden="1"/>
    </xf>
    <xf numFmtId="4" fontId="14" fillId="3" borderId="1" xfId="0" applyNumberFormat="1" applyFont="1" applyFill="1" applyBorder="1" applyAlignment="1" applyProtection="1">
      <alignment horizontal="center"/>
      <protection hidden="1"/>
    </xf>
    <xf numFmtId="0" fontId="2" fillId="3" borderId="1" xfId="0" applyFont="1" applyFill="1" applyBorder="1" applyAlignment="1" applyProtection="1">
      <alignment horizontal="center"/>
      <protection hidden="1"/>
    </xf>
    <xf numFmtId="2" fontId="14" fillId="2" borderId="1" xfId="0" applyNumberFormat="1" applyFont="1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hidden="1"/>
    </xf>
    <xf numFmtId="0" fontId="0" fillId="3" borderId="0" xfId="0" applyFill="1" applyAlignment="1" applyProtection="1">
      <alignment horizontal="center"/>
      <protection hidden="1"/>
    </xf>
    <xf numFmtId="0" fontId="17" fillId="3" borderId="1" xfId="0" applyFont="1" applyFill="1" applyBorder="1" applyAlignment="1" applyProtection="1">
      <alignment horizontal="center"/>
      <protection hidden="1"/>
    </xf>
    <xf numFmtId="2" fontId="17" fillId="3" borderId="1" xfId="0" applyNumberFormat="1" applyFont="1" applyFill="1" applyBorder="1" applyAlignment="1" applyProtection="1">
      <alignment horizontal="center"/>
      <protection hidden="1"/>
    </xf>
    <xf numFmtId="164" fontId="17" fillId="3" borderId="1" xfId="0" applyNumberFormat="1" applyFont="1" applyFill="1" applyBorder="1" applyAlignment="1" applyProtection="1">
      <alignment horizontal="center"/>
      <protection hidden="1"/>
    </xf>
    <xf numFmtId="0" fontId="14" fillId="3" borderId="24" xfId="0" applyFont="1" applyFill="1" applyBorder="1" applyAlignment="1" applyProtection="1">
      <alignment horizontal="center"/>
      <protection hidden="1"/>
    </xf>
    <xf numFmtId="0" fontId="17" fillId="2" borderId="1" xfId="0" applyFont="1" applyFill="1" applyBorder="1" applyAlignment="1" applyProtection="1">
      <alignment horizontal="center"/>
      <protection locked="0"/>
    </xf>
    <xf numFmtId="0" fontId="17" fillId="3" borderId="24" xfId="0" applyFont="1" applyFill="1" applyBorder="1" applyAlignment="1" applyProtection="1">
      <alignment horizontal="center"/>
      <protection hidden="1"/>
    </xf>
    <xf numFmtId="0" fontId="14" fillId="0" borderId="1" xfId="0" applyFont="1" applyBorder="1" applyAlignment="1" applyProtection="1">
      <alignment horizontal="center"/>
      <protection hidden="1"/>
    </xf>
    <xf numFmtId="2" fontId="14" fillId="8" borderId="1" xfId="0" applyNumberFormat="1" applyFont="1" applyFill="1" applyBorder="1" applyAlignment="1" applyProtection="1">
      <alignment horizontal="center"/>
      <protection hidden="1"/>
    </xf>
    <xf numFmtId="2" fontId="14" fillId="5" borderId="1" xfId="0" applyNumberFormat="1" applyFont="1" applyFill="1" applyBorder="1" applyAlignment="1" applyProtection="1">
      <alignment horizontal="center"/>
      <protection hidden="1"/>
    </xf>
    <xf numFmtId="2" fontId="14" fillId="6" borderId="1" xfId="0" applyNumberFormat="1" applyFont="1" applyFill="1" applyBorder="1" applyAlignment="1" applyProtection="1">
      <alignment horizontal="center"/>
      <protection hidden="1"/>
    </xf>
    <xf numFmtId="2" fontId="14" fillId="7" borderId="1" xfId="0" applyNumberFormat="1" applyFont="1" applyFill="1" applyBorder="1" applyAlignment="1" applyProtection="1">
      <alignment horizontal="center"/>
      <protection hidden="1"/>
    </xf>
    <xf numFmtId="0" fontId="25" fillId="4" borderId="1" xfId="0" applyFont="1" applyFill="1" applyBorder="1" applyAlignment="1" applyProtection="1">
      <alignment horizontal="center"/>
      <protection hidden="1"/>
    </xf>
    <xf numFmtId="0" fontId="25" fillId="4" borderId="24" xfId="0" applyFont="1" applyFill="1" applyBorder="1" applyAlignment="1" applyProtection="1">
      <alignment horizontal="center"/>
      <protection hidden="1"/>
    </xf>
    <xf numFmtId="0" fontId="25" fillId="4" borderId="1" xfId="0" applyFont="1" applyFill="1" applyBorder="1" applyProtection="1">
      <protection hidden="1"/>
    </xf>
    <xf numFmtId="0" fontId="25" fillId="4" borderId="24" xfId="0" applyFont="1" applyFill="1" applyBorder="1" applyProtection="1">
      <protection hidden="1"/>
    </xf>
    <xf numFmtId="0" fontId="22" fillId="4" borderId="26" xfId="0" applyFont="1" applyFill="1" applyBorder="1" applyProtection="1">
      <protection hidden="1"/>
    </xf>
    <xf numFmtId="0" fontId="25" fillId="4" borderId="26" xfId="0" applyFont="1" applyFill="1" applyBorder="1" applyProtection="1">
      <protection hidden="1"/>
    </xf>
    <xf numFmtId="0" fontId="25" fillId="4" borderId="27" xfId="0" applyFont="1" applyFill="1" applyBorder="1" applyProtection="1">
      <protection hidden="1"/>
    </xf>
    <xf numFmtId="0" fontId="10" fillId="3" borderId="28" xfId="0" applyFont="1" applyFill="1" applyBorder="1" applyProtection="1">
      <protection hidden="1"/>
    </xf>
    <xf numFmtId="0" fontId="10" fillId="3" borderId="29" xfId="0" applyFont="1" applyFill="1" applyBorder="1" applyProtection="1">
      <protection hidden="1"/>
    </xf>
    <xf numFmtId="0" fontId="11" fillId="3" borderId="28" xfId="0" applyFont="1" applyFill="1" applyBorder="1" applyAlignment="1" applyProtection="1">
      <alignment horizontal="center"/>
      <protection hidden="1"/>
    </xf>
    <xf numFmtId="0" fontId="15" fillId="3" borderId="0" xfId="0" applyFont="1" applyFill="1" applyAlignment="1" applyProtection="1">
      <alignment horizontal="center"/>
      <protection hidden="1"/>
    </xf>
    <xf numFmtId="164" fontId="14" fillId="3" borderId="0" xfId="0" applyNumberFormat="1" applyFont="1" applyFill="1" applyAlignment="1" applyProtection="1">
      <alignment horizontal="center"/>
      <protection hidden="1"/>
    </xf>
    <xf numFmtId="0" fontId="0" fillId="3" borderId="30" xfId="0" applyFill="1" applyBorder="1" applyProtection="1">
      <protection hidden="1"/>
    </xf>
    <xf numFmtId="0" fontId="0" fillId="3" borderId="26" xfId="0" applyFill="1" applyBorder="1" applyProtection="1">
      <protection hidden="1"/>
    </xf>
    <xf numFmtId="0" fontId="12" fillId="3" borderId="24" xfId="0" applyFont="1" applyFill="1" applyBorder="1" applyProtection="1">
      <protection hidden="1"/>
    </xf>
    <xf numFmtId="0" fontId="26" fillId="3" borderId="26" xfId="0" applyFont="1" applyFill="1" applyBorder="1" applyProtection="1">
      <protection hidden="1"/>
    </xf>
    <xf numFmtId="0" fontId="26" fillId="3" borderId="27" xfId="0" applyFont="1" applyFill="1" applyBorder="1" applyProtection="1">
      <protection hidden="1"/>
    </xf>
    <xf numFmtId="0" fontId="17" fillId="3" borderId="14" xfId="0" applyFont="1" applyFill="1" applyBorder="1" applyProtection="1">
      <protection hidden="1"/>
    </xf>
    <xf numFmtId="0" fontId="14" fillId="3" borderId="6" xfId="0" applyFont="1" applyFill="1" applyBorder="1" applyProtection="1">
      <protection hidden="1"/>
    </xf>
    <xf numFmtId="0" fontId="14" fillId="3" borderId="7" xfId="0" applyFont="1" applyFill="1" applyBorder="1" applyProtection="1">
      <protection hidden="1"/>
    </xf>
    <xf numFmtId="0" fontId="14" fillId="3" borderId="8" xfId="0" applyFont="1" applyFill="1" applyBorder="1" applyProtection="1">
      <protection hidden="1"/>
    </xf>
    <xf numFmtId="0" fontId="14" fillId="3" borderId="9" xfId="0" applyFont="1" applyFill="1" applyBorder="1" applyProtection="1">
      <protection hidden="1"/>
    </xf>
    <xf numFmtId="0" fontId="14" fillId="3" borderId="26" xfId="0" applyFont="1" applyFill="1" applyBorder="1" applyProtection="1">
      <protection hidden="1"/>
    </xf>
    <xf numFmtId="0" fontId="14" fillId="3" borderId="27" xfId="0" applyFont="1" applyFill="1" applyBorder="1" applyProtection="1">
      <protection hidden="1"/>
    </xf>
    <xf numFmtId="2" fontId="14" fillId="3" borderId="0" xfId="0" applyNumberFormat="1" applyFont="1" applyFill="1" applyAlignment="1" applyProtection="1">
      <alignment horizontal="center"/>
      <protection hidden="1"/>
    </xf>
    <xf numFmtId="2" fontId="13" fillId="3" borderId="1" xfId="0" applyNumberFormat="1" applyFont="1" applyFill="1" applyBorder="1" applyAlignment="1" applyProtection="1">
      <alignment horizontal="center"/>
      <protection hidden="1"/>
    </xf>
    <xf numFmtId="0" fontId="0" fillId="3" borderId="27" xfId="0" applyFill="1" applyBorder="1" applyProtection="1">
      <protection hidden="1"/>
    </xf>
    <xf numFmtId="0" fontId="28" fillId="3" borderId="0" xfId="0" applyFont="1" applyFill="1" applyProtection="1">
      <protection hidden="1"/>
    </xf>
    <xf numFmtId="2" fontId="14" fillId="0" borderId="1" xfId="0" applyNumberFormat="1" applyFont="1" applyBorder="1" applyAlignment="1" applyProtection="1">
      <alignment horizontal="center"/>
      <protection hidden="1"/>
    </xf>
    <xf numFmtId="0" fontId="1" fillId="3" borderId="18" xfId="0" applyFont="1" applyFill="1" applyBorder="1" applyProtection="1">
      <protection hidden="1"/>
    </xf>
    <xf numFmtId="0" fontId="0" fillId="10" borderId="19" xfId="0" applyFill="1" applyBorder="1" applyProtection="1">
      <protection hidden="1"/>
    </xf>
    <xf numFmtId="0" fontId="14" fillId="11" borderId="1" xfId="0" applyFont="1" applyFill="1" applyBorder="1" applyAlignment="1" applyProtection="1">
      <alignment horizontal="left"/>
      <protection hidden="1"/>
    </xf>
    <xf numFmtId="0" fontId="27" fillId="3" borderId="0" xfId="0" applyFont="1" applyFill="1" applyProtection="1">
      <protection hidden="1"/>
    </xf>
    <xf numFmtId="0" fontId="11" fillId="4" borderId="24" xfId="0" applyFont="1" applyFill="1" applyBorder="1" applyProtection="1">
      <protection hidden="1"/>
    </xf>
    <xf numFmtId="0" fontId="17" fillId="4" borderId="26" xfId="0" applyFont="1" applyFill="1" applyBorder="1" applyProtection="1">
      <protection hidden="1"/>
    </xf>
    <xf numFmtId="0" fontId="17" fillId="4" borderId="27" xfId="0" applyFont="1" applyFill="1" applyBorder="1" applyProtection="1">
      <protection hidden="1"/>
    </xf>
    <xf numFmtId="0" fontId="11" fillId="3" borderId="0" xfId="0" applyFont="1" applyFill="1" applyProtection="1">
      <protection hidden="1"/>
    </xf>
    <xf numFmtId="2" fontId="11" fillId="3" borderId="0" xfId="0" applyNumberFormat="1" applyFont="1" applyFill="1" applyProtection="1">
      <protection hidden="1"/>
    </xf>
    <xf numFmtId="0" fontId="29" fillId="3" borderId="0" xfId="0" applyFont="1" applyFill="1" applyProtection="1">
      <protection hidden="1"/>
    </xf>
    <xf numFmtId="11" fontId="10" fillId="3" borderId="0" xfId="0" applyNumberFormat="1" applyFont="1" applyFill="1" applyProtection="1">
      <protection hidden="1"/>
    </xf>
    <xf numFmtId="11" fontId="11" fillId="3" borderId="0" xfId="0" applyNumberFormat="1" applyFont="1" applyFill="1" applyProtection="1">
      <protection hidden="1"/>
    </xf>
    <xf numFmtId="167" fontId="11" fillId="3" borderId="0" xfId="0" applyNumberFormat="1" applyFont="1" applyFill="1" applyProtection="1">
      <protection hidden="1"/>
    </xf>
    <xf numFmtId="168" fontId="11" fillId="3" borderId="0" xfId="0" applyNumberFormat="1" applyFont="1" applyFill="1" applyProtection="1">
      <protection hidden="1"/>
    </xf>
    <xf numFmtId="0" fontId="11" fillId="3" borderId="0" xfId="0" applyFont="1" applyFill="1" applyAlignment="1" applyProtection="1">
      <alignment horizontal="center"/>
      <protection hidden="1"/>
    </xf>
    <xf numFmtId="2" fontId="10" fillId="3" borderId="0" xfId="0" applyNumberFormat="1" applyFont="1" applyFill="1" applyProtection="1">
      <protection hidden="1"/>
    </xf>
    <xf numFmtId="164" fontId="10" fillId="3" borderId="0" xfId="0" applyNumberFormat="1" applyFont="1" applyFill="1" applyProtection="1">
      <protection hidden="1"/>
    </xf>
    <xf numFmtId="2" fontId="17" fillId="3" borderId="0" xfId="0" applyNumberFormat="1" applyFont="1" applyFill="1" applyAlignment="1" applyProtection="1">
      <alignment horizontal="left"/>
      <protection hidden="1"/>
    </xf>
    <xf numFmtId="0" fontId="17" fillId="3" borderId="6" xfId="0" applyFont="1" applyFill="1" applyBorder="1" applyProtection="1">
      <protection hidden="1"/>
    </xf>
    <xf numFmtId="0" fontId="17" fillId="3" borderId="7" xfId="0" applyFont="1" applyFill="1" applyBorder="1" applyProtection="1">
      <protection hidden="1"/>
    </xf>
    <xf numFmtId="0" fontId="17" fillId="3" borderId="8" xfId="0" applyFont="1" applyFill="1" applyBorder="1" applyProtection="1">
      <protection hidden="1"/>
    </xf>
    <xf numFmtId="0" fontId="17" fillId="3" borderId="9" xfId="0" applyFont="1" applyFill="1" applyBorder="1" applyProtection="1">
      <protection hidden="1"/>
    </xf>
    <xf numFmtId="0" fontId="14" fillId="3" borderId="23" xfId="0" applyFont="1" applyFill="1" applyBorder="1" applyProtection="1">
      <protection hidden="1"/>
    </xf>
    <xf numFmtId="0" fontId="14" fillId="3" borderId="11" xfId="0" applyFont="1" applyFill="1" applyBorder="1" applyProtection="1">
      <protection hidden="1"/>
    </xf>
    <xf numFmtId="0" fontId="14" fillId="3" borderId="12" xfId="0" applyFont="1" applyFill="1" applyBorder="1" applyProtection="1">
      <protection hidden="1"/>
    </xf>
    <xf numFmtId="0" fontId="14" fillId="4" borderId="26" xfId="0" applyFont="1" applyFill="1" applyBorder="1" applyProtection="1">
      <protection hidden="1"/>
    </xf>
    <xf numFmtId="0" fontId="14" fillId="4" borderId="27" xfId="0" applyFont="1" applyFill="1" applyBorder="1" applyProtection="1">
      <protection hidden="1"/>
    </xf>
    <xf numFmtId="0" fontId="14" fillId="3" borderId="13" xfId="0" applyFont="1" applyFill="1" applyBorder="1" applyProtection="1">
      <protection hidden="1"/>
    </xf>
    <xf numFmtId="0" fontId="18" fillId="0" borderId="0" xfId="0" applyFont="1" applyProtection="1">
      <protection hidden="1"/>
    </xf>
    <xf numFmtId="0" fontId="14" fillId="3" borderId="14" xfId="0" applyFont="1" applyFill="1" applyBorder="1" applyProtection="1">
      <protection hidden="1"/>
    </xf>
    <xf numFmtId="0" fontId="23" fillId="3" borderId="14" xfId="0" applyFont="1" applyFill="1" applyBorder="1" applyProtection="1">
      <protection hidden="1"/>
    </xf>
    <xf numFmtId="2" fontId="14" fillId="14" borderId="1" xfId="0" applyNumberFormat="1" applyFont="1" applyFill="1" applyBorder="1" applyAlignment="1" applyProtection="1">
      <alignment horizontal="center"/>
      <protection hidden="1"/>
    </xf>
    <xf numFmtId="1" fontId="14" fillId="14" borderId="1" xfId="0" applyNumberFormat="1" applyFont="1" applyFill="1" applyBorder="1" applyAlignment="1" applyProtection="1">
      <alignment horizontal="center"/>
      <protection hidden="1"/>
    </xf>
    <xf numFmtId="168" fontId="14" fillId="14" borderId="1" xfId="0" applyNumberFormat="1" applyFont="1" applyFill="1" applyBorder="1" applyAlignment="1" applyProtection="1">
      <alignment horizontal="center"/>
      <protection hidden="1"/>
    </xf>
    <xf numFmtId="0" fontId="14" fillId="3" borderId="2" xfId="0" applyFont="1" applyFill="1" applyBorder="1" applyProtection="1">
      <protection hidden="1"/>
    </xf>
    <xf numFmtId="0" fontId="14" fillId="3" borderId="3" xfId="0" applyFont="1" applyFill="1" applyBorder="1" applyProtection="1">
      <protection hidden="1"/>
    </xf>
    <xf numFmtId="0" fontId="14" fillId="3" borderId="4" xfId="0" applyFont="1" applyFill="1" applyBorder="1" applyProtection="1">
      <protection hidden="1"/>
    </xf>
    <xf numFmtId="0" fontId="11" fillId="4" borderId="1" xfId="0" applyFont="1" applyFill="1" applyBorder="1" applyAlignment="1" applyProtection="1">
      <alignment horizontal="center"/>
      <protection hidden="1"/>
    </xf>
    <xf numFmtId="0" fontId="11" fillId="4" borderId="24" xfId="0" applyFont="1" applyFill="1" applyBorder="1" applyAlignment="1" applyProtection="1">
      <alignment horizontal="center"/>
      <protection hidden="1"/>
    </xf>
    <xf numFmtId="0" fontId="23" fillId="3" borderId="5" xfId="0" applyFont="1" applyFill="1" applyBorder="1" applyProtection="1">
      <protection hidden="1"/>
    </xf>
    <xf numFmtId="0" fontId="24" fillId="3" borderId="5" xfId="0" applyFont="1" applyFill="1" applyBorder="1" applyProtection="1">
      <protection hidden="1"/>
    </xf>
    <xf numFmtId="0" fontId="14" fillId="3" borderId="15" xfId="0" applyFont="1" applyFill="1" applyBorder="1" applyProtection="1">
      <protection hidden="1"/>
    </xf>
    <xf numFmtId="0" fontId="14" fillId="3" borderId="16" xfId="0" applyFont="1" applyFill="1" applyBorder="1" applyProtection="1">
      <protection hidden="1"/>
    </xf>
    <xf numFmtId="0" fontId="14" fillId="3" borderId="17" xfId="0" applyFont="1" applyFill="1" applyBorder="1" applyProtection="1">
      <protection hidden="1"/>
    </xf>
    <xf numFmtId="0" fontId="30" fillId="0" borderId="0" xfId="0" applyFont="1" applyProtection="1">
      <protection hidden="1"/>
    </xf>
    <xf numFmtId="0" fontId="31" fillId="0" borderId="0" xfId="0" applyFont="1" applyAlignment="1" applyProtection="1">
      <alignment vertical="center" wrapText="1"/>
      <protection hidden="1"/>
    </xf>
    <xf numFmtId="3" fontId="33" fillId="0" borderId="0" xfId="0" applyNumberFormat="1" applyFont="1" applyAlignment="1" applyProtection="1">
      <alignment vertical="center" wrapText="1"/>
      <protection hidden="1"/>
    </xf>
    <xf numFmtId="0" fontId="33" fillId="0" borderId="0" xfId="0" applyFont="1" applyAlignment="1" applyProtection="1">
      <alignment vertical="center" wrapText="1"/>
      <protection hidden="1"/>
    </xf>
    <xf numFmtId="2" fontId="0" fillId="0" borderId="0" xfId="0" applyNumberFormat="1" applyProtection="1">
      <protection hidden="1"/>
    </xf>
    <xf numFmtId="164" fontId="14" fillId="2" borderId="1" xfId="0" applyNumberFormat="1" applyFont="1" applyFill="1" applyBorder="1" applyAlignment="1" applyProtection="1">
      <alignment horizontal="center"/>
      <protection locked="0"/>
    </xf>
    <xf numFmtId="16" fontId="14" fillId="3" borderId="0" xfId="0" quotePrefix="1" applyNumberFormat="1" applyFont="1" applyFill="1" applyProtection="1">
      <protection hidden="1"/>
    </xf>
    <xf numFmtId="1" fontId="14" fillId="3" borderId="1" xfId="0" applyNumberFormat="1" applyFont="1" applyFill="1" applyBorder="1" applyAlignment="1" applyProtection="1">
      <alignment horizontal="center"/>
      <protection hidden="1"/>
    </xf>
    <xf numFmtId="0" fontId="35" fillId="3" borderId="0" xfId="0" applyFont="1" applyFill="1" applyProtection="1">
      <protection hidden="1"/>
    </xf>
    <xf numFmtId="0" fontId="36" fillId="0" borderId="0" xfId="0" applyFont="1"/>
    <xf numFmtId="164" fontId="14" fillId="3" borderId="24" xfId="0" applyNumberFormat="1" applyFont="1" applyFill="1" applyBorder="1" applyAlignment="1" applyProtection="1">
      <alignment horizontal="center"/>
      <protection hidden="1"/>
    </xf>
    <xf numFmtId="164" fontId="14" fillId="3" borderId="26" xfId="0" applyNumberFormat="1" applyFont="1" applyFill="1" applyBorder="1" applyAlignment="1" applyProtection="1">
      <alignment horizontal="center"/>
      <protection hidden="1"/>
    </xf>
    <xf numFmtId="164" fontId="14" fillId="3" borderId="27" xfId="0" applyNumberFormat="1" applyFont="1" applyFill="1" applyBorder="1" applyAlignment="1" applyProtection="1">
      <alignment horizontal="center"/>
      <protection hidden="1"/>
    </xf>
    <xf numFmtId="0" fontId="14" fillId="2" borderId="1" xfId="0" applyFont="1" applyFill="1" applyBorder="1" applyAlignment="1" applyProtection="1">
      <alignment horizontal="center"/>
      <protection locked="0"/>
    </xf>
    <xf numFmtId="0" fontId="14" fillId="2" borderId="24" xfId="0" applyFont="1" applyFill="1" applyBorder="1" applyAlignment="1" applyProtection="1">
      <alignment horizontal="center"/>
      <protection locked="0"/>
    </xf>
    <xf numFmtId="0" fontId="14" fillId="2" borderId="26" xfId="0" applyFont="1" applyFill="1" applyBorder="1" applyAlignment="1" applyProtection="1">
      <alignment horizontal="center"/>
      <protection locked="0"/>
    </xf>
    <xf numFmtId="0" fontId="14" fillId="2" borderId="27" xfId="0" applyFont="1" applyFill="1" applyBorder="1" applyAlignment="1" applyProtection="1">
      <alignment horizontal="center"/>
      <protection locked="0"/>
    </xf>
    <xf numFmtId="0" fontId="14" fillId="3" borderId="24" xfId="0" applyFont="1" applyFill="1" applyBorder="1" applyAlignment="1" applyProtection="1">
      <alignment horizontal="center"/>
      <protection hidden="1"/>
    </xf>
    <xf numFmtId="0" fontId="14" fillId="3" borderId="26" xfId="0" applyFont="1" applyFill="1" applyBorder="1" applyAlignment="1" applyProtection="1">
      <alignment horizontal="center"/>
      <protection hidden="1"/>
    </xf>
    <xf numFmtId="0" fontId="14" fillId="3" borderId="27" xfId="0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1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FF6969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FF5050"/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Power dissipation estimation [W]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B0B-41DD-A53E-B07C7F47C3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B0B-41DD-A53E-B07C7F47C3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B0B-41DD-A53E-B07C7F47C3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B0B-41DD-A53E-B07C7F47C3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'Preliminary Calculation'!$C$12:$C$15</c:f>
              <c:strCache>
                <c:ptCount val="4"/>
                <c:pt idx="0">
                  <c:v>P.d.Drect</c:v>
                </c:pt>
                <c:pt idx="1">
                  <c:v>P.d.LLC</c:v>
                </c:pt>
                <c:pt idx="2">
                  <c:v>P.D.br</c:v>
                </c:pt>
                <c:pt idx="3">
                  <c:v>P.D.Rin</c:v>
                </c:pt>
              </c:strCache>
            </c:strRef>
          </c:cat>
          <c:val>
            <c:numRef>
              <c:f>'Preliminary Calculation'!$D$12:$D$15</c:f>
              <c:numCache>
                <c:formatCode>0.00</c:formatCode>
                <c:ptCount val="4"/>
                <c:pt idx="0">
                  <c:v>0</c:v>
                </c:pt>
                <c:pt idx="1">
                  <c:v>13.418367346938789</c:v>
                </c:pt>
                <c:pt idx="2">
                  <c:v>5.5195894436664732</c:v>
                </c:pt>
                <c:pt idx="3">
                  <c:v>8.3357676971015167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8-4DDA-A5F1-74BA11EF7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278010410120309E-2"/>
          <c:y val="0.80229688943053823"/>
          <c:w val="0.95755263150154568"/>
          <c:h val="0.197703110569461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Minimum Gain required for PFC regulation</a:t>
            </a:r>
            <a:endParaRPr lang="el-GR" b="1"/>
          </a:p>
        </c:rich>
      </c:tx>
      <c:layout>
        <c:manualLayout>
          <c:xMode val="edge"/>
          <c:yMode val="edge"/>
          <c:x val="0.22866950823108351"/>
          <c:y val="4.185201143797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9.2973230067658202E-2"/>
          <c:y val="0.13292446125694587"/>
          <c:w val="0.80691892207993332"/>
          <c:h val="0.6618751068976470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RTC!$B$16</c:f>
              <c:strCache>
                <c:ptCount val="1"/>
                <c:pt idx="0">
                  <c:v>Mreq(Vin_min, Vout,θ 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RTC!$C$16:$AH$16</c:f>
              <c:numCache>
                <c:formatCode>General</c:formatCode>
                <c:ptCount val="32"/>
                <c:pt idx="0">
                  <c:v>15.234970761067105</c:v>
                </c:pt>
                <c:pt idx="1">
                  <c:v>7.6557321530458733</c:v>
                </c:pt>
                <c:pt idx="2">
                  <c:v>5.1467180561864145</c:v>
                </c:pt>
                <c:pt idx="3">
                  <c:v>3.905720451108988</c:v>
                </c:pt>
                <c:pt idx="4">
                  <c:v>3.1724617508278126</c:v>
                </c:pt>
                <c:pt idx="5">
                  <c:v>2.6936676839890557</c:v>
                </c:pt>
                <c:pt idx="6">
                  <c:v>2.360939809202542</c:v>
                </c:pt>
                <c:pt idx="7">
                  <c:v>2.1202289948980049</c:v>
                </c:pt>
                <c:pt idx="8">
                  <c:v>1.9416659441907334</c:v>
                </c:pt>
                <c:pt idx="9">
                  <c:v>1.8075004498688496</c:v>
                </c:pt>
                <c:pt idx="10">
                  <c:v>1.7066277184773355</c:v>
                </c:pt>
                <c:pt idx="11">
                  <c:v>1.6318620179039776</c:v>
                </c:pt>
                <c:pt idx="12">
                  <c:v>1.5784819293848096</c:v>
                </c:pt>
                <c:pt idx="13">
                  <c:v>1.5434163076077636</c:v>
                </c:pt>
                <c:pt idx="14">
                  <c:v>1.5247787748487065</c:v>
                </c:pt>
                <c:pt idx="15">
                  <c:v>1.5216079926119281</c:v>
                </c:pt>
                <c:pt idx="16">
                  <c:v>1.5337432240818207</c:v>
                </c:pt>
                <c:pt idx="17">
                  <c:v>1.5618040598612826</c:v>
                </c:pt>
                <c:pt idx="18">
                  <c:v>1.6072694099699438</c:v>
                </c:pt>
                <c:pt idx="19">
                  <c:v>1.6726751211663053</c:v>
                </c:pt>
                <c:pt idx="20">
                  <c:v>1.7619817883771123</c:v>
                </c:pt>
                <c:pt idx="21">
                  <c:v>1.8812194790309142</c:v>
                </c:pt>
                <c:pt idx="22">
                  <c:v>2.0396252550685054</c:v>
                </c:pt>
                <c:pt idx="23">
                  <c:v>2.2517277438435874</c:v>
                </c:pt>
                <c:pt idx="24">
                  <c:v>2.5414034697789734</c:v>
                </c:pt>
                <c:pt idx="25">
                  <c:v>2.9504464327955606</c:v>
                </c:pt>
                <c:pt idx="26">
                  <c:v>3.5587992180626369</c:v>
                </c:pt>
                <c:pt idx="27">
                  <c:v>4.5403372712855523</c:v>
                </c:pt>
                <c:pt idx="28">
                  <c:v>6.3572139934048666</c:v>
                </c:pt>
                <c:pt idx="29">
                  <c:v>10.777771377015666</c:v>
                </c:pt>
                <c:pt idx="30">
                  <c:v>29.493232776183557</c:v>
                </c:pt>
                <c:pt idx="31">
                  <c:v>36.57852219242519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89-4A4F-8401-B76054E18C6D}"/>
            </c:ext>
          </c:extLst>
        </c:ser>
        <c:ser>
          <c:idx val="1"/>
          <c:order val="1"/>
          <c:tx>
            <c:strRef>
              <c:f>RTC!$B$17</c:f>
              <c:strCache>
                <c:ptCount val="1"/>
                <c:pt idx="0">
                  <c:v>Mreq(Vin_max, Vout,θ 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RTC!$C$17:$AH$17</c:f>
              <c:numCache>
                <c:formatCode>General</c:formatCode>
                <c:ptCount val="32"/>
                <c:pt idx="0">
                  <c:v>9.9974395020541937</c:v>
                </c:pt>
                <c:pt idx="1">
                  <c:v>5.0238179150037494</c:v>
                </c:pt>
                <c:pt idx="2">
                  <c:v>3.3773614145912307</c:v>
                </c:pt>
                <c:pt idx="3">
                  <c:v>2.5629982842948982</c:v>
                </c:pt>
                <c:pt idx="4">
                  <c:v>2.0818218114033624</c:v>
                </c:pt>
                <c:pt idx="5">
                  <c:v>1.7676292348481524</c:v>
                </c:pt>
                <c:pt idx="6">
                  <c:v>1.5492877065975104</c:v>
                </c:pt>
                <c:pt idx="7">
                  <c:v>1.3913292935988069</c:v>
                </c:pt>
                <c:pt idx="8">
                  <c:v>1.2741532697819327</c:v>
                </c:pt>
                <c:pt idx="9">
                  <c:v>1.1861116559329623</c:v>
                </c:pt>
                <c:pt idx="10">
                  <c:v>1.1199173031304768</c:v>
                </c:pt>
                <c:pt idx="11">
                  <c:v>1.0708548152508817</c:v>
                </c:pt>
                <c:pt idx="12">
                  <c:v>1.0358259193012773</c:v>
                </c:pt>
                <c:pt idx="13">
                  <c:v>1.0128152789911691</c:v>
                </c:pt>
                <c:pt idx="14">
                  <c:v>1.000585022094163</c:v>
                </c:pt>
                <c:pt idx="15">
                  <c:v>0.99850430240762533</c:v>
                </c:pt>
                <c:pt idx="16">
                  <c:v>1.0064676417777088</c:v>
                </c:pt>
                <c:pt idx="17">
                  <c:v>1.0248816257939537</c:v>
                </c:pt>
                <c:pt idx="18">
                  <c:v>1.0547167396435069</c:v>
                </c:pt>
                <c:pt idx="19">
                  <c:v>1.0976370478626383</c:v>
                </c:pt>
                <c:pt idx="20">
                  <c:v>1.156241558273106</c:v>
                </c:pt>
                <c:pt idx="21">
                  <c:v>1.2344873007409793</c:v>
                </c:pt>
                <c:pt idx="22">
                  <c:v>1.3384357879122692</c:v>
                </c:pt>
                <c:pt idx="23">
                  <c:v>1.4776209450760032</c:v>
                </c:pt>
                <c:pt idx="24">
                  <c:v>1.6677109420094667</c:v>
                </c:pt>
                <c:pt idx="25">
                  <c:v>1.9361316919166287</c:v>
                </c:pt>
                <c:pt idx="26">
                  <c:v>2.3353428398734208</c:v>
                </c:pt>
                <c:pt idx="27">
                  <c:v>2.9794443258530907</c:v>
                </c:pt>
                <c:pt idx="28">
                  <c:v>4.1717088465370873</c:v>
                </c:pt>
                <c:pt idx="29">
                  <c:v>7.0725516312798158</c:v>
                </c:pt>
                <c:pt idx="30">
                  <c:v>19.353946589343131</c:v>
                </c:pt>
                <c:pt idx="31">
                  <c:v>24.003430556482634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89-4A4F-8401-B76054E18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431"/>
        <c:axId val="1407976511"/>
      </c:scatterChart>
      <c:scatterChart>
        <c:scatterStyle val="smoothMarker"/>
        <c:varyColors val="0"/>
        <c:ser>
          <c:idx val="2"/>
          <c:order val="2"/>
          <c:tx>
            <c:strRef>
              <c:f>RTC!$B$19</c:f>
              <c:strCache>
                <c:ptCount val="1"/>
                <c:pt idx="0">
                  <c:v>P(100% Po,θ 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RTC!$C$19:$AH$19</c:f>
              <c:numCache>
                <c:formatCode>General</c:formatCode>
                <c:ptCount val="32"/>
                <c:pt idx="0">
                  <c:v>13.106225069383628</c:v>
                </c:pt>
                <c:pt idx="1">
                  <c:v>51.902396443103051</c:v>
                </c:pt>
                <c:pt idx="2">
                  <c:v>114.8418331968865</c:v>
                </c:pt>
                <c:pt idx="3">
                  <c:v>199.41533860423877</c:v>
                </c:pt>
                <c:pt idx="4">
                  <c:v>302.25123389169812</c:v>
                </c:pt>
                <c:pt idx="5">
                  <c:v>419.24977643158718</c:v>
                </c:pt>
                <c:pt idx="6">
                  <c:v>545.74660354309151</c:v>
                </c:pt>
                <c:pt idx="7">
                  <c:v>676.69868591309739</c:v>
                </c:pt>
                <c:pt idx="8">
                  <c:v>806.88537726070479</c:v>
                </c:pt>
                <c:pt idx="9">
                  <c:v>931.11654502974613</c:v>
                </c:pt>
                <c:pt idx="10">
                  <c:v>1044.43948459539</c:v>
                </c:pt>
                <c:pt idx="11">
                  <c:v>1142.3363679683689</c:v>
                </c:pt>
                <c:pt idx="12">
                  <c:v>1220.9043553400829</c:v>
                </c:pt>
                <c:pt idx="13">
                  <c:v>1277.0111889896427</c:v>
                </c:pt>
                <c:pt idx="14">
                  <c:v>1308.4200665147928</c:v>
                </c:pt>
                <c:pt idx="15">
                  <c:v>1313.8788150850501</c:v>
                </c:pt>
                <c:pt idx="16">
                  <c:v>1293.1698116209955</c:v>
                </c:pt>
                <c:pt idx="17">
                  <c:v>1247.1186587397017</c:v>
                </c:pt>
                <c:pt idx="18">
                  <c:v>1177.5612705837291</c:v>
                </c:pt>
                <c:pt idx="19">
                  <c:v>1087.2706807178249</c:v>
                </c:pt>
                <c:pt idx="20">
                  <c:v>979.8464900315098</c:v>
                </c:pt>
                <c:pt idx="21">
                  <c:v>859.57136201081084</c:v>
                </c:pt>
                <c:pt idx="22">
                  <c:v>731.24028645979854</c:v>
                </c:pt>
                <c:pt idx="23">
                  <c:v>599.96941838856389</c:v>
                </c:pt>
                <c:pt idx="24">
                  <c:v>470.99211305792886</c:v>
                </c:pt>
                <c:pt idx="25">
                  <c:v>349.45028862000203</c:v>
                </c:pt>
                <c:pt idx="26">
                  <c:v>240.18943406771774</c:v>
                </c:pt>
                <c:pt idx="27">
                  <c:v>147.56543487951092</c:v>
                </c:pt>
                <c:pt idx="28">
                  <c:v>75.270917611082822</c:v>
                </c:pt>
                <c:pt idx="29">
                  <c:v>26.188036527384341</c:v>
                </c:pt>
                <c:pt idx="30">
                  <c:v>3.4971649316722297</c:v>
                </c:pt>
                <c:pt idx="31">
                  <c:v>2.2735712072345002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89-4A4F-8401-B76054E18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769839"/>
        <c:axId val="1386757359"/>
      </c:scatterChart>
      <c:valAx>
        <c:axId val="1407978431"/>
        <c:scaling>
          <c:orientation val="minMax"/>
          <c:max val="3.04"/>
          <c:min val="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θ</a:t>
                </a:r>
                <a:r>
                  <a:rPr lang="en-US"/>
                  <a:t> [rad]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6511"/>
        <c:crosses val="autoZero"/>
        <c:crossBetween val="midCat"/>
      </c:valAx>
      <c:valAx>
        <c:axId val="1407976511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Required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8431"/>
        <c:crosses val="autoZero"/>
        <c:crossBetween val="midCat"/>
      </c:valAx>
      <c:valAx>
        <c:axId val="138675735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Instantaneous Power [W]</a:t>
                </a:r>
              </a:p>
            </c:rich>
          </c:tx>
          <c:layout>
            <c:manualLayout>
              <c:xMode val="edge"/>
              <c:yMode val="edge"/>
              <c:x val="0.95421928551526847"/>
              <c:y val="0.345815280061863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769839"/>
        <c:crosses val="max"/>
        <c:crossBetween val="midCat"/>
      </c:valAx>
      <c:valAx>
        <c:axId val="1386769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6757359"/>
        <c:crosses val="autoZero"/>
        <c:crossBetween val="midCat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30808858241179699"/>
          <c:y val="0.46562339982867956"/>
          <c:w val="0.41697288548172001"/>
          <c:h val="0.18093545758587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Voltage Gain curve vs Minimum Required Gain for PFC regulation@Vin_min</a:t>
            </a:r>
            <a:endParaRPr lang="el-GR" b="1"/>
          </a:p>
        </c:rich>
      </c:tx>
      <c:layout>
        <c:manualLayout>
          <c:xMode val="edge"/>
          <c:yMode val="edge"/>
          <c:x val="0.16144385855423607"/>
          <c:y val="2.3272468193682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537278270281668"/>
          <c:y val="0.13621061702503653"/>
          <c:w val="0.82634951881014873"/>
          <c:h val="0.73685758765226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RTC!$B$28</c:f>
              <c:strCache>
                <c:ptCount val="1"/>
                <c:pt idx="0">
                  <c:v>M.OL(fn)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RTC!$C$28:$CG$28</c:f>
              <c:numCache>
                <c:formatCode>General</c:formatCode>
                <c:ptCount val="83"/>
                <c:pt idx="0">
                  <c:v>2.1818182512396718E-8</c:v>
                </c:pt>
                <c:pt idx="1">
                  <c:v>1.2886419367458453E-3</c:v>
                </c:pt>
                <c:pt idx="2">
                  <c:v>3.2957540508757933E-3</c:v>
                </c:pt>
                <c:pt idx="3">
                  <c:v>6.2466838217803949E-3</c:v>
                </c:pt>
                <c:pt idx="4">
                  <c:v>1.0165634844491057E-2</c:v>
                </c:pt>
                <c:pt idx="5">
                  <c:v>1.5085230808885637E-2</c:v>
                </c:pt>
                <c:pt idx="6">
                  <c:v>2.104720710419164E-2</c:v>
                </c:pt>
                <c:pt idx="7">
                  <c:v>2.8103319587713758E-2</c:v>
                </c:pt>
                <c:pt idx="8">
                  <c:v>3.6316508449383139E-2</c:v>
                </c:pt>
                <c:pt idx="9">
                  <c:v>4.5762367743434479E-2</c:v>
                </c:pt>
                <c:pt idx="10">
                  <c:v>5.6530987448607108E-2</c:v>
                </c:pt>
                <c:pt idx="11">
                  <c:v>6.8729256295102084E-2</c:v>
                </c:pt>
                <c:pt idx="12">
                  <c:v>8.2483742085161724E-2</c:v>
                </c:pt>
                <c:pt idx="13">
                  <c:v>9.7944304735298124E-2</c:v>
                </c:pt>
                <c:pt idx="14">
                  <c:v>0.11528864999952876</c:v>
                </c:pt>
                <c:pt idx="15">
                  <c:v>0.1347281050187448</c:v>
                </c:pt>
                <c:pt idx="16">
                  <c:v>0.15651499980883612</c:v>
                </c:pt>
                <c:pt idx="17">
                  <c:v>0.18095218575415503</c:v>
                </c:pt>
                <c:pt idx="18">
                  <c:v>0.20840543512238516</c:v>
                </c:pt>
                <c:pt idx="19">
                  <c:v>0.23931977930378859</c:v>
                </c:pt>
                <c:pt idx="20">
                  <c:v>0.27424131386312434</c:v>
                </c:pt>
                <c:pt idx="21">
                  <c:v>0.31384671772931005</c:v>
                </c:pt>
                <c:pt idx="22">
                  <c:v>0.3589838574142431</c:v>
                </c:pt>
                <c:pt idx="23">
                  <c:v>0.41072864448862639</c:v>
                </c:pt>
                <c:pt idx="24">
                  <c:v>0.47046626668653735</c:v>
                </c:pt>
                <c:pt idx="25">
                  <c:v>0.54000990781304037</c:v>
                </c:pt>
                <c:pt idx="26">
                  <c:v>0.62177881033586746</c:v>
                </c:pt>
                <c:pt idx="27">
                  <c:v>0.71907341857608231</c:v>
                </c:pt>
                <c:pt idx="28">
                  <c:v>0.83651551018079373</c:v>
                </c:pt>
                <c:pt idx="29">
                  <c:v>0.98078153994784389</c:v>
                </c:pt>
                <c:pt idx="30">
                  <c:v>1.1618855338834528</c:v>
                </c:pt>
                <c:pt idx="31">
                  <c:v>1.3955605407023011</c:v>
                </c:pt>
                <c:pt idx="32">
                  <c:v>1.70801881699095</c:v>
                </c:pt>
                <c:pt idx="33">
                  <c:v>2.1464163817304032</c:v>
                </c:pt>
                <c:pt idx="34">
                  <c:v>2.8049873938594398</c:v>
                </c:pt>
                <c:pt idx="35">
                  <c:v>3.9033273688464369</c:v>
                </c:pt>
                <c:pt idx="36">
                  <c:v>6.098718634915044</c:v>
                </c:pt>
                <c:pt idx="37">
                  <c:v>12.659566924581251</c:v>
                </c:pt>
                <c:pt idx="38">
                  <c:v>1921.5837087114464</c:v>
                </c:pt>
                <c:pt idx="39">
                  <c:v>42.249999999987104</c:v>
                </c:pt>
                <c:pt idx="40">
                  <c:v>10.581427390464974</c:v>
                </c:pt>
                <c:pt idx="41">
                  <c:v>6.2413366336631526</c:v>
                </c:pt>
                <c:pt idx="42">
                  <c:v>4.5187319884725161</c:v>
                </c:pt>
                <c:pt idx="43">
                  <c:v>3.5949449125080415</c:v>
                </c:pt>
                <c:pt idx="44">
                  <c:v>3.0192994996425648</c:v>
                </c:pt>
                <c:pt idx="45">
                  <c:v>2.6264591439688467</c:v>
                </c:pt>
                <c:pt idx="46">
                  <c:v>2.3414634146341284</c:v>
                </c:pt>
                <c:pt idx="47">
                  <c:v>2.1254008980115326</c:v>
                </c:pt>
                <c:pt idx="48">
                  <c:v>1.9560649474689491</c:v>
                </c:pt>
                <c:pt idx="49">
                  <c:v>1.8198585144012047</c:v>
                </c:pt>
                <c:pt idx="50">
                  <c:v>1.7079905491189553</c:v>
                </c:pt>
                <c:pt idx="51">
                  <c:v>1.6145251396647997</c:v>
                </c:pt>
                <c:pt idx="52">
                  <c:v>1.5353095649293769</c:v>
                </c:pt>
                <c:pt idx="53">
                  <c:v>1.4673515584189416</c:v>
                </c:pt>
                <c:pt idx="54">
                  <c:v>1.4084404999094342</c:v>
                </c:pt>
                <c:pt idx="55">
                  <c:v>1.35690789473684</c:v>
                </c:pt>
                <c:pt idx="56">
                  <c:v>1.3114708393594574</c:v>
                </c:pt>
                <c:pt idx="57">
                  <c:v>1.2711267605633787</c:v>
                </c:pt>
                <c:pt idx="58">
                  <c:v>1.2350808487203404</c:v>
                </c:pt>
                <c:pt idx="59">
                  <c:v>1.2026949211102145</c:v>
                </c:pt>
                <c:pt idx="60">
                  <c:v>1.1734506784011727</c:v>
                </c:pt>
                <c:pt idx="61">
                  <c:v>1.1469228398232809</c:v>
                </c:pt>
                <c:pt idx="62">
                  <c:v>1.1227591914225556</c:v>
                </c:pt>
                <c:pt idx="63">
                  <c:v>1.1006655574043258</c:v>
                </c:pt>
                <c:pt idx="64">
                  <c:v>1.080394333380958</c:v>
                </c:pt>
                <c:pt idx="65">
                  <c:v>1.0617356341095658</c:v>
                </c:pt>
                <c:pt idx="66">
                  <c:v>1.0445103857566764</c:v>
                </c:pt>
                <c:pt idx="67">
                  <c:v>1.0285648819980142</c:v>
                </c:pt>
                <c:pt idx="68">
                  <c:v>1.0137664544300213</c:v>
                </c:pt>
                <c:pt idx="69">
                  <c:v>1</c:v>
                </c:pt>
                <c:pt idx="70">
                  <c:v>0.96756638701644149</c:v>
                </c:pt>
                <c:pt idx="71">
                  <c:v>0.94029649207737387</c:v>
                </c:pt>
                <c:pt idx="72">
                  <c:v>0.9170912797089299</c:v>
                </c:pt>
                <c:pt idx="73">
                  <c:v>0.89713972557044763</c:v>
                </c:pt>
                <c:pt idx="74">
                  <c:v>0.87983058019429439</c:v>
                </c:pt>
                <c:pt idx="75">
                  <c:v>0.86469466359597535</c:v>
                </c:pt>
                <c:pt idx="76">
                  <c:v>0.85136604264766635</c:v>
                </c:pt>
                <c:pt idx="77">
                  <c:v>0.83955525874231718</c:v>
                </c:pt>
                <c:pt idx="78">
                  <c:v>0.82903045930975283</c:v>
                </c:pt>
                <c:pt idx="79">
                  <c:v>0.81960384055727298</c:v>
                </c:pt>
                <c:pt idx="80">
                  <c:v>0.81112173694104106</c:v>
                </c:pt>
                <c:pt idx="81">
                  <c:v>0.80345726326884537</c:v>
                </c:pt>
                <c:pt idx="82">
                  <c:v>0.7965047748976446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84-4F70-A970-F6A6AA9465F4}"/>
            </c:ext>
          </c:extLst>
        </c:ser>
        <c:ser>
          <c:idx val="1"/>
          <c:order val="1"/>
          <c:tx>
            <c:strRef>
              <c:f>RTC!$B$47</c:f>
              <c:strCache>
                <c:ptCount val="1"/>
                <c:pt idx="0">
                  <c:v>M(fn,Po,π/2)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RTC!$C$47:$CG$47</c:f>
              <c:numCache>
                <c:formatCode>General</c:formatCode>
                <c:ptCount val="83"/>
                <c:pt idx="0">
                  <c:v>2.1818182382492675E-8</c:v>
                </c:pt>
                <c:pt idx="1">
                  <c:v>1.2881887010930794E-3</c:v>
                </c:pt>
                <c:pt idx="2">
                  <c:v>3.2927886442313385E-3</c:v>
                </c:pt>
                <c:pt idx="3">
                  <c:v>6.2360266346062031E-3</c:v>
                </c:pt>
                <c:pt idx="4">
                  <c:v>1.0137396704165301E-2</c:v>
                </c:pt>
                <c:pt idx="5">
                  <c:v>1.5023007895528954E-2</c:v>
                </c:pt>
                <c:pt idx="6">
                  <c:v>2.0925987778792478E-2</c:v>
                </c:pt>
                <c:pt idx="7">
                  <c:v>2.7887001276361342E-2</c:v>
                </c:pt>
                <c:pt idx="8">
                  <c:v>3.5954897539339017E-2</c:v>
                </c:pt>
                <c:pt idx="9">
                  <c:v>4.5187500817546217E-2</c:v>
                </c:pt>
                <c:pt idx="10">
                  <c:v>5.5652564835327163E-2</c:v>
                </c:pt>
                <c:pt idx="11">
                  <c:v>6.7428914152122668E-2</c:v>
                </c:pt>
                <c:pt idx="12">
                  <c:v>8.0607800331455051E-2</c:v>
                </c:pt>
                <c:pt idx="13">
                  <c:v>9.5294505365001059E-2</c:v>
                </c:pt>
                <c:pt idx="14">
                  <c:v>0.11161022945863958</c:v>
                </c:pt>
                <c:pt idx="15">
                  <c:v>0.12969430450041747</c:v>
                </c:pt>
                <c:pt idx="16">
                  <c:v>0.14970677740192706</c:v>
                </c:pt>
                <c:pt idx="17">
                  <c:v>0.17183140745740369</c:v>
                </c:pt>
                <c:pt idx="18">
                  <c:v>0.19627911619524036</c:v>
                </c:pt>
                <c:pt idx="19">
                  <c:v>0.22329191235764032</c:v>
                </c:pt>
                <c:pt idx="20">
                  <c:v>0.25314728109657647</c:v>
                </c:pt>
                <c:pt idx="21">
                  <c:v>0.28616296286546417</c:v>
                </c:pt>
                <c:pt idx="22">
                  <c:v>0.32270193381356715</c:v>
                </c:pt>
                <c:pt idx="23">
                  <c:v>0.36317720380577329</c:v>
                </c:pt>
                <c:pt idx="24">
                  <c:v>0.40805572039200749</c:v>
                </c:pt>
                <c:pt idx="25">
                  <c:v>0.45786013065995684</c:v>
                </c:pt>
                <c:pt idx="26">
                  <c:v>0.51316629609248432</c:v>
                </c:pt>
                <c:pt idx="27">
                  <c:v>0.57459312657902117</c:v>
                </c:pt>
                <c:pt idx="28">
                  <c:v>0.64277932160959372</c:v>
                </c:pt>
                <c:pt idx="29">
                  <c:v>0.71833884691119299</c:v>
                </c:pt>
                <c:pt idx="30">
                  <c:v>0.80178354597124124</c:v>
                </c:pt>
                <c:pt idx="31">
                  <c:v>0.89339801137383779</c:v>
                </c:pt>
                <c:pt idx="32">
                  <c:v>0.99305115057053139</c:v>
                </c:pt>
                <c:pt idx="33">
                  <c:v>1.0999361156437204</c:v>
                </c:pt>
                <c:pt idx="34">
                  <c:v>1.2122544795938535</c:v>
                </c:pt>
                <c:pt idx="35">
                  <c:v>1.3269116345880969</c:v>
                </c:pt>
                <c:pt idx="36">
                  <c:v>1.4393666612797296</c:v>
                </c:pt>
                <c:pt idx="37">
                  <c:v>1.5438437181055409</c:v>
                </c:pt>
                <c:pt idx="38">
                  <c:v>1.634075089047597</c:v>
                </c:pt>
                <c:pt idx="39">
                  <c:v>1.6593385553953328</c:v>
                </c:pt>
                <c:pt idx="40">
                  <c:v>1.7224809596753172</c:v>
                </c:pt>
                <c:pt idx="41">
                  <c:v>1.7617858065342098</c:v>
                </c:pt>
                <c:pt idx="42">
                  <c:v>1.7775007606476596</c:v>
                </c:pt>
                <c:pt idx="43">
                  <c:v>1.7723770936820213</c:v>
                </c:pt>
                <c:pt idx="44">
                  <c:v>1.7506688032071991</c:v>
                </c:pt>
                <c:pt idx="45">
                  <c:v>1.7170352094878036</c:v>
                </c:pt>
                <c:pt idx="46">
                  <c:v>1.6757354437264311</c:v>
                </c:pt>
                <c:pt idx="47">
                  <c:v>1.6302254633798372</c:v>
                </c:pt>
                <c:pt idx="48">
                  <c:v>1.5830741957458498</c:v>
                </c:pt>
                <c:pt idx="49">
                  <c:v>1.5360596375513149</c:v>
                </c:pt>
                <c:pt idx="50">
                  <c:v>1.4903324554146884</c:v>
                </c:pt>
                <c:pt idx="51">
                  <c:v>1.446581713956461</c:v>
                </c:pt>
                <c:pt idx="52">
                  <c:v>1.4051745142564538</c:v>
                </c:pt>
                <c:pt idx="53">
                  <c:v>1.3662628198799427</c:v>
                </c:pt>
                <c:pt idx="54">
                  <c:v>1.329860503810347</c:v>
                </c:pt>
                <c:pt idx="55">
                  <c:v>1.2958967576600455</c:v>
                </c:pt>
                <c:pt idx="56">
                  <c:v>1.2642520414530216</c:v>
                </c:pt>
                <c:pt idx="57">
                  <c:v>1.2347816882910965</c:v>
                </c:pt>
                <c:pt idx="58">
                  <c:v>1.2073310266874606</c:v>
                </c:pt>
                <c:pt idx="59">
                  <c:v>1.1817447922027622</c:v>
                </c:pt>
                <c:pt idx="60">
                  <c:v>1.1578727557635651</c:v>
                </c:pt>
                <c:pt idx="61">
                  <c:v>1.1355728820271946</c:v>
                </c:pt>
                <c:pt idx="62">
                  <c:v>1.1147129003379874</c:v>
                </c:pt>
                <c:pt idx="63">
                  <c:v>1.0951708751382412</c:v>
                </c:pt>
                <c:pt idx="64">
                  <c:v>1.0768351626045636</c:v>
                </c:pt>
                <c:pt idx="65">
                  <c:v>1.0596040061373857</c:v>
                </c:pt>
                <c:pt idx="66">
                  <c:v>1.0433849339971508</c:v>
                </c:pt>
                <c:pt idx="67">
                  <c:v>1.0280940632015909</c:v>
                </c:pt>
                <c:pt idx="68">
                  <c:v>1.0136553747908899</c:v>
                </c:pt>
                <c:pt idx="69">
                  <c:v>1</c:v>
                </c:pt>
                <c:pt idx="70">
                  <c:v>0.96691322680906977</c:v>
                </c:pt>
                <c:pt idx="71">
                  <c:v>0.93798852959219836</c:v>
                </c:pt>
                <c:pt idx="72">
                  <c:v>0.91245116941174087</c:v>
                </c:pt>
                <c:pt idx="73">
                  <c:v>0.88969658878492341</c:v>
                </c:pt>
                <c:pt idx="74">
                  <c:v>0.86924871266921189</c:v>
                </c:pt>
                <c:pt idx="75">
                  <c:v>0.85072914348639261</c:v>
                </c:pt>
                <c:pt idx="76">
                  <c:v>0.83383437970660179</c:v>
                </c:pt>
                <c:pt idx="77">
                  <c:v>0.81831887609351994</c:v>
                </c:pt>
                <c:pt idx="78">
                  <c:v>0.80398235120407913</c:v>
                </c:pt>
                <c:pt idx="79">
                  <c:v>0.7906601946781564</c:v>
                </c:pt>
                <c:pt idx="80">
                  <c:v>0.77821615163793834</c:v>
                </c:pt>
                <c:pt idx="81">
                  <c:v>0.76653669311334505</c:v>
                </c:pt>
                <c:pt idx="82">
                  <c:v>0.75552664554189064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84-4F70-A970-F6A6AA9465F4}"/>
            </c:ext>
          </c:extLst>
        </c:ser>
        <c:ser>
          <c:idx val="2"/>
          <c:order val="2"/>
          <c:tx>
            <c:strRef>
              <c:f>RTC!$B$49</c:f>
              <c:strCache>
                <c:ptCount val="1"/>
                <c:pt idx="0">
                  <c:v>M(fn,Po,π/3)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RTC!$C$49:$CG$49</c:f>
              <c:numCache>
                <c:formatCode>General</c:formatCode>
                <c:ptCount val="83"/>
                <c:pt idx="0">
                  <c:v>2.1818182439325691E-8</c:v>
                </c:pt>
                <c:pt idx="1">
                  <c:v>1.288386932838223E-3</c:v>
                </c:pt>
                <c:pt idx="2">
                  <c:v>3.294085024357045E-3</c:v>
                </c:pt>
                <c:pt idx="3">
                  <c:v>6.2406824378399874E-3</c:v>
                </c:pt>
                <c:pt idx="4">
                  <c:v>1.0149721903320651E-2</c:v>
                </c:pt>
                <c:pt idx="5">
                  <c:v>1.5050135523851146E-2</c:v>
                </c:pt>
                <c:pt idx="6">
                  <c:v>2.0978762930202923E-2</c:v>
                </c:pt>
                <c:pt idx="7">
                  <c:v>2.7981024024538607E-2</c:v>
                </c:pt>
                <c:pt idx="8">
                  <c:v>3.6111767932241016E-2</c:v>
                </c:pt>
                <c:pt idx="9">
                  <c:v>4.5436326096875805E-2</c:v>
                </c:pt>
                <c:pt idx="10">
                  <c:v>5.6031805097773321E-2</c:v>
                </c:pt>
                <c:pt idx="11">
                  <c:v>6.7988664131966317E-2</c:v>
                </c:pt>
                <c:pt idx="12">
                  <c:v>8.1412633661487821E-2</c:v>
                </c:pt>
                <c:pt idx="13">
                  <c:v>9.6427046070027292E-2</c:v>
                </c:pt>
                <c:pt idx="14">
                  <c:v>0.11317566700622338</c:v>
                </c:pt>
                <c:pt idx="15">
                  <c:v>0.13182613823889974</c:v>
                </c:pt>
                <c:pt idx="16">
                  <c:v>0.15257417021874703</c:v>
                </c:pt>
                <c:pt idx="17">
                  <c:v>0.17564865601082363</c:v>
                </c:pt>
                <c:pt idx="18">
                  <c:v>0.20131791842768321</c:v>
                </c:pt>
                <c:pt idx="19">
                  <c:v>0.22989734881129481</c:v>
                </c:pt>
                <c:pt idx="20">
                  <c:v>0.26175874677386279</c:v>
                </c:pt>
                <c:pt idx="21">
                  <c:v>0.29734171889440625</c:v>
                </c:pt>
                <c:pt idx="22">
                  <c:v>0.33716752587048926</c:v>
                </c:pt>
                <c:pt idx="23">
                  <c:v>0.38185574987982207</c:v>
                </c:pt>
                <c:pt idx="24">
                  <c:v>0.4321440215917321</c:v>
                </c:pt>
                <c:pt idx="25">
                  <c:v>0.48891067008148426</c:v>
                </c:pt>
                <c:pt idx="26">
                  <c:v>0.55319928820362751</c:v>
                </c:pt>
                <c:pt idx="27">
                  <c:v>0.62624236450510695</c:v>
                </c:pt>
                <c:pt idx="28">
                  <c:v>0.70947743818119835</c:v>
                </c:pt>
                <c:pt idx="29">
                  <c:v>0.80454211618310545</c:v>
                </c:pt>
                <c:pt idx="30">
                  <c:v>0.91322115987396457</c:v>
                </c:pt>
                <c:pt idx="31">
                  <c:v>1.0372960664446651</c:v>
                </c:pt>
                <c:pt idx="32">
                  <c:v>1.1782121374140366</c:v>
                </c:pt>
                <c:pt idx="33">
                  <c:v>1.3364349780829285</c:v>
                </c:pt>
                <c:pt idx="34">
                  <c:v>1.5103522672564342</c:v>
                </c:pt>
                <c:pt idx="35">
                  <c:v>1.6946933621753784</c:v>
                </c:pt>
                <c:pt idx="36">
                  <c:v>1.8788872930725196</c:v>
                </c:pt>
                <c:pt idx="37">
                  <c:v>2.0466553898913227</c:v>
                </c:pt>
                <c:pt idx="38">
                  <c:v>2.1787661726775815</c:v>
                </c:pt>
                <c:pt idx="39">
                  <c:v>2.2111254628172508</c:v>
                </c:pt>
                <c:pt idx="40">
                  <c:v>2.2733341619235317</c:v>
                </c:pt>
                <c:pt idx="41">
                  <c:v>2.2794758156576145</c:v>
                </c:pt>
                <c:pt idx="42">
                  <c:v>2.2390917769355321</c:v>
                </c:pt>
                <c:pt idx="43">
                  <c:v>2.1671764851446023</c:v>
                </c:pt>
                <c:pt idx="44">
                  <c:v>2.0782664827564985</c:v>
                </c:pt>
                <c:pt idx="45">
                  <c:v>1.9833491584035789</c:v>
                </c:pt>
                <c:pt idx="46">
                  <c:v>1.8894370266624958</c:v>
                </c:pt>
                <c:pt idx="47">
                  <c:v>1.8004036122547353</c:v>
                </c:pt>
                <c:pt idx="48">
                  <c:v>1.7180362951962087</c:v>
                </c:pt>
                <c:pt idx="49">
                  <c:v>1.6428800535467103</c:v>
                </c:pt>
                <c:pt idx="50">
                  <c:v>1.5748033751254678</c:v>
                </c:pt>
                <c:pt idx="51">
                  <c:v>1.5133428875947135</c:v>
                </c:pt>
                <c:pt idx="52">
                  <c:v>1.4579001918992971</c:v>
                </c:pt>
                <c:pt idx="53">
                  <c:v>1.4078482374057375</c:v>
                </c:pt>
                <c:pt idx="54">
                  <c:v>1.3625851213657625</c:v>
                </c:pt>
                <c:pt idx="55">
                  <c:v>1.3215584444011077</c:v>
                </c:pt>
                <c:pt idx="56">
                  <c:v>1.2842737446429706</c:v>
                </c:pt>
                <c:pt idx="57">
                  <c:v>1.2502946995621886</c:v>
                </c:pt>
                <c:pt idx="58">
                  <c:v>1.2192393728204127</c:v>
                </c:pt>
                <c:pt idx="59">
                  <c:v>1.1907748312749207</c:v>
                </c:pt>
                <c:pt idx="60">
                  <c:v>1.1646113567059417</c:v>
                </c:pt>
                <c:pt idx="61">
                  <c:v>1.140496864502047</c:v>
                </c:pt>
                <c:pt idx="62">
                  <c:v>1.1182118061628268</c:v>
                </c:pt>
                <c:pt idx="63">
                  <c:v>1.0975646529978911</c:v>
                </c:pt>
                <c:pt idx="64">
                  <c:v>1.0783879659759421</c:v>
                </c:pt>
                <c:pt idx="65">
                  <c:v>1.0605350123336386</c:v>
                </c:pt>
                <c:pt idx="66">
                  <c:v>1.0438768713069297</c:v>
                </c:pt>
                <c:pt idx="67">
                  <c:v>1.0282999668555644</c:v>
                </c:pt>
                <c:pt idx="68">
                  <c:v>1.0137039676399553</c:v>
                </c:pt>
                <c:pt idx="69">
                  <c:v>1</c:v>
                </c:pt>
                <c:pt idx="70">
                  <c:v>0.96719882159524373</c:v>
                </c:pt>
                <c:pt idx="71">
                  <c:v>0.93899617000083535</c:v>
                </c:pt>
                <c:pt idx="72">
                  <c:v>0.91447253396452466</c:v>
                </c:pt>
                <c:pt idx="73">
                  <c:v>0.8929300910335991</c:v>
                </c:pt>
                <c:pt idx="74">
                  <c:v>0.87383107550355499</c:v>
                </c:pt>
                <c:pt idx="75">
                  <c:v>0.85675526471749119</c:v>
                </c:pt>
                <c:pt idx="76">
                  <c:v>0.84137012873404282</c:v>
                </c:pt>
                <c:pt idx="77">
                  <c:v>0.82740951576527788</c:v>
                </c:pt>
                <c:pt idx="78">
                  <c:v>0.81465819096376568</c:v>
                </c:pt>
                <c:pt idx="79">
                  <c:v>0.80294045572863604</c:v>
                </c:pt>
                <c:pt idx="80">
                  <c:v>0.79211165619735802</c:v>
                </c:pt>
                <c:pt idx="81">
                  <c:v>0.78205176741559146</c:v>
                </c:pt>
                <c:pt idx="82">
                  <c:v>0.77266048914876062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884-4F70-A970-F6A6AA9465F4}"/>
            </c:ext>
          </c:extLst>
        </c:ser>
        <c:ser>
          <c:idx val="3"/>
          <c:order val="3"/>
          <c:tx>
            <c:strRef>
              <c:f>RTC!$B$50</c:f>
              <c:strCache>
                <c:ptCount val="1"/>
                <c:pt idx="0">
                  <c:v>M(fn,Po,π/4)</c:v>
                </c:pt>
              </c:strCache>
            </c:strRef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RTC!$C$50:$CG$50</c:f>
              <c:numCache>
                <c:formatCode>General</c:formatCode>
                <c:ptCount val="83"/>
                <c:pt idx="0">
                  <c:v>2.1818182479920704E-8</c:v>
                </c:pt>
                <c:pt idx="1">
                  <c:v>1.2885285829841006E-3</c:v>
                </c:pt>
                <c:pt idx="2">
                  <c:v>3.2950119481721194E-3</c:v>
                </c:pt>
                <c:pt idx="3">
                  <c:v>6.2440144033623097E-3</c:v>
                </c:pt>
                <c:pt idx="4">
                  <c:v>1.0158553191859945E-2</c:v>
                </c:pt>
                <c:pt idx="5">
                  <c:v>1.5069602622699301E-2</c:v>
                </c:pt>
                <c:pt idx="6">
                  <c:v>2.1016704876682134E-2</c:v>
                </c:pt>
                <c:pt idx="7">
                  <c:v>2.8048768388947723E-2</c:v>
                </c:pt>
                <c:pt idx="8">
                  <c:v>3.6225083729408088E-2</c:v>
                </c:pt>
                <c:pt idx="9">
                  <c:v>4.5616596356075428E-2</c:v>
                </c:pt>
                <c:pt idx="10">
                  <c:v>5.6307487501055131E-2</c:v>
                </c:pt>
                <c:pt idx="11">
                  <c:v>6.83971296301875E-2</c:v>
                </c:pt>
                <c:pt idx="12">
                  <c:v>8.2002502564154742E-2</c:v>
                </c:pt>
                <c:pt idx="13">
                  <c:v>9.7261182059277002E-2</c:v>
                </c:pt>
                <c:pt idx="14">
                  <c:v>0.11433504662530793</c:v>
                </c:pt>
                <c:pt idx="15">
                  <c:v>0.13341489367348136</c:v>
                </c:pt>
                <c:pt idx="16">
                  <c:v>0.15472621704054584</c:v>
                </c:pt>
                <c:pt idx="17">
                  <c:v>0.17853648058534624</c:v>
                </c:pt>
                <c:pt idx="18">
                  <c:v>0.20516433548851423</c:v>
                </c:pt>
                <c:pt idx="19">
                  <c:v>0.23499138428974772</c:v>
                </c:pt>
                <c:pt idx="20">
                  <c:v>0.26847730985236462</c:v>
                </c:pt>
                <c:pt idx="21">
                  <c:v>0.30617948669159406</c:v>
                </c:pt>
                <c:pt idx="22">
                  <c:v>0.34877860915110864</c:v>
                </c:pt>
                <c:pt idx="23">
                  <c:v>0.39711245078414564</c:v>
                </c:pt>
                <c:pt idx="24">
                  <c:v>0.45222066752110879</c:v>
                </c:pt>
                <c:pt idx="25">
                  <c:v>0.51540462938092035</c:v>
                </c:pt>
                <c:pt idx="26">
                  <c:v>0.58830762840615813</c:v>
                </c:pt>
                <c:pt idx="27">
                  <c:v>0.67302232488870162</c:v>
                </c:pt>
                <c:pt idx="28">
                  <c:v>0.77223333712321429</c:v>
                </c:pt>
                <c:pt idx="29">
                  <c:v>0.88940146434470002</c:v>
                </c:pt>
                <c:pt idx="30">
                  <c:v>1.0289864824494521</c:v>
                </c:pt>
                <c:pt idx="31">
                  <c:v>1.1966724314094623</c:v>
                </c:pt>
                <c:pt idx="32">
                  <c:v>1.3994632574174968</c:v>
                </c:pt>
                <c:pt idx="33">
                  <c:v>1.6452628496952006</c:v>
                </c:pt>
                <c:pt idx="34">
                  <c:v>1.9409529095430136</c:v>
                </c:pt>
                <c:pt idx="35">
                  <c:v>2.286856711332343</c:v>
                </c:pt>
                <c:pt idx="36">
                  <c:v>2.664689739148864</c:v>
                </c:pt>
                <c:pt idx="37">
                  <c:v>3.0210297534050943</c:v>
                </c:pt>
                <c:pt idx="38">
                  <c:v>3.2681466330811526</c:v>
                </c:pt>
                <c:pt idx="39">
                  <c:v>3.3110252196145522</c:v>
                </c:pt>
                <c:pt idx="40">
                  <c:v>3.3156909367168934</c:v>
                </c:pt>
                <c:pt idx="41">
                  <c:v>3.165485129035889</c:v>
                </c:pt>
                <c:pt idx="42">
                  <c:v>2.9379147301897302</c:v>
                </c:pt>
                <c:pt idx="43">
                  <c:v>2.6956469422014004</c:v>
                </c:pt>
                <c:pt idx="44">
                  <c:v>2.4705166769883413</c:v>
                </c:pt>
                <c:pt idx="45">
                  <c:v>2.2731978578150067</c:v>
                </c:pt>
                <c:pt idx="46">
                  <c:v>2.1043137440172504</c:v>
                </c:pt>
                <c:pt idx="47">
                  <c:v>1.9607997258777867</c:v>
                </c:pt>
                <c:pt idx="48">
                  <c:v>1.8387414801727384</c:v>
                </c:pt>
                <c:pt idx="49">
                  <c:v>1.7344475901781762</c:v>
                </c:pt>
                <c:pt idx="50">
                  <c:v>1.6447671953798582</c:v>
                </c:pt>
                <c:pt idx="51">
                  <c:v>1.5671176092543677</c:v>
                </c:pt>
                <c:pt idx="52">
                  <c:v>1.4994159312519777</c:v>
                </c:pt>
                <c:pt idx="53">
                  <c:v>1.4399901776491046</c:v>
                </c:pt>
                <c:pt idx="54">
                  <c:v>1.3874966034904137</c:v>
                </c:pt>
                <c:pt idx="55">
                  <c:v>1.3408506390314692</c:v>
                </c:pt>
                <c:pt idx="56">
                  <c:v>1.2991717638123261</c:v>
                </c:pt>
                <c:pt idx="57">
                  <c:v>1.2617403838170929</c:v>
                </c:pt>
                <c:pt idx="58">
                  <c:v>1.2279643637936826</c:v>
                </c:pt>
                <c:pt idx="59">
                  <c:v>1.1973530893088902</c:v>
                </c:pt>
                <c:pt idx="60">
                  <c:v>1.1694973196907215</c:v>
                </c:pt>
                <c:pt idx="61">
                  <c:v>1.1440534718277999</c:v>
                </c:pt>
                <c:pt idx="62">
                  <c:v>1.1207312935183062</c:v>
                </c:pt>
                <c:pt idx="63">
                  <c:v>1.0992841366401696</c:v>
                </c:pt>
                <c:pt idx="64">
                  <c:v>1.0795012330280616</c:v>
                </c:pt>
                <c:pt idx="65">
                  <c:v>1.0612015212514392</c:v>
                </c:pt>
                <c:pt idx="66">
                  <c:v>1.0442286814174895</c:v>
                </c:pt>
                <c:pt idx="67">
                  <c:v>1.028447116660097</c:v>
                </c:pt>
                <c:pt idx="68">
                  <c:v>1.0137386810967635</c:v>
                </c:pt>
                <c:pt idx="69">
                  <c:v>1</c:v>
                </c:pt>
                <c:pt idx="70">
                  <c:v>0.96740297287939647</c:v>
                </c:pt>
                <c:pt idx="71">
                  <c:v>0.9397179046098656</c:v>
                </c:pt>
                <c:pt idx="72">
                  <c:v>0.91592461846307416</c:v>
                </c:pt>
                <c:pt idx="73">
                  <c:v>0.89526144065932423</c:v>
                </c:pt>
                <c:pt idx="74">
                  <c:v>0.87714892036287673</c:v>
                </c:pt>
                <c:pt idx="75">
                  <c:v>0.86113889543855549</c:v>
                </c:pt>
                <c:pt idx="76">
                  <c:v>0.84687964305359276</c:v>
                </c:pt>
                <c:pt idx="77">
                  <c:v>0.83409151190731656</c:v>
                </c:pt>
                <c:pt idx="78">
                  <c:v>0.82254954889244947</c:v>
                </c:pt>
                <c:pt idx="79">
                  <c:v>0.81207089395729926</c:v>
                </c:pt>
                <c:pt idx="80">
                  <c:v>0.80250548884949624</c:v>
                </c:pt>
                <c:pt idx="81">
                  <c:v>0.79372912964468822</c:v>
                </c:pt>
                <c:pt idx="82">
                  <c:v>0.78563820355372038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884-4F70-A970-F6A6AA9465F4}"/>
            </c:ext>
          </c:extLst>
        </c:ser>
        <c:ser>
          <c:idx val="4"/>
          <c:order val="4"/>
          <c:tx>
            <c:strRef>
              <c:f>RTC!$B$53</c:f>
              <c:strCache>
                <c:ptCount val="1"/>
                <c:pt idx="0">
                  <c:v>Mreq(Vin_min, Vout,π/2 )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RTC!$C$53:$CG$53</c:f>
              <c:numCache>
                <c:formatCode>General</c:formatCode>
                <c:ptCount val="83"/>
                <c:pt idx="0">
                  <c:v>1.5209591835918568</c:v>
                </c:pt>
                <c:pt idx="1">
                  <c:v>1.5209591835918568</c:v>
                </c:pt>
                <c:pt idx="2">
                  <c:v>1.5209591835918568</c:v>
                </c:pt>
                <c:pt idx="3">
                  <c:v>1.5209591835918568</c:v>
                </c:pt>
                <c:pt idx="4">
                  <c:v>1.5209591835918568</c:v>
                </c:pt>
                <c:pt idx="5">
                  <c:v>1.5209591835918568</c:v>
                </c:pt>
                <c:pt idx="6">
                  <c:v>1.5209591835918568</c:v>
                </c:pt>
                <c:pt idx="7">
                  <c:v>1.5209591835918568</c:v>
                </c:pt>
                <c:pt idx="8">
                  <c:v>1.5209591835918568</c:v>
                </c:pt>
                <c:pt idx="9">
                  <c:v>1.5209591835918568</c:v>
                </c:pt>
                <c:pt idx="10">
                  <c:v>1.5209591835918568</c:v>
                </c:pt>
                <c:pt idx="11">
                  <c:v>1.5209591835918568</c:v>
                </c:pt>
                <c:pt idx="12">
                  <c:v>1.5209591835918568</c:v>
                </c:pt>
                <c:pt idx="13">
                  <c:v>1.5209591835918568</c:v>
                </c:pt>
                <c:pt idx="14">
                  <c:v>1.5209591835918568</c:v>
                </c:pt>
                <c:pt idx="15">
                  <c:v>1.5209591835918568</c:v>
                </c:pt>
                <c:pt idx="16">
                  <c:v>1.5209591835918568</c:v>
                </c:pt>
                <c:pt idx="17">
                  <c:v>1.5209591835918568</c:v>
                </c:pt>
                <c:pt idx="18">
                  <c:v>1.5209591835918568</c:v>
                </c:pt>
                <c:pt idx="19">
                  <c:v>1.5209591835918568</c:v>
                </c:pt>
                <c:pt idx="20">
                  <c:v>1.5209591835918568</c:v>
                </c:pt>
                <c:pt idx="21">
                  <c:v>1.5209591835918568</c:v>
                </c:pt>
                <c:pt idx="22">
                  <c:v>1.5209591835918568</c:v>
                </c:pt>
                <c:pt idx="23">
                  <c:v>1.5209591835918568</c:v>
                </c:pt>
                <c:pt idx="24">
                  <c:v>1.5209591835918568</c:v>
                </c:pt>
                <c:pt idx="25">
                  <c:v>1.5209591835918568</c:v>
                </c:pt>
                <c:pt idx="26">
                  <c:v>1.5209591835918568</c:v>
                </c:pt>
                <c:pt idx="27">
                  <c:v>1.5209591835918568</c:v>
                </c:pt>
                <c:pt idx="28">
                  <c:v>1.5209591835918568</c:v>
                </c:pt>
                <c:pt idx="29">
                  <c:v>1.5209591835918568</c:v>
                </c:pt>
                <c:pt idx="30">
                  <c:v>1.5209591835918568</c:v>
                </c:pt>
                <c:pt idx="31">
                  <c:v>1.5209591835918568</c:v>
                </c:pt>
                <c:pt idx="32">
                  <c:v>1.5209591835918568</c:v>
                </c:pt>
                <c:pt idx="33">
                  <c:v>1.5209591835918568</c:v>
                </c:pt>
                <c:pt idx="34">
                  <c:v>1.5209591835918568</c:v>
                </c:pt>
                <c:pt idx="35">
                  <c:v>1.5209591835918568</c:v>
                </c:pt>
                <c:pt idx="36">
                  <c:v>1.5209591835918568</c:v>
                </c:pt>
                <c:pt idx="37">
                  <c:v>1.5209591835918568</c:v>
                </c:pt>
                <c:pt idx="38">
                  <c:v>1.5209591835918568</c:v>
                </c:pt>
                <c:pt idx="39">
                  <c:v>1.5209591835918568</c:v>
                </c:pt>
                <c:pt idx="40">
                  <c:v>1.5209591835918568</c:v>
                </c:pt>
                <c:pt idx="41">
                  <c:v>1.5209591835918568</c:v>
                </c:pt>
                <c:pt idx="42">
                  <c:v>1.5209591835918568</c:v>
                </c:pt>
                <c:pt idx="43">
                  <c:v>1.5209591835918568</c:v>
                </c:pt>
                <c:pt idx="44">
                  <c:v>1.5209591835918568</c:v>
                </c:pt>
                <c:pt idx="45">
                  <c:v>1.5209591835918568</c:v>
                </c:pt>
                <c:pt idx="46">
                  <c:v>1.5209591835918568</c:v>
                </c:pt>
                <c:pt idx="47">
                  <c:v>1.5209591835918568</c:v>
                </c:pt>
                <c:pt idx="48">
                  <c:v>1.5209591835918568</c:v>
                </c:pt>
                <c:pt idx="49">
                  <c:v>1.5209591835918568</c:v>
                </c:pt>
                <c:pt idx="50">
                  <c:v>1.5209591835918568</c:v>
                </c:pt>
                <c:pt idx="51">
                  <c:v>1.5209591835918568</c:v>
                </c:pt>
                <c:pt idx="52">
                  <c:v>1.5209591835918568</c:v>
                </c:pt>
                <c:pt idx="53">
                  <c:v>1.5209591835918568</c:v>
                </c:pt>
                <c:pt idx="54">
                  <c:v>1.5209591835918568</c:v>
                </c:pt>
                <c:pt idx="55">
                  <c:v>1.5209591835918568</c:v>
                </c:pt>
                <c:pt idx="56">
                  <c:v>1.5209591835918568</c:v>
                </c:pt>
                <c:pt idx="57">
                  <c:v>1.5209591835918568</c:v>
                </c:pt>
                <c:pt idx="58">
                  <c:v>1.5209591835918568</c:v>
                </c:pt>
                <c:pt idx="59">
                  <c:v>1.5209591835918568</c:v>
                </c:pt>
                <c:pt idx="60">
                  <c:v>1.5209591835918568</c:v>
                </c:pt>
                <c:pt idx="61">
                  <c:v>1.5209591835918568</c:v>
                </c:pt>
                <c:pt idx="62">
                  <c:v>1.5209591835918568</c:v>
                </c:pt>
                <c:pt idx="63">
                  <c:v>1.5209591835918568</c:v>
                </c:pt>
                <c:pt idx="64">
                  <c:v>1.5209591835918568</c:v>
                </c:pt>
                <c:pt idx="65">
                  <c:v>1.5209591835918568</c:v>
                </c:pt>
                <c:pt idx="66">
                  <c:v>1.5209591835918568</c:v>
                </c:pt>
                <c:pt idx="67">
                  <c:v>1.5209591835918568</c:v>
                </c:pt>
                <c:pt idx="68">
                  <c:v>1.5209591835918568</c:v>
                </c:pt>
                <c:pt idx="69">
                  <c:v>1.5209591835918568</c:v>
                </c:pt>
                <c:pt idx="70">
                  <c:v>1.5209591835918568</c:v>
                </c:pt>
                <c:pt idx="71">
                  <c:v>1.5209591835918568</c:v>
                </c:pt>
                <c:pt idx="72">
                  <c:v>1.5209591835918568</c:v>
                </c:pt>
                <c:pt idx="73">
                  <c:v>1.5209591835918568</c:v>
                </c:pt>
                <c:pt idx="74">
                  <c:v>1.5209591835918568</c:v>
                </c:pt>
                <c:pt idx="75">
                  <c:v>1.5209591835918568</c:v>
                </c:pt>
                <c:pt idx="76">
                  <c:v>1.5209591835918568</c:v>
                </c:pt>
                <c:pt idx="77">
                  <c:v>1.5209591835918568</c:v>
                </c:pt>
                <c:pt idx="78">
                  <c:v>1.5209591835918568</c:v>
                </c:pt>
                <c:pt idx="79">
                  <c:v>1.5209591835918568</c:v>
                </c:pt>
                <c:pt idx="80">
                  <c:v>1.5209591835918568</c:v>
                </c:pt>
                <c:pt idx="81">
                  <c:v>1.5209591835918568</c:v>
                </c:pt>
                <c:pt idx="82">
                  <c:v>1.5209591835918568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884-4F70-A970-F6A6AA9465F4}"/>
            </c:ext>
          </c:extLst>
        </c:ser>
        <c:ser>
          <c:idx val="5"/>
          <c:order val="5"/>
          <c:tx>
            <c:strRef>
              <c:f>RTC!$B$55</c:f>
              <c:strCache>
                <c:ptCount val="1"/>
                <c:pt idx="0">
                  <c:v>Mreq(Vin_min, Vout,π/3 )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RTC!$C$55:$CG$55</c:f>
              <c:numCache>
                <c:formatCode>General</c:formatCode>
                <c:ptCount val="83"/>
                <c:pt idx="0">
                  <c:v>1.7562523881463841</c:v>
                </c:pt>
                <c:pt idx="1">
                  <c:v>1.7562523881463841</c:v>
                </c:pt>
                <c:pt idx="2">
                  <c:v>1.7562523881463841</c:v>
                </c:pt>
                <c:pt idx="3">
                  <c:v>1.7562523881463841</c:v>
                </c:pt>
                <c:pt idx="4">
                  <c:v>1.7562523881463841</c:v>
                </c:pt>
                <c:pt idx="5">
                  <c:v>1.7562523881463841</c:v>
                </c:pt>
                <c:pt idx="6">
                  <c:v>1.7562523881463841</c:v>
                </c:pt>
                <c:pt idx="7">
                  <c:v>1.7562523881463841</c:v>
                </c:pt>
                <c:pt idx="8">
                  <c:v>1.7562523881463841</c:v>
                </c:pt>
                <c:pt idx="9">
                  <c:v>1.7562523881463841</c:v>
                </c:pt>
                <c:pt idx="10">
                  <c:v>1.7562523881463841</c:v>
                </c:pt>
                <c:pt idx="11">
                  <c:v>1.7562523881463841</c:v>
                </c:pt>
                <c:pt idx="12">
                  <c:v>1.7562523881463841</c:v>
                </c:pt>
                <c:pt idx="13">
                  <c:v>1.7562523881463841</c:v>
                </c:pt>
                <c:pt idx="14">
                  <c:v>1.7562523881463841</c:v>
                </c:pt>
                <c:pt idx="15">
                  <c:v>1.7562523881463841</c:v>
                </c:pt>
                <c:pt idx="16">
                  <c:v>1.7562523881463841</c:v>
                </c:pt>
                <c:pt idx="17">
                  <c:v>1.7562523881463841</c:v>
                </c:pt>
                <c:pt idx="18">
                  <c:v>1.7562523881463841</c:v>
                </c:pt>
                <c:pt idx="19">
                  <c:v>1.7562523881463841</c:v>
                </c:pt>
                <c:pt idx="20">
                  <c:v>1.7562523881463841</c:v>
                </c:pt>
                <c:pt idx="21">
                  <c:v>1.7562523881463841</c:v>
                </c:pt>
                <c:pt idx="22">
                  <c:v>1.7562523881463841</c:v>
                </c:pt>
                <c:pt idx="23">
                  <c:v>1.7562523881463841</c:v>
                </c:pt>
                <c:pt idx="24">
                  <c:v>1.7562523881463841</c:v>
                </c:pt>
                <c:pt idx="25">
                  <c:v>1.7562523881463841</c:v>
                </c:pt>
                <c:pt idx="26">
                  <c:v>1.7562523881463841</c:v>
                </c:pt>
                <c:pt idx="27">
                  <c:v>1.7562523881463841</c:v>
                </c:pt>
                <c:pt idx="28">
                  <c:v>1.7562523881463841</c:v>
                </c:pt>
                <c:pt idx="29">
                  <c:v>1.7562523881463841</c:v>
                </c:pt>
                <c:pt idx="30">
                  <c:v>1.7562523881463841</c:v>
                </c:pt>
                <c:pt idx="31">
                  <c:v>1.7562523881463841</c:v>
                </c:pt>
                <c:pt idx="32">
                  <c:v>1.7562523881463841</c:v>
                </c:pt>
                <c:pt idx="33">
                  <c:v>1.7562523881463841</c:v>
                </c:pt>
                <c:pt idx="34">
                  <c:v>1.7562523881463841</c:v>
                </c:pt>
                <c:pt idx="35">
                  <c:v>1.7562523881463841</c:v>
                </c:pt>
                <c:pt idx="36">
                  <c:v>1.7562523881463841</c:v>
                </c:pt>
                <c:pt idx="37">
                  <c:v>1.7562523881463841</c:v>
                </c:pt>
                <c:pt idx="38">
                  <c:v>1.7562523881463841</c:v>
                </c:pt>
                <c:pt idx="39">
                  <c:v>1.7562523881463841</c:v>
                </c:pt>
                <c:pt idx="40">
                  <c:v>1.7562523881463841</c:v>
                </c:pt>
                <c:pt idx="41">
                  <c:v>1.7562523881463841</c:v>
                </c:pt>
                <c:pt idx="42">
                  <c:v>1.7562523881463841</c:v>
                </c:pt>
                <c:pt idx="43">
                  <c:v>1.7562523881463841</c:v>
                </c:pt>
                <c:pt idx="44">
                  <c:v>1.7562523881463841</c:v>
                </c:pt>
                <c:pt idx="45">
                  <c:v>1.7562523881463841</c:v>
                </c:pt>
                <c:pt idx="46">
                  <c:v>1.7562523881463841</c:v>
                </c:pt>
                <c:pt idx="47">
                  <c:v>1.7562523881463841</c:v>
                </c:pt>
                <c:pt idx="48">
                  <c:v>1.7562523881463841</c:v>
                </c:pt>
                <c:pt idx="49">
                  <c:v>1.7562523881463841</c:v>
                </c:pt>
                <c:pt idx="50">
                  <c:v>1.7562523881463841</c:v>
                </c:pt>
                <c:pt idx="51">
                  <c:v>1.7562523881463841</c:v>
                </c:pt>
                <c:pt idx="52">
                  <c:v>1.7562523881463841</c:v>
                </c:pt>
                <c:pt idx="53">
                  <c:v>1.7562523881463841</c:v>
                </c:pt>
                <c:pt idx="54">
                  <c:v>1.7562523881463841</c:v>
                </c:pt>
                <c:pt idx="55">
                  <c:v>1.7562523881463841</c:v>
                </c:pt>
                <c:pt idx="56">
                  <c:v>1.7562523881463841</c:v>
                </c:pt>
                <c:pt idx="57">
                  <c:v>1.7562523881463841</c:v>
                </c:pt>
                <c:pt idx="58">
                  <c:v>1.7562523881463841</c:v>
                </c:pt>
                <c:pt idx="59">
                  <c:v>1.7562523881463841</c:v>
                </c:pt>
                <c:pt idx="60">
                  <c:v>1.7562523881463841</c:v>
                </c:pt>
                <c:pt idx="61">
                  <c:v>1.7562523881463841</c:v>
                </c:pt>
                <c:pt idx="62">
                  <c:v>1.7562523881463841</c:v>
                </c:pt>
                <c:pt idx="63">
                  <c:v>1.7562523881463841</c:v>
                </c:pt>
                <c:pt idx="64">
                  <c:v>1.7562523881463841</c:v>
                </c:pt>
                <c:pt idx="65">
                  <c:v>1.7562523881463841</c:v>
                </c:pt>
                <c:pt idx="66">
                  <c:v>1.7562523881463841</c:v>
                </c:pt>
                <c:pt idx="67">
                  <c:v>1.7562523881463841</c:v>
                </c:pt>
                <c:pt idx="68">
                  <c:v>1.7562523881463841</c:v>
                </c:pt>
                <c:pt idx="69">
                  <c:v>1.7562523881463841</c:v>
                </c:pt>
                <c:pt idx="70">
                  <c:v>1.7562523881463841</c:v>
                </c:pt>
                <c:pt idx="71">
                  <c:v>1.7562523881463841</c:v>
                </c:pt>
                <c:pt idx="72">
                  <c:v>1.7562523881463841</c:v>
                </c:pt>
                <c:pt idx="73">
                  <c:v>1.7562523881463841</c:v>
                </c:pt>
                <c:pt idx="74">
                  <c:v>1.7562523881463841</c:v>
                </c:pt>
                <c:pt idx="75">
                  <c:v>1.7562523881463841</c:v>
                </c:pt>
                <c:pt idx="76">
                  <c:v>1.7562523881463841</c:v>
                </c:pt>
                <c:pt idx="77">
                  <c:v>1.7562523881463841</c:v>
                </c:pt>
                <c:pt idx="78">
                  <c:v>1.7562523881463841</c:v>
                </c:pt>
                <c:pt idx="79">
                  <c:v>1.7562523881463841</c:v>
                </c:pt>
                <c:pt idx="80">
                  <c:v>1.7562523881463841</c:v>
                </c:pt>
                <c:pt idx="81">
                  <c:v>1.7562523881463841</c:v>
                </c:pt>
                <c:pt idx="82">
                  <c:v>1.7562523881463841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884-4F70-A970-F6A6AA9465F4}"/>
            </c:ext>
          </c:extLst>
        </c:ser>
        <c:ser>
          <c:idx val="6"/>
          <c:order val="6"/>
          <c:tx>
            <c:strRef>
              <c:f>RTC!$B$56</c:f>
              <c:strCache>
                <c:ptCount val="1"/>
                <c:pt idx="0">
                  <c:v>Mreq(Vin_min, Vout,π/4 )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RTC!$C$56:$CG$56</c:f>
              <c:numCache>
                <c:formatCode>General</c:formatCode>
                <c:ptCount val="83"/>
                <c:pt idx="0">
                  <c:v>2.1509611052515143</c:v>
                </c:pt>
                <c:pt idx="1">
                  <c:v>2.1509611052515143</c:v>
                </c:pt>
                <c:pt idx="2">
                  <c:v>2.1509611052515143</c:v>
                </c:pt>
                <c:pt idx="3">
                  <c:v>2.1509611052515143</c:v>
                </c:pt>
                <c:pt idx="4">
                  <c:v>2.1509611052515143</c:v>
                </c:pt>
                <c:pt idx="5">
                  <c:v>2.1509611052515143</c:v>
                </c:pt>
                <c:pt idx="6">
                  <c:v>2.1509611052515143</c:v>
                </c:pt>
                <c:pt idx="7">
                  <c:v>2.1509611052515143</c:v>
                </c:pt>
                <c:pt idx="8">
                  <c:v>2.1509611052515143</c:v>
                </c:pt>
                <c:pt idx="9">
                  <c:v>2.1509611052515143</c:v>
                </c:pt>
                <c:pt idx="10">
                  <c:v>2.1509611052515143</c:v>
                </c:pt>
                <c:pt idx="11">
                  <c:v>2.1509611052515143</c:v>
                </c:pt>
                <c:pt idx="12">
                  <c:v>2.1509611052515143</c:v>
                </c:pt>
                <c:pt idx="13">
                  <c:v>2.1509611052515143</c:v>
                </c:pt>
                <c:pt idx="14">
                  <c:v>2.1509611052515143</c:v>
                </c:pt>
                <c:pt idx="15">
                  <c:v>2.1509611052515143</c:v>
                </c:pt>
                <c:pt idx="16">
                  <c:v>2.1509611052515143</c:v>
                </c:pt>
                <c:pt idx="17">
                  <c:v>2.1509611052515143</c:v>
                </c:pt>
                <c:pt idx="18">
                  <c:v>2.1509611052515143</c:v>
                </c:pt>
                <c:pt idx="19">
                  <c:v>2.1509611052515143</c:v>
                </c:pt>
                <c:pt idx="20">
                  <c:v>2.1509611052515143</c:v>
                </c:pt>
                <c:pt idx="21">
                  <c:v>2.1509611052515143</c:v>
                </c:pt>
                <c:pt idx="22">
                  <c:v>2.1509611052515143</c:v>
                </c:pt>
                <c:pt idx="23">
                  <c:v>2.1509611052515143</c:v>
                </c:pt>
                <c:pt idx="24">
                  <c:v>2.1509611052515143</c:v>
                </c:pt>
                <c:pt idx="25">
                  <c:v>2.1509611052515143</c:v>
                </c:pt>
                <c:pt idx="26">
                  <c:v>2.1509611052515143</c:v>
                </c:pt>
                <c:pt idx="27">
                  <c:v>2.1509611052515143</c:v>
                </c:pt>
                <c:pt idx="28">
                  <c:v>2.1509611052515143</c:v>
                </c:pt>
                <c:pt idx="29">
                  <c:v>2.1509611052515143</c:v>
                </c:pt>
                <c:pt idx="30">
                  <c:v>2.1509611052515143</c:v>
                </c:pt>
                <c:pt idx="31">
                  <c:v>2.1509611052515143</c:v>
                </c:pt>
                <c:pt idx="32">
                  <c:v>2.1509611052515143</c:v>
                </c:pt>
                <c:pt idx="33">
                  <c:v>2.1509611052515143</c:v>
                </c:pt>
                <c:pt idx="34">
                  <c:v>2.1509611052515143</c:v>
                </c:pt>
                <c:pt idx="35">
                  <c:v>2.1509611052515143</c:v>
                </c:pt>
                <c:pt idx="36">
                  <c:v>2.1509611052515143</c:v>
                </c:pt>
                <c:pt idx="37">
                  <c:v>2.1509611052515143</c:v>
                </c:pt>
                <c:pt idx="38">
                  <c:v>2.1509611052515143</c:v>
                </c:pt>
                <c:pt idx="39">
                  <c:v>2.1509611052515143</c:v>
                </c:pt>
                <c:pt idx="40">
                  <c:v>2.1509611052515143</c:v>
                </c:pt>
                <c:pt idx="41">
                  <c:v>2.1509611052515143</c:v>
                </c:pt>
                <c:pt idx="42">
                  <c:v>2.1509611052515143</c:v>
                </c:pt>
                <c:pt idx="43">
                  <c:v>2.1509611052515143</c:v>
                </c:pt>
                <c:pt idx="44">
                  <c:v>2.1509611052515143</c:v>
                </c:pt>
                <c:pt idx="45">
                  <c:v>2.1509611052515143</c:v>
                </c:pt>
                <c:pt idx="46">
                  <c:v>2.1509611052515143</c:v>
                </c:pt>
                <c:pt idx="47">
                  <c:v>2.1509611052515143</c:v>
                </c:pt>
                <c:pt idx="48">
                  <c:v>2.1509611052515143</c:v>
                </c:pt>
                <c:pt idx="49">
                  <c:v>2.1509611052515143</c:v>
                </c:pt>
                <c:pt idx="50">
                  <c:v>2.1509611052515143</c:v>
                </c:pt>
                <c:pt idx="51">
                  <c:v>2.1509611052515143</c:v>
                </c:pt>
                <c:pt idx="52">
                  <c:v>2.1509611052515143</c:v>
                </c:pt>
                <c:pt idx="53">
                  <c:v>2.1509611052515143</c:v>
                </c:pt>
                <c:pt idx="54">
                  <c:v>2.1509611052515143</c:v>
                </c:pt>
                <c:pt idx="55">
                  <c:v>2.1509611052515143</c:v>
                </c:pt>
                <c:pt idx="56">
                  <c:v>2.1509611052515143</c:v>
                </c:pt>
                <c:pt idx="57">
                  <c:v>2.1509611052515143</c:v>
                </c:pt>
                <c:pt idx="58">
                  <c:v>2.1509611052515143</c:v>
                </c:pt>
                <c:pt idx="59">
                  <c:v>2.1509611052515143</c:v>
                </c:pt>
                <c:pt idx="60">
                  <c:v>2.1509611052515143</c:v>
                </c:pt>
                <c:pt idx="61">
                  <c:v>2.1509611052515143</c:v>
                </c:pt>
                <c:pt idx="62">
                  <c:v>2.1509611052515143</c:v>
                </c:pt>
                <c:pt idx="63">
                  <c:v>2.1509611052515143</c:v>
                </c:pt>
                <c:pt idx="64">
                  <c:v>2.1509611052515143</c:v>
                </c:pt>
                <c:pt idx="65">
                  <c:v>2.1509611052515143</c:v>
                </c:pt>
                <c:pt idx="66">
                  <c:v>2.1509611052515143</c:v>
                </c:pt>
                <c:pt idx="67">
                  <c:v>2.1509611052515143</c:v>
                </c:pt>
                <c:pt idx="68">
                  <c:v>2.1509611052515143</c:v>
                </c:pt>
                <c:pt idx="69">
                  <c:v>2.1509611052515143</c:v>
                </c:pt>
                <c:pt idx="70">
                  <c:v>2.1509611052515143</c:v>
                </c:pt>
                <c:pt idx="71">
                  <c:v>2.1509611052515143</c:v>
                </c:pt>
                <c:pt idx="72">
                  <c:v>2.1509611052515143</c:v>
                </c:pt>
                <c:pt idx="73">
                  <c:v>2.1509611052515143</c:v>
                </c:pt>
                <c:pt idx="74">
                  <c:v>2.1509611052515143</c:v>
                </c:pt>
                <c:pt idx="75">
                  <c:v>2.1509611052515143</c:v>
                </c:pt>
                <c:pt idx="76">
                  <c:v>2.1509611052515143</c:v>
                </c:pt>
                <c:pt idx="77">
                  <c:v>2.1509611052515143</c:v>
                </c:pt>
                <c:pt idx="78">
                  <c:v>2.1509611052515143</c:v>
                </c:pt>
                <c:pt idx="79">
                  <c:v>2.1509611052515143</c:v>
                </c:pt>
                <c:pt idx="80">
                  <c:v>2.1509611052515143</c:v>
                </c:pt>
                <c:pt idx="81">
                  <c:v>2.1509611052515143</c:v>
                </c:pt>
                <c:pt idx="82">
                  <c:v>2.1509611052515143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884-4F70-A970-F6A6AA9465F4}"/>
            </c:ext>
          </c:extLst>
        </c:ser>
        <c:ser>
          <c:idx val="7"/>
          <c:order val="7"/>
          <c:tx>
            <c:strRef>
              <c:f>RTC!$B$29</c:f>
              <c:strCache>
                <c:ptCount val="1"/>
                <c:pt idx="0">
                  <c:v>M.Z(fn)</c:v>
                </c:pt>
              </c:strCache>
            </c:strRef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RTC!$C$29:$CG$29</c:f>
              <c:numCache>
                <c:formatCode>General</c:formatCode>
                <c:ptCount val="8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1921.5837087114464</c:v>
                </c:pt>
                <c:pt idx="39">
                  <c:v>6.499999999999007</c:v>
                </c:pt>
                <c:pt idx="40">
                  <c:v>3.2529106029008803</c:v>
                </c:pt>
                <c:pt idx="41">
                  <c:v>2.4982667258847973</c:v>
                </c:pt>
                <c:pt idx="42">
                  <c:v>2.1257309304031207</c:v>
                </c:pt>
                <c:pt idx="43">
                  <c:v>1.8960339956097945</c:v>
                </c:pt>
                <c:pt idx="44">
                  <c:v>1.7376131616797115</c:v>
                </c:pt>
                <c:pt idx="45">
                  <c:v>1.6206354136476369</c:v>
                </c:pt>
                <c:pt idx="46">
                  <c:v>1.5301841113520063</c:v>
                </c:pt>
                <c:pt idx="47">
                  <c:v>1.4578754741100259</c:v>
                </c:pt>
                <c:pt idx="48">
                  <c:v>1.3985939180008431</c:v>
                </c:pt>
                <c:pt idx="49">
                  <c:v>1.3490213172523273</c:v>
                </c:pt>
                <c:pt idx="50">
                  <c:v>1.3069011244615849</c:v>
                </c:pt>
                <c:pt idx="51">
                  <c:v>1.2706396576782892</c:v>
                </c:pt>
                <c:pt idx="52">
                  <c:v>1.2390760932765092</c:v>
                </c:pt>
                <c:pt idx="53">
                  <c:v>1.2113428740117067</c:v>
                </c:pt>
                <c:pt idx="54">
                  <c:v>1.1867773590313537</c:v>
                </c:pt>
                <c:pt idx="55">
                  <c:v>1.1648638953701158</c:v>
                </c:pt>
                <c:pt idx="56">
                  <c:v>1.1451946731274369</c:v>
                </c:pt>
                <c:pt idx="57">
                  <c:v>1.1274425752841599</c:v>
                </c:pt>
                <c:pt idx="58">
                  <c:v>1.1113419135083229</c:v>
                </c:pt>
                <c:pt idx="59">
                  <c:v>1.0966744827478272</c:v>
                </c:pt>
                <c:pt idx="60">
                  <c:v>1.0832592849365161</c:v>
                </c:pt>
                <c:pt idx="61">
                  <c:v>1.0709448350980926</c:v>
                </c:pt>
                <c:pt idx="62">
                  <c:v>1.0596033179556184</c:v>
                </c:pt>
                <c:pt idx="63">
                  <c:v>1.0491260922331147</c:v>
                </c:pt>
                <c:pt idx="64">
                  <c:v>1.0394201909627108</c:v>
                </c:pt>
                <c:pt idx="65">
                  <c:v>1.0304055677788071</c:v>
                </c:pt>
                <c:pt idx="66">
                  <c:v>1.022012908801389</c:v>
                </c:pt>
                <c:pt idx="67">
                  <c:v>1.0141818781648655</c:v>
                </c:pt>
                <c:pt idx="68">
                  <c:v>1.0068596994765564</c:v>
                </c:pt>
                <c:pt idx="69">
                  <c:v>1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884-4F70-A970-F6A6AA9465F4}"/>
            </c:ext>
          </c:extLst>
        </c:ser>
        <c:ser>
          <c:idx val="8"/>
          <c:order val="8"/>
          <c:tx>
            <c:strRef>
              <c:f>RTC!$B$31</c:f>
              <c:strCache>
                <c:ptCount val="1"/>
                <c:pt idx="0">
                  <c:v>Minf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RTC!$C$31:$CG$31</c:f>
              <c:numCache>
                <c:formatCode>General</c:formatCode>
                <c:ptCount val="83"/>
                <c:pt idx="0">
                  <c:v>0.68571428571428572</c:v>
                </c:pt>
                <c:pt idx="1">
                  <c:v>0.68571428571428572</c:v>
                </c:pt>
                <c:pt idx="2">
                  <c:v>0.68571428571428572</c:v>
                </c:pt>
                <c:pt idx="3">
                  <c:v>0.68571428571428572</c:v>
                </c:pt>
                <c:pt idx="4">
                  <c:v>0.68571428571428572</c:v>
                </c:pt>
                <c:pt idx="5">
                  <c:v>0.68571428571428572</c:v>
                </c:pt>
                <c:pt idx="6">
                  <c:v>0.68571428571428572</c:v>
                </c:pt>
                <c:pt idx="7">
                  <c:v>0.68571428571428572</c:v>
                </c:pt>
                <c:pt idx="8">
                  <c:v>0.68571428571428572</c:v>
                </c:pt>
                <c:pt idx="9">
                  <c:v>0.68571428571428572</c:v>
                </c:pt>
                <c:pt idx="10">
                  <c:v>0.68571428571428572</c:v>
                </c:pt>
                <c:pt idx="11">
                  <c:v>0.68571428571428572</c:v>
                </c:pt>
                <c:pt idx="12">
                  <c:v>0.68571428571428572</c:v>
                </c:pt>
                <c:pt idx="13">
                  <c:v>0.68571428571428572</c:v>
                </c:pt>
                <c:pt idx="14">
                  <c:v>0.68571428571428572</c:v>
                </c:pt>
                <c:pt idx="15">
                  <c:v>0.68571428571428572</c:v>
                </c:pt>
                <c:pt idx="16">
                  <c:v>0.68571428571428572</c:v>
                </c:pt>
                <c:pt idx="17">
                  <c:v>0.68571428571428572</c:v>
                </c:pt>
                <c:pt idx="18">
                  <c:v>0.68571428571428572</c:v>
                </c:pt>
                <c:pt idx="19">
                  <c:v>0.68571428571428572</c:v>
                </c:pt>
                <c:pt idx="20">
                  <c:v>0.68571428571428572</c:v>
                </c:pt>
                <c:pt idx="21">
                  <c:v>0.68571428571428572</c:v>
                </c:pt>
                <c:pt idx="22">
                  <c:v>0.68571428571428572</c:v>
                </c:pt>
                <c:pt idx="23">
                  <c:v>0.68571428571428572</c:v>
                </c:pt>
                <c:pt idx="24">
                  <c:v>0.68571428571428572</c:v>
                </c:pt>
                <c:pt idx="25">
                  <c:v>0.68571428571428572</c:v>
                </c:pt>
                <c:pt idx="26">
                  <c:v>0.68571428571428572</c:v>
                </c:pt>
                <c:pt idx="27">
                  <c:v>0.68571428571428572</c:v>
                </c:pt>
                <c:pt idx="28">
                  <c:v>0.68571428571428572</c:v>
                </c:pt>
                <c:pt idx="29">
                  <c:v>0.68571428571428572</c:v>
                </c:pt>
                <c:pt idx="30">
                  <c:v>0.68571428571428572</c:v>
                </c:pt>
                <c:pt idx="31">
                  <c:v>0.68571428571428572</c:v>
                </c:pt>
                <c:pt idx="32">
                  <c:v>0.68571428571428572</c:v>
                </c:pt>
                <c:pt idx="33">
                  <c:v>0.68571428571428572</c:v>
                </c:pt>
                <c:pt idx="34">
                  <c:v>0.68571428571428572</c:v>
                </c:pt>
                <c:pt idx="35">
                  <c:v>0.68571428571428572</c:v>
                </c:pt>
                <c:pt idx="36">
                  <c:v>0.68571428571428572</c:v>
                </c:pt>
                <c:pt idx="37">
                  <c:v>0.68571428571428572</c:v>
                </c:pt>
                <c:pt idx="38">
                  <c:v>0.68571428571428572</c:v>
                </c:pt>
                <c:pt idx="39">
                  <c:v>0.68571428571428572</c:v>
                </c:pt>
                <c:pt idx="40">
                  <c:v>0.68571428571428572</c:v>
                </c:pt>
                <c:pt idx="41">
                  <c:v>0.68571428571428572</c:v>
                </c:pt>
                <c:pt idx="42">
                  <c:v>0.68571428571428572</c:v>
                </c:pt>
                <c:pt idx="43">
                  <c:v>0.68571428571428572</c:v>
                </c:pt>
                <c:pt idx="44">
                  <c:v>0.68571428571428572</c:v>
                </c:pt>
                <c:pt idx="45">
                  <c:v>0.68571428571428572</c:v>
                </c:pt>
                <c:pt idx="46">
                  <c:v>0.68571428571428572</c:v>
                </c:pt>
                <c:pt idx="47">
                  <c:v>0.68571428571428572</c:v>
                </c:pt>
                <c:pt idx="48">
                  <c:v>0.68571428571428572</c:v>
                </c:pt>
                <c:pt idx="49">
                  <c:v>0.68571428571428572</c:v>
                </c:pt>
                <c:pt idx="50">
                  <c:v>0.68571428571428572</c:v>
                </c:pt>
                <c:pt idx="51">
                  <c:v>0.68571428571428572</c:v>
                </c:pt>
                <c:pt idx="52">
                  <c:v>0.68571428571428572</c:v>
                </c:pt>
                <c:pt idx="53">
                  <c:v>0.68571428571428572</c:v>
                </c:pt>
                <c:pt idx="54">
                  <c:v>0.68571428571428572</c:v>
                </c:pt>
                <c:pt idx="55">
                  <c:v>0.68571428571428572</c:v>
                </c:pt>
                <c:pt idx="56">
                  <c:v>0.68571428571428572</c:v>
                </c:pt>
                <c:pt idx="57">
                  <c:v>0.68571428571428572</c:v>
                </c:pt>
                <c:pt idx="58">
                  <c:v>0.68571428571428572</c:v>
                </c:pt>
                <c:pt idx="59">
                  <c:v>0.68571428571428572</c:v>
                </c:pt>
                <c:pt idx="60">
                  <c:v>0.68571428571428572</c:v>
                </c:pt>
                <c:pt idx="61">
                  <c:v>0.68571428571428572</c:v>
                </c:pt>
                <c:pt idx="62">
                  <c:v>0.68571428571428572</c:v>
                </c:pt>
                <c:pt idx="63">
                  <c:v>0.68571428571428572</c:v>
                </c:pt>
                <c:pt idx="64">
                  <c:v>0.68571428571428572</c:v>
                </c:pt>
                <c:pt idx="65">
                  <c:v>0.68571428571428572</c:v>
                </c:pt>
                <c:pt idx="66">
                  <c:v>0.68571428571428572</c:v>
                </c:pt>
                <c:pt idx="67">
                  <c:v>0.68571428571428572</c:v>
                </c:pt>
                <c:pt idx="68">
                  <c:v>0.68571428571428572</c:v>
                </c:pt>
                <c:pt idx="69">
                  <c:v>0.68571428571428572</c:v>
                </c:pt>
                <c:pt idx="70">
                  <c:v>0.68571428571428572</c:v>
                </c:pt>
                <c:pt idx="71">
                  <c:v>0.68571428571428572</c:v>
                </c:pt>
                <c:pt idx="72">
                  <c:v>0.68571428571428572</c:v>
                </c:pt>
                <c:pt idx="73">
                  <c:v>0.68571428571428572</c:v>
                </c:pt>
                <c:pt idx="74">
                  <c:v>0.68571428571428572</c:v>
                </c:pt>
                <c:pt idx="75">
                  <c:v>0.68571428571428572</c:v>
                </c:pt>
                <c:pt idx="76">
                  <c:v>0.68571428571428572</c:v>
                </c:pt>
                <c:pt idx="77">
                  <c:v>0.68571428571428572</c:v>
                </c:pt>
                <c:pt idx="78">
                  <c:v>0.68571428571428572</c:v>
                </c:pt>
                <c:pt idx="79">
                  <c:v>0.68571428571428572</c:v>
                </c:pt>
                <c:pt idx="80">
                  <c:v>0.68571428571428572</c:v>
                </c:pt>
                <c:pt idx="81">
                  <c:v>0.68571428571428572</c:v>
                </c:pt>
                <c:pt idx="82">
                  <c:v>0.68571428571428572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884-4F70-A970-F6A6AA946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431"/>
        <c:axId val="1407976511"/>
      </c:scatterChart>
      <c:valAx>
        <c:axId val="1407978431"/>
        <c:scaling>
          <c:orientation val="minMax"/>
          <c:max val="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fn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6511"/>
        <c:crosses val="autoZero"/>
        <c:crossBetween val="midCat"/>
      </c:valAx>
      <c:valAx>
        <c:axId val="1407976511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Required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8431"/>
        <c:crosses val="autoZero"/>
        <c:crossBetween val="midCat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4745225092890679"/>
          <c:y val="0.15736422940758721"/>
          <c:w val="0.28012287815561265"/>
          <c:h val="0.4208068832675885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ZOOM: Voltage Gain curve vs Minimum Required Gain for PFC </a:t>
            </a:r>
            <a:r>
              <a:rPr lang="en-US" sz="1400" b="1"/>
              <a:t>regulation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@Vin_min</a:t>
            </a:r>
            <a:endParaRPr lang="el-GR" sz="1400" b="1"/>
          </a:p>
        </c:rich>
      </c:tx>
      <c:layout>
        <c:manualLayout>
          <c:xMode val="edge"/>
          <c:yMode val="edge"/>
          <c:x val="0.16144385855423607"/>
          <c:y val="2.3272468193682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537278270281668"/>
          <c:y val="0.14180179759007025"/>
          <c:w val="0.82634951881014873"/>
          <c:h val="0.73685758765226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RTC!$B$28</c:f>
              <c:strCache>
                <c:ptCount val="1"/>
                <c:pt idx="0">
                  <c:v>M.OL(fn)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RTC!$C$28:$CG$28</c:f>
              <c:numCache>
                <c:formatCode>General</c:formatCode>
                <c:ptCount val="83"/>
                <c:pt idx="0">
                  <c:v>2.1818182512396718E-8</c:v>
                </c:pt>
                <c:pt idx="1">
                  <c:v>1.2886419367458453E-3</c:v>
                </c:pt>
                <c:pt idx="2">
                  <c:v>3.2957540508757933E-3</c:v>
                </c:pt>
                <c:pt idx="3">
                  <c:v>6.2466838217803949E-3</c:v>
                </c:pt>
                <c:pt idx="4">
                  <c:v>1.0165634844491057E-2</c:v>
                </c:pt>
                <c:pt idx="5">
                  <c:v>1.5085230808885637E-2</c:v>
                </c:pt>
                <c:pt idx="6">
                  <c:v>2.104720710419164E-2</c:v>
                </c:pt>
                <c:pt idx="7">
                  <c:v>2.8103319587713758E-2</c:v>
                </c:pt>
                <c:pt idx="8">
                  <c:v>3.6316508449383139E-2</c:v>
                </c:pt>
                <c:pt idx="9">
                  <c:v>4.5762367743434479E-2</c:v>
                </c:pt>
                <c:pt idx="10">
                  <c:v>5.6530987448607108E-2</c:v>
                </c:pt>
                <c:pt idx="11">
                  <c:v>6.8729256295102084E-2</c:v>
                </c:pt>
                <c:pt idx="12">
                  <c:v>8.2483742085161724E-2</c:v>
                </c:pt>
                <c:pt idx="13">
                  <c:v>9.7944304735298124E-2</c:v>
                </c:pt>
                <c:pt idx="14">
                  <c:v>0.11528864999952876</c:v>
                </c:pt>
                <c:pt idx="15">
                  <c:v>0.1347281050187448</c:v>
                </c:pt>
                <c:pt idx="16">
                  <c:v>0.15651499980883612</c:v>
                </c:pt>
                <c:pt idx="17">
                  <c:v>0.18095218575415503</c:v>
                </c:pt>
                <c:pt idx="18">
                  <c:v>0.20840543512238516</c:v>
                </c:pt>
                <c:pt idx="19">
                  <c:v>0.23931977930378859</c:v>
                </c:pt>
                <c:pt idx="20">
                  <c:v>0.27424131386312434</c:v>
                </c:pt>
                <c:pt idx="21">
                  <c:v>0.31384671772931005</c:v>
                </c:pt>
                <c:pt idx="22">
                  <c:v>0.3589838574142431</c:v>
                </c:pt>
                <c:pt idx="23">
                  <c:v>0.41072864448862639</c:v>
                </c:pt>
                <c:pt idx="24">
                  <c:v>0.47046626668653735</c:v>
                </c:pt>
                <c:pt idx="25">
                  <c:v>0.54000990781304037</c:v>
                </c:pt>
                <c:pt idx="26">
                  <c:v>0.62177881033586746</c:v>
                </c:pt>
                <c:pt idx="27">
                  <c:v>0.71907341857608231</c:v>
                </c:pt>
                <c:pt idx="28">
                  <c:v>0.83651551018079373</c:v>
                </c:pt>
                <c:pt idx="29">
                  <c:v>0.98078153994784389</c:v>
                </c:pt>
                <c:pt idx="30">
                  <c:v>1.1618855338834528</c:v>
                </c:pt>
                <c:pt idx="31">
                  <c:v>1.3955605407023011</c:v>
                </c:pt>
                <c:pt idx="32">
                  <c:v>1.70801881699095</c:v>
                </c:pt>
                <c:pt idx="33">
                  <c:v>2.1464163817304032</c:v>
                </c:pt>
                <c:pt idx="34">
                  <c:v>2.8049873938594398</c:v>
                </c:pt>
                <c:pt idx="35">
                  <c:v>3.9033273688464369</c:v>
                </c:pt>
                <c:pt idx="36">
                  <c:v>6.098718634915044</c:v>
                </c:pt>
                <c:pt idx="37">
                  <c:v>12.659566924581251</c:v>
                </c:pt>
                <c:pt idx="38">
                  <c:v>1921.5837087114464</c:v>
                </c:pt>
                <c:pt idx="39">
                  <c:v>42.249999999987104</c:v>
                </c:pt>
                <c:pt idx="40">
                  <c:v>10.581427390464974</c:v>
                </c:pt>
                <c:pt idx="41">
                  <c:v>6.2413366336631526</c:v>
                </c:pt>
                <c:pt idx="42">
                  <c:v>4.5187319884725161</c:v>
                </c:pt>
                <c:pt idx="43">
                  <c:v>3.5949449125080415</c:v>
                </c:pt>
                <c:pt idx="44">
                  <c:v>3.0192994996425648</c:v>
                </c:pt>
                <c:pt idx="45">
                  <c:v>2.6264591439688467</c:v>
                </c:pt>
                <c:pt idx="46">
                  <c:v>2.3414634146341284</c:v>
                </c:pt>
                <c:pt idx="47">
                  <c:v>2.1254008980115326</c:v>
                </c:pt>
                <c:pt idx="48">
                  <c:v>1.9560649474689491</c:v>
                </c:pt>
                <c:pt idx="49">
                  <c:v>1.8198585144012047</c:v>
                </c:pt>
                <c:pt idx="50">
                  <c:v>1.7079905491189553</c:v>
                </c:pt>
                <c:pt idx="51">
                  <c:v>1.6145251396647997</c:v>
                </c:pt>
                <c:pt idx="52">
                  <c:v>1.5353095649293769</c:v>
                </c:pt>
                <c:pt idx="53">
                  <c:v>1.4673515584189416</c:v>
                </c:pt>
                <c:pt idx="54">
                  <c:v>1.4084404999094342</c:v>
                </c:pt>
                <c:pt idx="55">
                  <c:v>1.35690789473684</c:v>
                </c:pt>
                <c:pt idx="56">
                  <c:v>1.3114708393594574</c:v>
                </c:pt>
                <c:pt idx="57">
                  <c:v>1.2711267605633787</c:v>
                </c:pt>
                <c:pt idx="58">
                  <c:v>1.2350808487203404</c:v>
                </c:pt>
                <c:pt idx="59">
                  <c:v>1.2026949211102145</c:v>
                </c:pt>
                <c:pt idx="60">
                  <c:v>1.1734506784011727</c:v>
                </c:pt>
                <c:pt idx="61">
                  <c:v>1.1469228398232809</c:v>
                </c:pt>
                <c:pt idx="62">
                  <c:v>1.1227591914225556</c:v>
                </c:pt>
                <c:pt idx="63">
                  <c:v>1.1006655574043258</c:v>
                </c:pt>
                <c:pt idx="64">
                  <c:v>1.080394333380958</c:v>
                </c:pt>
                <c:pt idx="65">
                  <c:v>1.0617356341095658</c:v>
                </c:pt>
                <c:pt idx="66">
                  <c:v>1.0445103857566764</c:v>
                </c:pt>
                <c:pt idx="67">
                  <c:v>1.0285648819980142</c:v>
                </c:pt>
                <c:pt idx="68">
                  <c:v>1.0137664544300213</c:v>
                </c:pt>
                <c:pt idx="69">
                  <c:v>1</c:v>
                </c:pt>
                <c:pt idx="70">
                  <c:v>0.96756638701644149</c:v>
                </c:pt>
                <c:pt idx="71">
                  <c:v>0.94029649207737387</c:v>
                </c:pt>
                <c:pt idx="72">
                  <c:v>0.9170912797089299</c:v>
                </c:pt>
                <c:pt idx="73">
                  <c:v>0.89713972557044763</c:v>
                </c:pt>
                <c:pt idx="74">
                  <c:v>0.87983058019429439</c:v>
                </c:pt>
                <c:pt idx="75">
                  <c:v>0.86469466359597535</c:v>
                </c:pt>
                <c:pt idx="76">
                  <c:v>0.85136604264766635</c:v>
                </c:pt>
                <c:pt idx="77">
                  <c:v>0.83955525874231718</c:v>
                </c:pt>
                <c:pt idx="78">
                  <c:v>0.82903045930975283</c:v>
                </c:pt>
                <c:pt idx="79">
                  <c:v>0.81960384055727298</c:v>
                </c:pt>
                <c:pt idx="80">
                  <c:v>0.81112173694104106</c:v>
                </c:pt>
                <c:pt idx="81">
                  <c:v>0.80345726326884537</c:v>
                </c:pt>
                <c:pt idx="82">
                  <c:v>0.7965047748976446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93-4BDE-A838-B91A72894F18}"/>
            </c:ext>
          </c:extLst>
        </c:ser>
        <c:ser>
          <c:idx val="1"/>
          <c:order val="1"/>
          <c:tx>
            <c:strRef>
              <c:f>RTC!$B$47</c:f>
              <c:strCache>
                <c:ptCount val="1"/>
                <c:pt idx="0">
                  <c:v>M(fn,Po,π/2)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RTC!$C$47:$CG$47</c:f>
              <c:numCache>
                <c:formatCode>General</c:formatCode>
                <c:ptCount val="83"/>
                <c:pt idx="0">
                  <c:v>2.1818182382492675E-8</c:v>
                </c:pt>
                <c:pt idx="1">
                  <c:v>1.2881887010930794E-3</c:v>
                </c:pt>
                <c:pt idx="2">
                  <c:v>3.2927886442313385E-3</c:v>
                </c:pt>
                <c:pt idx="3">
                  <c:v>6.2360266346062031E-3</c:v>
                </c:pt>
                <c:pt idx="4">
                  <c:v>1.0137396704165301E-2</c:v>
                </c:pt>
                <c:pt idx="5">
                  <c:v>1.5023007895528954E-2</c:v>
                </c:pt>
                <c:pt idx="6">
                  <c:v>2.0925987778792478E-2</c:v>
                </c:pt>
                <c:pt idx="7">
                  <c:v>2.7887001276361342E-2</c:v>
                </c:pt>
                <c:pt idx="8">
                  <c:v>3.5954897539339017E-2</c:v>
                </c:pt>
                <c:pt idx="9">
                  <c:v>4.5187500817546217E-2</c:v>
                </c:pt>
                <c:pt idx="10">
                  <c:v>5.5652564835327163E-2</c:v>
                </c:pt>
                <c:pt idx="11">
                  <c:v>6.7428914152122668E-2</c:v>
                </c:pt>
                <c:pt idx="12">
                  <c:v>8.0607800331455051E-2</c:v>
                </c:pt>
                <c:pt idx="13">
                  <c:v>9.5294505365001059E-2</c:v>
                </c:pt>
                <c:pt idx="14">
                  <c:v>0.11161022945863958</c:v>
                </c:pt>
                <c:pt idx="15">
                  <c:v>0.12969430450041747</c:v>
                </c:pt>
                <c:pt idx="16">
                  <c:v>0.14970677740192706</c:v>
                </c:pt>
                <c:pt idx="17">
                  <c:v>0.17183140745740369</c:v>
                </c:pt>
                <c:pt idx="18">
                  <c:v>0.19627911619524036</c:v>
                </c:pt>
                <c:pt idx="19">
                  <c:v>0.22329191235764032</c:v>
                </c:pt>
                <c:pt idx="20">
                  <c:v>0.25314728109657647</c:v>
                </c:pt>
                <c:pt idx="21">
                  <c:v>0.28616296286546417</c:v>
                </c:pt>
                <c:pt idx="22">
                  <c:v>0.32270193381356715</c:v>
                </c:pt>
                <c:pt idx="23">
                  <c:v>0.36317720380577329</c:v>
                </c:pt>
                <c:pt idx="24">
                  <c:v>0.40805572039200749</c:v>
                </c:pt>
                <c:pt idx="25">
                  <c:v>0.45786013065995684</c:v>
                </c:pt>
                <c:pt idx="26">
                  <c:v>0.51316629609248432</c:v>
                </c:pt>
                <c:pt idx="27">
                  <c:v>0.57459312657902117</c:v>
                </c:pt>
                <c:pt idx="28">
                  <c:v>0.64277932160959372</c:v>
                </c:pt>
                <c:pt idx="29">
                  <c:v>0.71833884691119299</c:v>
                </c:pt>
                <c:pt idx="30">
                  <c:v>0.80178354597124124</c:v>
                </c:pt>
                <c:pt idx="31">
                  <c:v>0.89339801137383779</c:v>
                </c:pt>
                <c:pt idx="32">
                  <c:v>0.99305115057053139</c:v>
                </c:pt>
                <c:pt idx="33">
                  <c:v>1.0999361156437204</c:v>
                </c:pt>
                <c:pt idx="34">
                  <c:v>1.2122544795938535</c:v>
                </c:pt>
                <c:pt idx="35">
                  <c:v>1.3269116345880969</c:v>
                </c:pt>
                <c:pt idx="36">
                  <c:v>1.4393666612797296</c:v>
                </c:pt>
                <c:pt idx="37">
                  <c:v>1.5438437181055409</c:v>
                </c:pt>
                <c:pt idx="38">
                  <c:v>1.634075089047597</c:v>
                </c:pt>
                <c:pt idx="39">
                  <c:v>1.6593385553953328</c:v>
                </c:pt>
                <c:pt idx="40">
                  <c:v>1.7224809596753172</c:v>
                </c:pt>
                <c:pt idx="41">
                  <c:v>1.7617858065342098</c:v>
                </c:pt>
                <c:pt idx="42">
                  <c:v>1.7775007606476596</c:v>
                </c:pt>
                <c:pt idx="43">
                  <c:v>1.7723770936820213</c:v>
                </c:pt>
                <c:pt idx="44">
                  <c:v>1.7506688032071991</c:v>
                </c:pt>
                <c:pt idx="45">
                  <c:v>1.7170352094878036</c:v>
                </c:pt>
                <c:pt idx="46">
                  <c:v>1.6757354437264311</c:v>
                </c:pt>
                <c:pt idx="47">
                  <c:v>1.6302254633798372</c:v>
                </c:pt>
                <c:pt idx="48">
                  <c:v>1.5830741957458498</c:v>
                </c:pt>
                <c:pt idx="49">
                  <c:v>1.5360596375513149</c:v>
                </c:pt>
                <c:pt idx="50">
                  <c:v>1.4903324554146884</c:v>
                </c:pt>
                <c:pt idx="51">
                  <c:v>1.446581713956461</c:v>
                </c:pt>
                <c:pt idx="52">
                  <c:v>1.4051745142564538</c:v>
                </c:pt>
                <c:pt idx="53">
                  <c:v>1.3662628198799427</c:v>
                </c:pt>
                <c:pt idx="54">
                  <c:v>1.329860503810347</c:v>
                </c:pt>
                <c:pt idx="55">
                  <c:v>1.2958967576600455</c:v>
                </c:pt>
                <c:pt idx="56">
                  <c:v>1.2642520414530216</c:v>
                </c:pt>
                <c:pt idx="57">
                  <c:v>1.2347816882910965</c:v>
                </c:pt>
                <c:pt idx="58">
                  <c:v>1.2073310266874606</c:v>
                </c:pt>
                <c:pt idx="59">
                  <c:v>1.1817447922027622</c:v>
                </c:pt>
                <c:pt idx="60">
                  <c:v>1.1578727557635651</c:v>
                </c:pt>
                <c:pt idx="61">
                  <c:v>1.1355728820271946</c:v>
                </c:pt>
                <c:pt idx="62">
                  <c:v>1.1147129003379874</c:v>
                </c:pt>
                <c:pt idx="63">
                  <c:v>1.0951708751382412</c:v>
                </c:pt>
                <c:pt idx="64">
                  <c:v>1.0768351626045636</c:v>
                </c:pt>
                <c:pt idx="65">
                  <c:v>1.0596040061373857</c:v>
                </c:pt>
                <c:pt idx="66">
                  <c:v>1.0433849339971508</c:v>
                </c:pt>
                <c:pt idx="67">
                  <c:v>1.0280940632015909</c:v>
                </c:pt>
                <c:pt idx="68">
                  <c:v>1.0136553747908899</c:v>
                </c:pt>
                <c:pt idx="69">
                  <c:v>1</c:v>
                </c:pt>
                <c:pt idx="70">
                  <c:v>0.96691322680906977</c:v>
                </c:pt>
                <c:pt idx="71">
                  <c:v>0.93798852959219836</c:v>
                </c:pt>
                <c:pt idx="72">
                  <c:v>0.91245116941174087</c:v>
                </c:pt>
                <c:pt idx="73">
                  <c:v>0.88969658878492341</c:v>
                </c:pt>
                <c:pt idx="74">
                  <c:v>0.86924871266921189</c:v>
                </c:pt>
                <c:pt idx="75">
                  <c:v>0.85072914348639261</c:v>
                </c:pt>
                <c:pt idx="76">
                  <c:v>0.83383437970660179</c:v>
                </c:pt>
                <c:pt idx="77">
                  <c:v>0.81831887609351994</c:v>
                </c:pt>
                <c:pt idx="78">
                  <c:v>0.80398235120407913</c:v>
                </c:pt>
                <c:pt idx="79">
                  <c:v>0.7906601946781564</c:v>
                </c:pt>
                <c:pt idx="80">
                  <c:v>0.77821615163793834</c:v>
                </c:pt>
                <c:pt idx="81">
                  <c:v>0.76653669311334505</c:v>
                </c:pt>
                <c:pt idx="82">
                  <c:v>0.75552664554189064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93-4BDE-A838-B91A72894F18}"/>
            </c:ext>
          </c:extLst>
        </c:ser>
        <c:ser>
          <c:idx val="2"/>
          <c:order val="2"/>
          <c:tx>
            <c:strRef>
              <c:f>RTC!$B$49</c:f>
              <c:strCache>
                <c:ptCount val="1"/>
                <c:pt idx="0">
                  <c:v>M(fn,Po,π/3)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RTC!$C$49:$CG$49</c:f>
              <c:numCache>
                <c:formatCode>General</c:formatCode>
                <c:ptCount val="83"/>
                <c:pt idx="0">
                  <c:v>2.1818182439325691E-8</c:v>
                </c:pt>
                <c:pt idx="1">
                  <c:v>1.288386932838223E-3</c:v>
                </c:pt>
                <c:pt idx="2">
                  <c:v>3.294085024357045E-3</c:v>
                </c:pt>
                <c:pt idx="3">
                  <c:v>6.2406824378399874E-3</c:v>
                </c:pt>
                <c:pt idx="4">
                  <c:v>1.0149721903320651E-2</c:v>
                </c:pt>
                <c:pt idx="5">
                  <c:v>1.5050135523851146E-2</c:v>
                </c:pt>
                <c:pt idx="6">
                  <c:v>2.0978762930202923E-2</c:v>
                </c:pt>
                <c:pt idx="7">
                  <c:v>2.7981024024538607E-2</c:v>
                </c:pt>
                <c:pt idx="8">
                  <c:v>3.6111767932241016E-2</c:v>
                </c:pt>
                <c:pt idx="9">
                  <c:v>4.5436326096875805E-2</c:v>
                </c:pt>
                <c:pt idx="10">
                  <c:v>5.6031805097773321E-2</c:v>
                </c:pt>
                <c:pt idx="11">
                  <c:v>6.7988664131966317E-2</c:v>
                </c:pt>
                <c:pt idx="12">
                  <c:v>8.1412633661487821E-2</c:v>
                </c:pt>
                <c:pt idx="13">
                  <c:v>9.6427046070027292E-2</c:v>
                </c:pt>
                <c:pt idx="14">
                  <c:v>0.11317566700622338</c:v>
                </c:pt>
                <c:pt idx="15">
                  <c:v>0.13182613823889974</c:v>
                </c:pt>
                <c:pt idx="16">
                  <c:v>0.15257417021874703</c:v>
                </c:pt>
                <c:pt idx="17">
                  <c:v>0.17564865601082363</c:v>
                </c:pt>
                <c:pt idx="18">
                  <c:v>0.20131791842768321</c:v>
                </c:pt>
                <c:pt idx="19">
                  <c:v>0.22989734881129481</c:v>
                </c:pt>
                <c:pt idx="20">
                  <c:v>0.26175874677386279</c:v>
                </c:pt>
                <c:pt idx="21">
                  <c:v>0.29734171889440625</c:v>
                </c:pt>
                <c:pt idx="22">
                  <c:v>0.33716752587048926</c:v>
                </c:pt>
                <c:pt idx="23">
                  <c:v>0.38185574987982207</c:v>
                </c:pt>
                <c:pt idx="24">
                  <c:v>0.4321440215917321</c:v>
                </c:pt>
                <c:pt idx="25">
                  <c:v>0.48891067008148426</c:v>
                </c:pt>
                <c:pt idx="26">
                  <c:v>0.55319928820362751</c:v>
                </c:pt>
                <c:pt idx="27">
                  <c:v>0.62624236450510695</c:v>
                </c:pt>
                <c:pt idx="28">
                  <c:v>0.70947743818119835</c:v>
                </c:pt>
                <c:pt idx="29">
                  <c:v>0.80454211618310545</c:v>
                </c:pt>
                <c:pt idx="30">
                  <c:v>0.91322115987396457</c:v>
                </c:pt>
                <c:pt idx="31">
                  <c:v>1.0372960664446651</c:v>
                </c:pt>
                <c:pt idx="32">
                  <c:v>1.1782121374140366</c:v>
                </c:pt>
                <c:pt idx="33">
                  <c:v>1.3364349780829285</c:v>
                </c:pt>
                <c:pt idx="34">
                  <c:v>1.5103522672564342</c:v>
                </c:pt>
                <c:pt idx="35">
                  <c:v>1.6946933621753784</c:v>
                </c:pt>
                <c:pt idx="36">
                  <c:v>1.8788872930725196</c:v>
                </c:pt>
                <c:pt idx="37">
                  <c:v>2.0466553898913227</c:v>
                </c:pt>
                <c:pt idx="38">
                  <c:v>2.1787661726775815</c:v>
                </c:pt>
                <c:pt idx="39">
                  <c:v>2.2111254628172508</c:v>
                </c:pt>
                <c:pt idx="40">
                  <c:v>2.2733341619235317</c:v>
                </c:pt>
                <c:pt idx="41">
                  <c:v>2.2794758156576145</c:v>
                </c:pt>
                <c:pt idx="42">
                  <c:v>2.2390917769355321</c:v>
                </c:pt>
                <c:pt idx="43">
                  <c:v>2.1671764851446023</c:v>
                </c:pt>
                <c:pt idx="44">
                  <c:v>2.0782664827564985</c:v>
                </c:pt>
                <c:pt idx="45">
                  <c:v>1.9833491584035789</c:v>
                </c:pt>
                <c:pt idx="46">
                  <c:v>1.8894370266624958</c:v>
                </c:pt>
                <c:pt idx="47">
                  <c:v>1.8004036122547353</c:v>
                </c:pt>
                <c:pt idx="48">
                  <c:v>1.7180362951962087</c:v>
                </c:pt>
                <c:pt idx="49">
                  <c:v>1.6428800535467103</c:v>
                </c:pt>
                <c:pt idx="50">
                  <c:v>1.5748033751254678</c:v>
                </c:pt>
                <c:pt idx="51">
                  <c:v>1.5133428875947135</c:v>
                </c:pt>
                <c:pt idx="52">
                  <c:v>1.4579001918992971</c:v>
                </c:pt>
                <c:pt idx="53">
                  <c:v>1.4078482374057375</c:v>
                </c:pt>
                <c:pt idx="54">
                  <c:v>1.3625851213657625</c:v>
                </c:pt>
                <c:pt idx="55">
                  <c:v>1.3215584444011077</c:v>
                </c:pt>
                <c:pt idx="56">
                  <c:v>1.2842737446429706</c:v>
                </c:pt>
                <c:pt idx="57">
                  <c:v>1.2502946995621886</c:v>
                </c:pt>
                <c:pt idx="58">
                  <c:v>1.2192393728204127</c:v>
                </c:pt>
                <c:pt idx="59">
                  <c:v>1.1907748312749207</c:v>
                </c:pt>
                <c:pt idx="60">
                  <c:v>1.1646113567059417</c:v>
                </c:pt>
                <c:pt idx="61">
                  <c:v>1.140496864502047</c:v>
                </c:pt>
                <c:pt idx="62">
                  <c:v>1.1182118061628268</c:v>
                </c:pt>
                <c:pt idx="63">
                  <c:v>1.0975646529978911</c:v>
                </c:pt>
                <c:pt idx="64">
                  <c:v>1.0783879659759421</c:v>
                </c:pt>
                <c:pt idx="65">
                  <c:v>1.0605350123336386</c:v>
                </c:pt>
                <c:pt idx="66">
                  <c:v>1.0438768713069297</c:v>
                </c:pt>
                <c:pt idx="67">
                  <c:v>1.0282999668555644</c:v>
                </c:pt>
                <c:pt idx="68">
                  <c:v>1.0137039676399553</c:v>
                </c:pt>
                <c:pt idx="69">
                  <c:v>1</c:v>
                </c:pt>
                <c:pt idx="70">
                  <c:v>0.96719882159524373</c:v>
                </c:pt>
                <c:pt idx="71">
                  <c:v>0.93899617000083535</c:v>
                </c:pt>
                <c:pt idx="72">
                  <c:v>0.91447253396452466</c:v>
                </c:pt>
                <c:pt idx="73">
                  <c:v>0.8929300910335991</c:v>
                </c:pt>
                <c:pt idx="74">
                  <c:v>0.87383107550355499</c:v>
                </c:pt>
                <c:pt idx="75">
                  <c:v>0.85675526471749119</c:v>
                </c:pt>
                <c:pt idx="76">
                  <c:v>0.84137012873404282</c:v>
                </c:pt>
                <c:pt idx="77">
                  <c:v>0.82740951576527788</c:v>
                </c:pt>
                <c:pt idx="78">
                  <c:v>0.81465819096376568</c:v>
                </c:pt>
                <c:pt idx="79">
                  <c:v>0.80294045572863604</c:v>
                </c:pt>
                <c:pt idx="80">
                  <c:v>0.79211165619735802</c:v>
                </c:pt>
                <c:pt idx="81">
                  <c:v>0.78205176741559146</c:v>
                </c:pt>
                <c:pt idx="82">
                  <c:v>0.77266048914876062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93-4BDE-A838-B91A72894F18}"/>
            </c:ext>
          </c:extLst>
        </c:ser>
        <c:ser>
          <c:idx val="3"/>
          <c:order val="3"/>
          <c:tx>
            <c:strRef>
              <c:f>RTC!$B$50</c:f>
              <c:strCache>
                <c:ptCount val="1"/>
                <c:pt idx="0">
                  <c:v>M(fn,Po,π/4)</c:v>
                </c:pt>
              </c:strCache>
            </c:strRef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RTC!$C$50:$CG$50</c:f>
              <c:numCache>
                <c:formatCode>General</c:formatCode>
                <c:ptCount val="83"/>
                <c:pt idx="0">
                  <c:v>2.1818182479920704E-8</c:v>
                </c:pt>
                <c:pt idx="1">
                  <c:v>1.2885285829841006E-3</c:v>
                </c:pt>
                <c:pt idx="2">
                  <c:v>3.2950119481721194E-3</c:v>
                </c:pt>
                <c:pt idx="3">
                  <c:v>6.2440144033623097E-3</c:v>
                </c:pt>
                <c:pt idx="4">
                  <c:v>1.0158553191859945E-2</c:v>
                </c:pt>
                <c:pt idx="5">
                  <c:v>1.5069602622699301E-2</c:v>
                </c:pt>
                <c:pt idx="6">
                  <c:v>2.1016704876682134E-2</c:v>
                </c:pt>
                <c:pt idx="7">
                  <c:v>2.8048768388947723E-2</c:v>
                </c:pt>
                <c:pt idx="8">
                  <c:v>3.6225083729408088E-2</c:v>
                </c:pt>
                <c:pt idx="9">
                  <c:v>4.5616596356075428E-2</c:v>
                </c:pt>
                <c:pt idx="10">
                  <c:v>5.6307487501055131E-2</c:v>
                </c:pt>
                <c:pt idx="11">
                  <c:v>6.83971296301875E-2</c:v>
                </c:pt>
                <c:pt idx="12">
                  <c:v>8.2002502564154742E-2</c:v>
                </c:pt>
                <c:pt idx="13">
                  <c:v>9.7261182059277002E-2</c:v>
                </c:pt>
                <c:pt idx="14">
                  <c:v>0.11433504662530793</c:v>
                </c:pt>
                <c:pt idx="15">
                  <c:v>0.13341489367348136</c:v>
                </c:pt>
                <c:pt idx="16">
                  <c:v>0.15472621704054584</c:v>
                </c:pt>
                <c:pt idx="17">
                  <c:v>0.17853648058534624</c:v>
                </c:pt>
                <c:pt idx="18">
                  <c:v>0.20516433548851423</c:v>
                </c:pt>
                <c:pt idx="19">
                  <c:v>0.23499138428974772</c:v>
                </c:pt>
                <c:pt idx="20">
                  <c:v>0.26847730985236462</c:v>
                </c:pt>
                <c:pt idx="21">
                  <c:v>0.30617948669159406</c:v>
                </c:pt>
                <c:pt idx="22">
                  <c:v>0.34877860915110864</c:v>
                </c:pt>
                <c:pt idx="23">
                  <c:v>0.39711245078414564</c:v>
                </c:pt>
                <c:pt idx="24">
                  <c:v>0.45222066752110879</c:v>
                </c:pt>
                <c:pt idx="25">
                  <c:v>0.51540462938092035</c:v>
                </c:pt>
                <c:pt idx="26">
                  <c:v>0.58830762840615813</c:v>
                </c:pt>
                <c:pt idx="27">
                  <c:v>0.67302232488870162</c:v>
                </c:pt>
                <c:pt idx="28">
                  <c:v>0.77223333712321429</c:v>
                </c:pt>
                <c:pt idx="29">
                  <c:v>0.88940146434470002</c:v>
                </c:pt>
                <c:pt idx="30">
                  <c:v>1.0289864824494521</c:v>
                </c:pt>
                <c:pt idx="31">
                  <c:v>1.1966724314094623</c:v>
                </c:pt>
                <c:pt idx="32">
                  <c:v>1.3994632574174968</c:v>
                </c:pt>
                <c:pt idx="33">
                  <c:v>1.6452628496952006</c:v>
                </c:pt>
                <c:pt idx="34">
                  <c:v>1.9409529095430136</c:v>
                </c:pt>
                <c:pt idx="35">
                  <c:v>2.286856711332343</c:v>
                </c:pt>
                <c:pt idx="36">
                  <c:v>2.664689739148864</c:v>
                </c:pt>
                <c:pt idx="37">
                  <c:v>3.0210297534050943</c:v>
                </c:pt>
                <c:pt idx="38">
                  <c:v>3.2681466330811526</c:v>
                </c:pt>
                <c:pt idx="39">
                  <c:v>3.3110252196145522</c:v>
                </c:pt>
                <c:pt idx="40">
                  <c:v>3.3156909367168934</c:v>
                </c:pt>
                <c:pt idx="41">
                  <c:v>3.165485129035889</c:v>
                </c:pt>
                <c:pt idx="42">
                  <c:v>2.9379147301897302</c:v>
                </c:pt>
                <c:pt idx="43">
                  <c:v>2.6956469422014004</c:v>
                </c:pt>
                <c:pt idx="44">
                  <c:v>2.4705166769883413</c:v>
                </c:pt>
                <c:pt idx="45">
                  <c:v>2.2731978578150067</c:v>
                </c:pt>
                <c:pt idx="46">
                  <c:v>2.1043137440172504</c:v>
                </c:pt>
                <c:pt idx="47">
                  <c:v>1.9607997258777867</c:v>
                </c:pt>
                <c:pt idx="48">
                  <c:v>1.8387414801727384</c:v>
                </c:pt>
                <c:pt idx="49">
                  <c:v>1.7344475901781762</c:v>
                </c:pt>
                <c:pt idx="50">
                  <c:v>1.6447671953798582</c:v>
                </c:pt>
                <c:pt idx="51">
                  <c:v>1.5671176092543677</c:v>
                </c:pt>
                <c:pt idx="52">
                  <c:v>1.4994159312519777</c:v>
                </c:pt>
                <c:pt idx="53">
                  <c:v>1.4399901776491046</c:v>
                </c:pt>
                <c:pt idx="54">
                  <c:v>1.3874966034904137</c:v>
                </c:pt>
                <c:pt idx="55">
                  <c:v>1.3408506390314692</c:v>
                </c:pt>
                <c:pt idx="56">
                  <c:v>1.2991717638123261</c:v>
                </c:pt>
                <c:pt idx="57">
                  <c:v>1.2617403838170929</c:v>
                </c:pt>
                <c:pt idx="58">
                  <c:v>1.2279643637936826</c:v>
                </c:pt>
                <c:pt idx="59">
                  <c:v>1.1973530893088902</c:v>
                </c:pt>
                <c:pt idx="60">
                  <c:v>1.1694973196907215</c:v>
                </c:pt>
                <c:pt idx="61">
                  <c:v>1.1440534718277999</c:v>
                </c:pt>
                <c:pt idx="62">
                  <c:v>1.1207312935183062</c:v>
                </c:pt>
                <c:pt idx="63">
                  <c:v>1.0992841366401696</c:v>
                </c:pt>
                <c:pt idx="64">
                  <c:v>1.0795012330280616</c:v>
                </c:pt>
                <c:pt idx="65">
                  <c:v>1.0612015212514392</c:v>
                </c:pt>
                <c:pt idx="66">
                  <c:v>1.0442286814174895</c:v>
                </c:pt>
                <c:pt idx="67">
                  <c:v>1.028447116660097</c:v>
                </c:pt>
                <c:pt idx="68">
                  <c:v>1.0137386810967635</c:v>
                </c:pt>
                <c:pt idx="69">
                  <c:v>1</c:v>
                </c:pt>
                <c:pt idx="70">
                  <c:v>0.96740297287939647</c:v>
                </c:pt>
                <c:pt idx="71">
                  <c:v>0.9397179046098656</c:v>
                </c:pt>
                <c:pt idx="72">
                  <c:v>0.91592461846307416</c:v>
                </c:pt>
                <c:pt idx="73">
                  <c:v>0.89526144065932423</c:v>
                </c:pt>
                <c:pt idx="74">
                  <c:v>0.87714892036287673</c:v>
                </c:pt>
                <c:pt idx="75">
                  <c:v>0.86113889543855549</c:v>
                </c:pt>
                <c:pt idx="76">
                  <c:v>0.84687964305359276</c:v>
                </c:pt>
                <c:pt idx="77">
                  <c:v>0.83409151190731656</c:v>
                </c:pt>
                <c:pt idx="78">
                  <c:v>0.82254954889244947</c:v>
                </c:pt>
                <c:pt idx="79">
                  <c:v>0.81207089395729926</c:v>
                </c:pt>
                <c:pt idx="80">
                  <c:v>0.80250548884949624</c:v>
                </c:pt>
                <c:pt idx="81">
                  <c:v>0.79372912964468822</c:v>
                </c:pt>
                <c:pt idx="82">
                  <c:v>0.78563820355372038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93-4BDE-A838-B91A72894F18}"/>
            </c:ext>
          </c:extLst>
        </c:ser>
        <c:ser>
          <c:idx val="4"/>
          <c:order val="4"/>
          <c:tx>
            <c:strRef>
              <c:f>RTC!$B$53</c:f>
              <c:strCache>
                <c:ptCount val="1"/>
                <c:pt idx="0">
                  <c:v>Mreq(Vin_min, Vout,π/2 )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RTC!$C$53:$CG$53</c:f>
              <c:numCache>
                <c:formatCode>General</c:formatCode>
                <c:ptCount val="83"/>
                <c:pt idx="0">
                  <c:v>1.5209591835918568</c:v>
                </c:pt>
                <c:pt idx="1">
                  <c:v>1.5209591835918568</c:v>
                </c:pt>
                <c:pt idx="2">
                  <c:v>1.5209591835918568</c:v>
                </c:pt>
                <c:pt idx="3">
                  <c:v>1.5209591835918568</c:v>
                </c:pt>
                <c:pt idx="4">
                  <c:v>1.5209591835918568</c:v>
                </c:pt>
                <c:pt idx="5">
                  <c:v>1.5209591835918568</c:v>
                </c:pt>
                <c:pt idx="6">
                  <c:v>1.5209591835918568</c:v>
                </c:pt>
                <c:pt idx="7">
                  <c:v>1.5209591835918568</c:v>
                </c:pt>
                <c:pt idx="8">
                  <c:v>1.5209591835918568</c:v>
                </c:pt>
                <c:pt idx="9">
                  <c:v>1.5209591835918568</c:v>
                </c:pt>
                <c:pt idx="10">
                  <c:v>1.5209591835918568</c:v>
                </c:pt>
                <c:pt idx="11">
                  <c:v>1.5209591835918568</c:v>
                </c:pt>
                <c:pt idx="12">
                  <c:v>1.5209591835918568</c:v>
                </c:pt>
                <c:pt idx="13">
                  <c:v>1.5209591835918568</c:v>
                </c:pt>
                <c:pt idx="14">
                  <c:v>1.5209591835918568</c:v>
                </c:pt>
                <c:pt idx="15">
                  <c:v>1.5209591835918568</c:v>
                </c:pt>
                <c:pt idx="16">
                  <c:v>1.5209591835918568</c:v>
                </c:pt>
                <c:pt idx="17">
                  <c:v>1.5209591835918568</c:v>
                </c:pt>
                <c:pt idx="18">
                  <c:v>1.5209591835918568</c:v>
                </c:pt>
                <c:pt idx="19">
                  <c:v>1.5209591835918568</c:v>
                </c:pt>
                <c:pt idx="20">
                  <c:v>1.5209591835918568</c:v>
                </c:pt>
                <c:pt idx="21">
                  <c:v>1.5209591835918568</c:v>
                </c:pt>
                <c:pt idx="22">
                  <c:v>1.5209591835918568</c:v>
                </c:pt>
                <c:pt idx="23">
                  <c:v>1.5209591835918568</c:v>
                </c:pt>
                <c:pt idx="24">
                  <c:v>1.5209591835918568</c:v>
                </c:pt>
                <c:pt idx="25">
                  <c:v>1.5209591835918568</c:v>
                </c:pt>
                <c:pt idx="26">
                  <c:v>1.5209591835918568</c:v>
                </c:pt>
                <c:pt idx="27">
                  <c:v>1.5209591835918568</c:v>
                </c:pt>
                <c:pt idx="28">
                  <c:v>1.5209591835918568</c:v>
                </c:pt>
                <c:pt idx="29">
                  <c:v>1.5209591835918568</c:v>
                </c:pt>
                <c:pt idx="30">
                  <c:v>1.5209591835918568</c:v>
                </c:pt>
                <c:pt idx="31">
                  <c:v>1.5209591835918568</c:v>
                </c:pt>
                <c:pt idx="32">
                  <c:v>1.5209591835918568</c:v>
                </c:pt>
                <c:pt idx="33">
                  <c:v>1.5209591835918568</c:v>
                </c:pt>
                <c:pt idx="34">
                  <c:v>1.5209591835918568</c:v>
                </c:pt>
                <c:pt idx="35">
                  <c:v>1.5209591835918568</c:v>
                </c:pt>
                <c:pt idx="36">
                  <c:v>1.5209591835918568</c:v>
                </c:pt>
                <c:pt idx="37">
                  <c:v>1.5209591835918568</c:v>
                </c:pt>
                <c:pt idx="38">
                  <c:v>1.5209591835918568</c:v>
                </c:pt>
                <c:pt idx="39">
                  <c:v>1.5209591835918568</c:v>
                </c:pt>
                <c:pt idx="40">
                  <c:v>1.5209591835918568</c:v>
                </c:pt>
                <c:pt idx="41">
                  <c:v>1.5209591835918568</c:v>
                </c:pt>
                <c:pt idx="42">
                  <c:v>1.5209591835918568</c:v>
                </c:pt>
                <c:pt idx="43">
                  <c:v>1.5209591835918568</c:v>
                </c:pt>
                <c:pt idx="44">
                  <c:v>1.5209591835918568</c:v>
                </c:pt>
                <c:pt idx="45">
                  <c:v>1.5209591835918568</c:v>
                </c:pt>
                <c:pt idx="46">
                  <c:v>1.5209591835918568</c:v>
                </c:pt>
                <c:pt idx="47">
                  <c:v>1.5209591835918568</c:v>
                </c:pt>
                <c:pt idx="48">
                  <c:v>1.5209591835918568</c:v>
                </c:pt>
                <c:pt idx="49">
                  <c:v>1.5209591835918568</c:v>
                </c:pt>
                <c:pt idx="50">
                  <c:v>1.5209591835918568</c:v>
                </c:pt>
                <c:pt idx="51">
                  <c:v>1.5209591835918568</c:v>
                </c:pt>
                <c:pt idx="52">
                  <c:v>1.5209591835918568</c:v>
                </c:pt>
                <c:pt idx="53">
                  <c:v>1.5209591835918568</c:v>
                </c:pt>
                <c:pt idx="54">
                  <c:v>1.5209591835918568</c:v>
                </c:pt>
                <c:pt idx="55">
                  <c:v>1.5209591835918568</c:v>
                </c:pt>
                <c:pt idx="56">
                  <c:v>1.5209591835918568</c:v>
                </c:pt>
                <c:pt idx="57">
                  <c:v>1.5209591835918568</c:v>
                </c:pt>
                <c:pt idx="58">
                  <c:v>1.5209591835918568</c:v>
                </c:pt>
                <c:pt idx="59">
                  <c:v>1.5209591835918568</c:v>
                </c:pt>
                <c:pt idx="60">
                  <c:v>1.5209591835918568</c:v>
                </c:pt>
                <c:pt idx="61">
                  <c:v>1.5209591835918568</c:v>
                </c:pt>
                <c:pt idx="62">
                  <c:v>1.5209591835918568</c:v>
                </c:pt>
                <c:pt idx="63">
                  <c:v>1.5209591835918568</c:v>
                </c:pt>
                <c:pt idx="64">
                  <c:v>1.5209591835918568</c:v>
                </c:pt>
                <c:pt idx="65">
                  <c:v>1.5209591835918568</c:v>
                </c:pt>
                <c:pt idx="66">
                  <c:v>1.5209591835918568</c:v>
                </c:pt>
                <c:pt idx="67">
                  <c:v>1.5209591835918568</c:v>
                </c:pt>
                <c:pt idx="68">
                  <c:v>1.5209591835918568</c:v>
                </c:pt>
                <c:pt idx="69">
                  <c:v>1.5209591835918568</c:v>
                </c:pt>
                <c:pt idx="70">
                  <c:v>1.5209591835918568</c:v>
                </c:pt>
                <c:pt idx="71">
                  <c:v>1.5209591835918568</c:v>
                </c:pt>
                <c:pt idx="72">
                  <c:v>1.5209591835918568</c:v>
                </c:pt>
                <c:pt idx="73">
                  <c:v>1.5209591835918568</c:v>
                </c:pt>
                <c:pt idx="74">
                  <c:v>1.5209591835918568</c:v>
                </c:pt>
                <c:pt idx="75">
                  <c:v>1.5209591835918568</c:v>
                </c:pt>
                <c:pt idx="76">
                  <c:v>1.5209591835918568</c:v>
                </c:pt>
                <c:pt idx="77">
                  <c:v>1.5209591835918568</c:v>
                </c:pt>
                <c:pt idx="78">
                  <c:v>1.5209591835918568</c:v>
                </c:pt>
                <c:pt idx="79">
                  <c:v>1.5209591835918568</c:v>
                </c:pt>
                <c:pt idx="80">
                  <c:v>1.5209591835918568</c:v>
                </c:pt>
                <c:pt idx="81">
                  <c:v>1.5209591835918568</c:v>
                </c:pt>
                <c:pt idx="82">
                  <c:v>1.5209591835918568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A93-4BDE-A838-B91A72894F18}"/>
            </c:ext>
          </c:extLst>
        </c:ser>
        <c:ser>
          <c:idx val="5"/>
          <c:order val="5"/>
          <c:tx>
            <c:strRef>
              <c:f>RTC!$B$55</c:f>
              <c:strCache>
                <c:ptCount val="1"/>
                <c:pt idx="0">
                  <c:v>Mreq(Vin_min, Vout,π/3 )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RTC!$C$55:$CG$55</c:f>
              <c:numCache>
                <c:formatCode>General</c:formatCode>
                <c:ptCount val="83"/>
                <c:pt idx="0">
                  <c:v>1.7562523881463841</c:v>
                </c:pt>
                <c:pt idx="1">
                  <c:v>1.7562523881463841</c:v>
                </c:pt>
                <c:pt idx="2">
                  <c:v>1.7562523881463841</c:v>
                </c:pt>
                <c:pt idx="3">
                  <c:v>1.7562523881463841</c:v>
                </c:pt>
                <c:pt idx="4">
                  <c:v>1.7562523881463841</c:v>
                </c:pt>
                <c:pt idx="5">
                  <c:v>1.7562523881463841</c:v>
                </c:pt>
                <c:pt idx="6">
                  <c:v>1.7562523881463841</c:v>
                </c:pt>
                <c:pt idx="7">
                  <c:v>1.7562523881463841</c:v>
                </c:pt>
                <c:pt idx="8">
                  <c:v>1.7562523881463841</c:v>
                </c:pt>
                <c:pt idx="9">
                  <c:v>1.7562523881463841</c:v>
                </c:pt>
                <c:pt idx="10">
                  <c:v>1.7562523881463841</c:v>
                </c:pt>
                <c:pt idx="11">
                  <c:v>1.7562523881463841</c:v>
                </c:pt>
                <c:pt idx="12">
                  <c:v>1.7562523881463841</c:v>
                </c:pt>
                <c:pt idx="13">
                  <c:v>1.7562523881463841</c:v>
                </c:pt>
                <c:pt idx="14">
                  <c:v>1.7562523881463841</c:v>
                </c:pt>
                <c:pt idx="15">
                  <c:v>1.7562523881463841</c:v>
                </c:pt>
                <c:pt idx="16">
                  <c:v>1.7562523881463841</c:v>
                </c:pt>
                <c:pt idx="17">
                  <c:v>1.7562523881463841</c:v>
                </c:pt>
                <c:pt idx="18">
                  <c:v>1.7562523881463841</c:v>
                </c:pt>
                <c:pt idx="19">
                  <c:v>1.7562523881463841</c:v>
                </c:pt>
                <c:pt idx="20">
                  <c:v>1.7562523881463841</c:v>
                </c:pt>
                <c:pt idx="21">
                  <c:v>1.7562523881463841</c:v>
                </c:pt>
                <c:pt idx="22">
                  <c:v>1.7562523881463841</c:v>
                </c:pt>
                <c:pt idx="23">
                  <c:v>1.7562523881463841</c:v>
                </c:pt>
                <c:pt idx="24">
                  <c:v>1.7562523881463841</c:v>
                </c:pt>
                <c:pt idx="25">
                  <c:v>1.7562523881463841</c:v>
                </c:pt>
                <c:pt idx="26">
                  <c:v>1.7562523881463841</c:v>
                </c:pt>
                <c:pt idx="27">
                  <c:v>1.7562523881463841</c:v>
                </c:pt>
                <c:pt idx="28">
                  <c:v>1.7562523881463841</c:v>
                </c:pt>
                <c:pt idx="29">
                  <c:v>1.7562523881463841</c:v>
                </c:pt>
                <c:pt idx="30">
                  <c:v>1.7562523881463841</c:v>
                </c:pt>
                <c:pt idx="31">
                  <c:v>1.7562523881463841</c:v>
                </c:pt>
                <c:pt idx="32">
                  <c:v>1.7562523881463841</c:v>
                </c:pt>
                <c:pt idx="33">
                  <c:v>1.7562523881463841</c:v>
                </c:pt>
                <c:pt idx="34">
                  <c:v>1.7562523881463841</c:v>
                </c:pt>
                <c:pt idx="35">
                  <c:v>1.7562523881463841</c:v>
                </c:pt>
                <c:pt idx="36">
                  <c:v>1.7562523881463841</c:v>
                </c:pt>
                <c:pt idx="37">
                  <c:v>1.7562523881463841</c:v>
                </c:pt>
                <c:pt idx="38">
                  <c:v>1.7562523881463841</c:v>
                </c:pt>
                <c:pt idx="39">
                  <c:v>1.7562523881463841</c:v>
                </c:pt>
                <c:pt idx="40">
                  <c:v>1.7562523881463841</c:v>
                </c:pt>
                <c:pt idx="41">
                  <c:v>1.7562523881463841</c:v>
                </c:pt>
                <c:pt idx="42">
                  <c:v>1.7562523881463841</c:v>
                </c:pt>
                <c:pt idx="43">
                  <c:v>1.7562523881463841</c:v>
                </c:pt>
                <c:pt idx="44">
                  <c:v>1.7562523881463841</c:v>
                </c:pt>
                <c:pt idx="45">
                  <c:v>1.7562523881463841</c:v>
                </c:pt>
                <c:pt idx="46">
                  <c:v>1.7562523881463841</c:v>
                </c:pt>
                <c:pt idx="47">
                  <c:v>1.7562523881463841</c:v>
                </c:pt>
                <c:pt idx="48">
                  <c:v>1.7562523881463841</c:v>
                </c:pt>
                <c:pt idx="49">
                  <c:v>1.7562523881463841</c:v>
                </c:pt>
                <c:pt idx="50">
                  <c:v>1.7562523881463841</c:v>
                </c:pt>
                <c:pt idx="51">
                  <c:v>1.7562523881463841</c:v>
                </c:pt>
                <c:pt idx="52">
                  <c:v>1.7562523881463841</c:v>
                </c:pt>
                <c:pt idx="53">
                  <c:v>1.7562523881463841</c:v>
                </c:pt>
                <c:pt idx="54">
                  <c:v>1.7562523881463841</c:v>
                </c:pt>
                <c:pt idx="55">
                  <c:v>1.7562523881463841</c:v>
                </c:pt>
                <c:pt idx="56">
                  <c:v>1.7562523881463841</c:v>
                </c:pt>
                <c:pt idx="57">
                  <c:v>1.7562523881463841</c:v>
                </c:pt>
                <c:pt idx="58">
                  <c:v>1.7562523881463841</c:v>
                </c:pt>
                <c:pt idx="59">
                  <c:v>1.7562523881463841</c:v>
                </c:pt>
                <c:pt idx="60">
                  <c:v>1.7562523881463841</c:v>
                </c:pt>
                <c:pt idx="61">
                  <c:v>1.7562523881463841</c:v>
                </c:pt>
                <c:pt idx="62">
                  <c:v>1.7562523881463841</c:v>
                </c:pt>
                <c:pt idx="63">
                  <c:v>1.7562523881463841</c:v>
                </c:pt>
                <c:pt idx="64">
                  <c:v>1.7562523881463841</c:v>
                </c:pt>
                <c:pt idx="65">
                  <c:v>1.7562523881463841</c:v>
                </c:pt>
                <c:pt idx="66">
                  <c:v>1.7562523881463841</c:v>
                </c:pt>
                <c:pt idx="67">
                  <c:v>1.7562523881463841</c:v>
                </c:pt>
                <c:pt idx="68">
                  <c:v>1.7562523881463841</c:v>
                </c:pt>
                <c:pt idx="69">
                  <c:v>1.7562523881463841</c:v>
                </c:pt>
                <c:pt idx="70">
                  <c:v>1.7562523881463841</c:v>
                </c:pt>
                <c:pt idx="71">
                  <c:v>1.7562523881463841</c:v>
                </c:pt>
                <c:pt idx="72">
                  <c:v>1.7562523881463841</c:v>
                </c:pt>
                <c:pt idx="73">
                  <c:v>1.7562523881463841</c:v>
                </c:pt>
                <c:pt idx="74">
                  <c:v>1.7562523881463841</c:v>
                </c:pt>
                <c:pt idx="75">
                  <c:v>1.7562523881463841</c:v>
                </c:pt>
                <c:pt idx="76">
                  <c:v>1.7562523881463841</c:v>
                </c:pt>
                <c:pt idx="77">
                  <c:v>1.7562523881463841</c:v>
                </c:pt>
                <c:pt idx="78">
                  <c:v>1.7562523881463841</c:v>
                </c:pt>
                <c:pt idx="79">
                  <c:v>1.7562523881463841</c:v>
                </c:pt>
                <c:pt idx="80">
                  <c:v>1.7562523881463841</c:v>
                </c:pt>
                <c:pt idx="81">
                  <c:v>1.7562523881463841</c:v>
                </c:pt>
                <c:pt idx="82">
                  <c:v>1.7562523881463841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A93-4BDE-A838-B91A72894F18}"/>
            </c:ext>
          </c:extLst>
        </c:ser>
        <c:ser>
          <c:idx val="6"/>
          <c:order val="6"/>
          <c:tx>
            <c:strRef>
              <c:f>RTC!$B$56</c:f>
              <c:strCache>
                <c:ptCount val="1"/>
                <c:pt idx="0">
                  <c:v>Mreq(Vin_min, Vout,π/4 )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RTC!$C$56:$CG$56</c:f>
              <c:numCache>
                <c:formatCode>General</c:formatCode>
                <c:ptCount val="83"/>
                <c:pt idx="0">
                  <c:v>2.1509611052515143</c:v>
                </c:pt>
                <c:pt idx="1">
                  <c:v>2.1509611052515143</c:v>
                </c:pt>
                <c:pt idx="2">
                  <c:v>2.1509611052515143</c:v>
                </c:pt>
                <c:pt idx="3">
                  <c:v>2.1509611052515143</c:v>
                </c:pt>
                <c:pt idx="4">
                  <c:v>2.1509611052515143</c:v>
                </c:pt>
                <c:pt idx="5">
                  <c:v>2.1509611052515143</c:v>
                </c:pt>
                <c:pt idx="6">
                  <c:v>2.1509611052515143</c:v>
                </c:pt>
                <c:pt idx="7">
                  <c:v>2.1509611052515143</c:v>
                </c:pt>
                <c:pt idx="8">
                  <c:v>2.1509611052515143</c:v>
                </c:pt>
                <c:pt idx="9">
                  <c:v>2.1509611052515143</c:v>
                </c:pt>
                <c:pt idx="10">
                  <c:v>2.1509611052515143</c:v>
                </c:pt>
                <c:pt idx="11">
                  <c:v>2.1509611052515143</c:v>
                </c:pt>
                <c:pt idx="12">
                  <c:v>2.1509611052515143</c:v>
                </c:pt>
                <c:pt idx="13">
                  <c:v>2.1509611052515143</c:v>
                </c:pt>
                <c:pt idx="14">
                  <c:v>2.1509611052515143</c:v>
                </c:pt>
                <c:pt idx="15">
                  <c:v>2.1509611052515143</c:v>
                </c:pt>
                <c:pt idx="16">
                  <c:v>2.1509611052515143</c:v>
                </c:pt>
                <c:pt idx="17">
                  <c:v>2.1509611052515143</c:v>
                </c:pt>
                <c:pt idx="18">
                  <c:v>2.1509611052515143</c:v>
                </c:pt>
                <c:pt idx="19">
                  <c:v>2.1509611052515143</c:v>
                </c:pt>
                <c:pt idx="20">
                  <c:v>2.1509611052515143</c:v>
                </c:pt>
                <c:pt idx="21">
                  <c:v>2.1509611052515143</c:v>
                </c:pt>
                <c:pt idx="22">
                  <c:v>2.1509611052515143</c:v>
                </c:pt>
                <c:pt idx="23">
                  <c:v>2.1509611052515143</c:v>
                </c:pt>
                <c:pt idx="24">
                  <c:v>2.1509611052515143</c:v>
                </c:pt>
                <c:pt idx="25">
                  <c:v>2.1509611052515143</c:v>
                </c:pt>
                <c:pt idx="26">
                  <c:v>2.1509611052515143</c:v>
                </c:pt>
                <c:pt idx="27">
                  <c:v>2.1509611052515143</c:v>
                </c:pt>
                <c:pt idx="28">
                  <c:v>2.1509611052515143</c:v>
                </c:pt>
                <c:pt idx="29">
                  <c:v>2.1509611052515143</c:v>
                </c:pt>
                <c:pt idx="30">
                  <c:v>2.1509611052515143</c:v>
                </c:pt>
                <c:pt idx="31">
                  <c:v>2.1509611052515143</c:v>
                </c:pt>
                <c:pt idx="32">
                  <c:v>2.1509611052515143</c:v>
                </c:pt>
                <c:pt idx="33">
                  <c:v>2.1509611052515143</c:v>
                </c:pt>
                <c:pt idx="34">
                  <c:v>2.1509611052515143</c:v>
                </c:pt>
                <c:pt idx="35">
                  <c:v>2.1509611052515143</c:v>
                </c:pt>
                <c:pt idx="36">
                  <c:v>2.1509611052515143</c:v>
                </c:pt>
                <c:pt idx="37">
                  <c:v>2.1509611052515143</c:v>
                </c:pt>
                <c:pt idx="38">
                  <c:v>2.1509611052515143</c:v>
                </c:pt>
                <c:pt idx="39">
                  <c:v>2.1509611052515143</c:v>
                </c:pt>
                <c:pt idx="40">
                  <c:v>2.1509611052515143</c:v>
                </c:pt>
                <c:pt idx="41">
                  <c:v>2.1509611052515143</c:v>
                </c:pt>
                <c:pt idx="42">
                  <c:v>2.1509611052515143</c:v>
                </c:pt>
                <c:pt idx="43">
                  <c:v>2.1509611052515143</c:v>
                </c:pt>
                <c:pt idx="44">
                  <c:v>2.1509611052515143</c:v>
                </c:pt>
                <c:pt idx="45">
                  <c:v>2.1509611052515143</c:v>
                </c:pt>
                <c:pt idx="46">
                  <c:v>2.1509611052515143</c:v>
                </c:pt>
                <c:pt idx="47">
                  <c:v>2.1509611052515143</c:v>
                </c:pt>
                <c:pt idx="48">
                  <c:v>2.1509611052515143</c:v>
                </c:pt>
                <c:pt idx="49">
                  <c:v>2.1509611052515143</c:v>
                </c:pt>
                <c:pt idx="50">
                  <c:v>2.1509611052515143</c:v>
                </c:pt>
                <c:pt idx="51">
                  <c:v>2.1509611052515143</c:v>
                </c:pt>
                <c:pt idx="52">
                  <c:v>2.1509611052515143</c:v>
                </c:pt>
                <c:pt idx="53">
                  <c:v>2.1509611052515143</c:v>
                </c:pt>
                <c:pt idx="54">
                  <c:v>2.1509611052515143</c:v>
                </c:pt>
                <c:pt idx="55">
                  <c:v>2.1509611052515143</c:v>
                </c:pt>
                <c:pt idx="56">
                  <c:v>2.1509611052515143</c:v>
                </c:pt>
                <c:pt idx="57">
                  <c:v>2.1509611052515143</c:v>
                </c:pt>
                <c:pt idx="58">
                  <c:v>2.1509611052515143</c:v>
                </c:pt>
                <c:pt idx="59">
                  <c:v>2.1509611052515143</c:v>
                </c:pt>
                <c:pt idx="60">
                  <c:v>2.1509611052515143</c:v>
                </c:pt>
                <c:pt idx="61">
                  <c:v>2.1509611052515143</c:v>
                </c:pt>
                <c:pt idx="62">
                  <c:v>2.1509611052515143</c:v>
                </c:pt>
                <c:pt idx="63">
                  <c:v>2.1509611052515143</c:v>
                </c:pt>
                <c:pt idx="64">
                  <c:v>2.1509611052515143</c:v>
                </c:pt>
                <c:pt idx="65">
                  <c:v>2.1509611052515143</c:v>
                </c:pt>
                <c:pt idx="66">
                  <c:v>2.1509611052515143</c:v>
                </c:pt>
                <c:pt idx="67">
                  <c:v>2.1509611052515143</c:v>
                </c:pt>
                <c:pt idx="68">
                  <c:v>2.1509611052515143</c:v>
                </c:pt>
                <c:pt idx="69">
                  <c:v>2.1509611052515143</c:v>
                </c:pt>
                <c:pt idx="70">
                  <c:v>2.1509611052515143</c:v>
                </c:pt>
                <c:pt idx="71">
                  <c:v>2.1509611052515143</c:v>
                </c:pt>
                <c:pt idx="72">
                  <c:v>2.1509611052515143</c:v>
                </c:pt>
                <c:pt idx="73">
                  <c:v>2.1509611052515143</c:v>
                </c:pt>
                <c:pt idx="74">
                  <c:v>2.1509611052515143</c:v>
                </c:pt>
                <c:pt idx="75">
                  <c:v>2.1509611052515143</c:v>
                </c:pt>
                <c:pt idx="76">
                  <c:v>2.1509611052515143</c:v>
                </c:pt>
                <c:pt idx="77">
                  <c:v>2.1509611052515143</c:v>
                </c:pt>
                <c:pt idx="78">
                  <c:v>2.1509611052515143</c:v>
                </c:pt>
                <c:pt idx="79">
                  <c:v>2.1509611052515143</c:v>
                </c:pt>
                <c:pt idx="80">
                  <c:v>2.1509611052515143</c:v>
                </c:pt>
                <c:pt idx="81">
                  <c:v>2.1509611052515143</c:v>
                </c:pt>
                <c:pt idx="82">
                  <c:v>2.1509611052515143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A93-4BDE-A838-B91A72894F18}"/>
            </c:ext>
          </c:extLst>
        </c:ser>
        <c:ser>
          <c:idx val="7"/>
          <c:order val="7"/>
          <c:tx>
            <c:strRef>
              <c:f>RTC!$B$29</c:f>
              <c:strCache>
                <c:ptCount val="1"/>
                <c:pt idx="0">
                  <c:v>M.Z(fn)</c:v>
                </c:pt>
              </c:strCache>
            </c:strRef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RTC!$C$29:$CG$29</c:f>
              <c:numCache>
                <c:formatCode>General</c:formatCode>
                <c:ptCount val="8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1921.5837087114464</c:v>
                </c:pt>
                <c:pt idx="39">
                  <c:v>6.499999999999007</c:v>
                </c:pt>
                <c:pt idx="40">
                  <c:v>3.2529106029008803</c:v>
                </c:pt>
                <c:pt idx="41">
                  <c:v>2.4982667258847973</c:v>
                </c:pt>
                <c:pt idx="42">
                  <c:v>2.1257309304031207</c:v>
                </c:pt>
                <c:pt idx="43">
                  <c:v>1.8960339956097945</c:v>
                </c:pt>
                <c:pt idx="44">
                  <c:v>1.7376131616797115</c:v>
                </c:pt>
                <c:pt idx="45">
                  <c:v>1.6206354136476369</c:v>
                </c:pt>
                <c:pt idx="46">
                  <c:v>1.5301841113520063</c:v>
                </c:pt>
                <c:pt idx="47">
                  <c:v>1.4578754741100259</c:v>
                </c:pt>
                <c:pt idx="48">
                  <c:v>1.3985939180008431</c:v>
                </c:pt>
                <c:pt idx="49">
                  <c:v>1.3490213172523273</c:v>
                </c:pt>
                <c:pt idx="50">
                  <c:v>1.3069011244615849</c:v>
                </c:pt>
                <c:pt idx="51">
                  <c:v>1.2706396576782892</c:v>
                </c:pt>
                <c:pt idx="52">
                  <c:v>1.2390760932765092</c:v>
                </c:pt>
                <c:pt idx="53">
                  <c:v>1.2113428740117067</c:v>
                </c:pt>
                <c:pt idx="54">
                  <c:v>1.1867773590313537</c:v>
                </c:pt>
                <c:pt idx="55">
                  <c:v>1.1648638953701158</c:v>
                </c:pt>
                <c:pt idx="56">
                  <c:v>1.1451946731274369</c:v>
                </c:pt>
                <c:pt idx="57">
                  <c:v>1.1274425752841599</c:v>
                </c:pt>
                <c:pt idx="58">
                  <c:v>1.1113419135083229</c:v>
                </c:pt>
                <c:pt idx="59">
                  <c:v>1.0966744827478272</c:v>
                </c:pt>
                <c:pt idx="60">
                  <c:v>1.0832592849365161</c:v>
                </c:pt>
                <c:pt idx="61">
                  <c:v>1.0709448350980926</c:v>
                </c:pt>
                <c:pt idx="62">
                  <c:v>1.0596033179556184</c:v>
                </c:pt>
                <c:pt idx="63">
                  <c:v>1.0491260922331147</c:v>
                </c:pt>
                <c:pt idx="64">
                  <c:v>1.0394201909627108</c:v>
                </c:pt>
                <c:pt idx="65">
                  <c:v>1.0304055677788071</c:v>
                </c:pt>
                <c:pt idx="66">
                  <c:v>1.022012908801389</c:v>
                </c:pt>
                <c:pt idx="67">
                  <c:v>1.0141818781648655</c:v>
                </c:pt>
                <c:pt idx="68">
                  <c:v>1.0068596994765564</c:v>
                </c:pt>
                <c:pt idx="69">
                  <c:v>1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A93-4BDE-A838-B91A72894F18}"/>
            </c:ext>
          </c:extLst>
        </c:ser>
        <c:ser>
          <c:idx val="8"/>
          <c:order val="8"/>
          <c:tx>
            <c:strRef>
              <c:f>RTC!$B$31</c:f>
              <c:strCache>
                <c:ptCount val="1"/>
                <c:pt idx="0">
                  <c:v>Minf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RTC!$C$31:$CG$31</c:f>
              <c:numCache>
                <c:formatCode>General</c:formatCode>
                <c:ptCount val="83"/>
                <c:pt idx="0">
                  <c:v>0.68571428571428572</c:v>
                </c:pt>
                <c:pt idx="1">
                  <c:v>0.68571428571428572</c:v>
                </c:pt>
                <c:pt idx="2">
                  <c:v>0.68571428571428572</c:v>
                </c:pt>
                <c:pt idx="3">
                  <c:v>0.68571428571428572</c:v>
                </c:pt>
                <c:pt idx="4">
                  <c:v>0.68571428571428572</c:v>
                </c:pt>
                <c:pt idx="5">
                  <c:v>0.68571428571428572</c:v>
                </c:pt>
                <c:pt idx="6">
                  <c:v>0.68571428571428572</c:v>
                </c:pt>
                <c:pt idx="7">
                  <c:v>0.68571428571428572</c:v>
                </c:pt>
                <c:pt idx="8">
                  <c:v>0.68571428571428572</c:v>
                </c:pt>
                <c:pt idx="9">
                  <c:v>0.68571428571428572</c:v>
                </c:pt>
                <c:pt idx="10">
                  <c:v>0.68571428571428572</c:v>
                </c:pt>
                <c:pt idx="11">
                  <c:v>0.68571428571428572</c:v>
                </c:pt>
                <c:pt idx="12">
                  <c:v>0.68571428571428572</c:v>
                </c:pt>
                <c:pt idx="13">
                  <c:v>0.68571428571428572</c:v>
                </c:pt>
                <c:pt idx="14">
                  <c:v>0.68571428571428572</c:v>
                </c:pt>
                <c:pt idx="15">
                  <c:v>0.68571428571428572</c:v>
                </c:pt>
                <c:pt idx="16">
                  <c:v>0.68571428571428572</c:v>
                </c:pt>
                <c:pt idx="17">
                  <c:v>0.68571428571428572</c:v>
                </c:pt>
                <c:pt idx="18">
                  <c:v>0.68571428571428572</c:v>
                </c:pt>
                <c:pt idx="19">
                  <c:v>0.68571428571428572</c:v>
                </c:pt>
                <c:pt idx="20">
                  <c:v>0.68571428571428572</c:v>
                </c:pt>
                <c:pt idx="21">
                  <c:v>0.68571428571428572</c:v>
                </c:pt>
                <c:pt idx="22">
                  <c:v>0.68571428571428572</c:v>
                </c:pt>
                <c:pt idx="23">
                  <c:v>0.68571428571428572</c:v>
                </c:pt>
                <c:pt idx="24">
                  <c:v>0.68571428571428572</c:v>
                </c:pt>
                <c:pt idx="25">
                  <c:v>0.68571428571428572</c:v>
                </c:pt>
                <c:pt idx="26">
                  <c:v>0.68571428571428572</c:v>
                </c:pt>
                <c:pt idx="27">
                  <c:v>0.68571428571428572</c:v>
                </c:pt>
                <c:pt idx="28">
                  <c:v>0.68571428571428572</c:v>
                </c:pt>
                <c:pt idx="29">
                  <c:v>0.68571428571428572</c:v>
                </c:pt>
                <c:pt idx="30">
                  <c:v>0.68571428571428572</c:v>
                </c:pt>
                <c:pt idx="31">
                  <c:v>0.68571428571428572</c:v>
                </c:pt>
                <c:pt idx="32">
                  <c:v>0.68571428571428572</c:v>
                </c:pt>
                <c:pt idx="33">
                  <c:v>0.68571428571428572</c:v>
                </c:pt>
                <c:pt idx="34">
                  <c:v>0.68571428571428572</c:v>
                </c:pt>
                <c:pt idx="35">
                  <c:v>0.68571428571428572</c:v>
                </c:pt>
                <c:pt idx="36">
                  <c:v>0.68571428571428572</c:v>
                </c:pt>
                <c:pt idx="37">
                  <c:v>0.68571428571428572</c:v>
                </c:pt>
                <c:pt idx="38">
                  <c:v>0.68571428571428572</c:v>
                </c:pt>
                <c:pt idx="39">
                  <c:v>0.68571428571428572</c:v>
                </c:pt>
                <c:pt idx="40">
                  <c:v>0.68571428571428572</c:v>
                </c:pt>
                <c:pt idx="41">
                  <c:v>0.68571428571428572</c:v>
                </c:pt>
                <c:pt idx="42">
                  <c:v>0.68571428571428572</c:v>
                </c:pt>
                <c:pt idx="43">
                  <c:v>0.68571428571428572</c:v>
                </c:pt>
                <c:pt idx="44">
                  <c:v>0.68571428571428572</c:v>
                </c:pt>
                <c:pt idx="45">
                  <c:v>0.68571428571428572</c:v>
                </c:pt>
                <c:pt idx="46">
                  <c:v>0.68571428571428572</c:v>
                </c:pt>
                <c:pt idx="47">
                  <c:v>0.68571428571428572</c:v>
                </c:pt>
                <c:pt idx="48">
                  <c:v>0.68571428571428572</c:v>
                </c:pt>
                <c:pt idx="49">
                  <c:v>0.68571428571428572</c:v>
                </c:pt>
                <c:pt idx="50">
                  <c:v>0.68571428571428572</c:v>
                </c:pt>
                <c:pt idx="51">
                  <c:v>0.68571428571428572</c:v>
                </c:pt>
                <c:pt idx="52">
                  <c:v>0.68571428571428572</c:v>
                </c:pt>
                <c:pt idx="53">
                  <c:v>0.68571428571428572</c:v>
                </c:pt>
                <c:pt idx="54">
                  <c:v>0.68571428571428572</c:v>
                </c:pt>
                <c:pt idx="55">
                  <c:v>0.68571428571428572</c:v>
                </c:pt>
                <c:pt idx="56">
                  <c:v>0.68571428571428572</c:v>
                </c:pt>
                <c:pt idx="57">
                  <c:v>0.68571428571428572</c:v>
                </c:pt>
                <c:pt idx="58">
                  <c:v>0.68571428571428572</c:v>
                </c:pt>
                <c:pt idx="59">
                  <c:v>0.68571428571428572</c:v>
                </c:pt>
                <c:pt idx="60">
                  <c:v>0.68571428571428572</c:v>
                </c:pt>
                <c:pt idx="61">
                  <c:v>0.68571428571428572</c:v>
                </c:pt>
                <c:pt idx="62">
                  <c:v>0.68571428571428572</c:v>
                </c:pt>
                <c:pt idx="63">
                  <c:v>0.68571428571428572</c:v>
                </c:pt>
                <c:pt idx="64">
                  <c:v>0.68571428571428572</c:v>
                </c:pt>
                <c:pt idx="65">
                  <c:v>0.68571428571428572</c:v>
                </c:pt>
                <c:pt idx="66">
                  <c:v>0.68571428571428572</c:v>
                </c:pt>
                <c:pt idx="67">
                  <c:v>0.68571428571428572</c:v>
                </c:pt>
                <c:pt idx="68">
                  <c:v>0.68571428571428572</c:v>
                </c:pt>
                <c:pt idx="69">
                  <c:v>0.68571428571428572</c:v>
                </c:pt>
                <c:pt idx="70">
                  <c:v>0.68571428571428572</c:v>
                </c:pt>
                <c:pt idx="71">
                  <c:v>0.68571428571428572</c:v>
                </c:pt>
                <c:pt idx="72">
                  <c:v>0.68571428571428572</c:v>
                </c:pt>
                <c:pt idx="73">
                  <c:v>0.68571428571428572</c:v>
                </c:pt>
                <c:pt idx="74">
                  <c:v>0.68571428571428572</c:v>
                </c:pt>
                <c:pt idx="75">
                  <c:v>0.68571428571428572</c:v>
                </c:pt>
                <c:pt idx="76">
                  <c:v>0.68571428571428572</c:v>
                </c:pt>
                <c:pt idx="77">
                  <c:v>0.68571428571428572</c:v>
                </c:pt>
                <c:pt idx="78">
                  <c:v>0.68571428571428572</c:v>
                </c:pt>
                <c:pt idx="79">
                  <c:v>0.68571428571428572</c:v>
                </c:pt>
                <c:pt idx="80">
                  <c:v>0.68571428571428572</c:v>
                </c:pt>
                <c:pt idx="81">
                  <c:v>0.68571428571428572</c:v>
                </c:pt>
                <c:pt idx="82">
                  <c:v>0.68571428571428572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A93-4BDE-A838-B91A72894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431"/>
        <c:axId val="1407976511"/>
      </c:scatterChart>
      <c:valAx>
        <c:axId val="1407978431"/>
        <c:scaling>
          <c:orientation val="minMax"/>
          <c:max val="1"/>
          <c:min val="0.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fn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6511"/>
        <c:crosses val="autoZero"/>
        <c:crossBetween val="midCat"/>
      </c:valAx>
      <c:valAx>
        <c:axId val="1407976511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Required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8431"/>
        <c:crosses val="autoZero"/>
        <c:crossBetween val="midCat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5580347457371113"/>
          <c:y val="0.16027563224159808"/>
          <c:w val="0.27800194160892644"/>
          <c:h val="0.42061995684821901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Voltage Gain curve vs Minimum Required Gain for PFC </a:t>
            </a:r>
            <a:r>
              <a:rPr lang="en-US" sz="1400" b="1"/>
              <a:t>regulation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@Vin_max</a:t>
            </a:r>
            <a:endParaRPr lang="el-GR" sz="1400" b="1"/>
          </a:p>
        </c:rich>
      </c:tx>
      <c:layout>
        <c:manualLayout>
          <c:xMode val="edge"/>
          <c:yMode val="edge"/>
          <c:x val="0.16144385855423607"/>
          <c:y val="2.3272468193682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537263861003059"/>
          <c:y val="0.14181437112537784"/>
          <c:w val="0.82634951881014873"/>
          <c:h val="0.73685758765226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RTC!$B$28</c:f>
              <c:strCache>
                <c:ptCount val="1"/>
                <c:pt idx="0">
                  <c:v>M.OL(fn)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RTC!$C$28:$CG$28</c:f>
              <c:numCache>
                <c:formatCode>General</c:formatCode>
                <c:ptCount val="83"/>
                <c:pt idx="0">
                  <c:v>2.1818182512396718E-8</c:v>
                </c:pt>
                <c:pt idx="1">
                  <c:v>1.2886419367458453E-3</c:v>
                </c:pt>
                <c:pt idx="2">
                  <c:v>3.2957540508757933E-3</c:v>
                </c:pt>
                <c:pt idx="3">
                  <c:v>6.2466838217803949E-3</c:v>
                </c:pt>
                <c:pt idx="4">
                  <c:v>1.0165634844491057E-2</c:v>
                </c:pt>
                <c:pt idx="5">
                  <c:v>1.5085230808885637E-2</c:v>
                </c:pt>
                <c:pt idx="6">
                  <c:v>2.104720710419164E-2</c:v>
                </c:pt>
                <c:pt idx="7">
                  <c:v>2.8103319587713758E-2</c:v>
                </c:pt>
                <c:pt idx="8">
                  <c:v>3.6316508449383139E-2</c:v>
                </c:pt>
                <c:pt idx="9">
                  <c:v>4.5762367743434479E-2</c:v>
                </c:pt>
                <c:pt idx="10">
                  <c:v>5.6530987448607108E-2</c:v>
                </c:pt>
                <c:pt idx="11">
                  <c:v>6.8729256295102084E-2</c:v>
                </c:pt>
                <c:pt idx="12">
                  <c:v>8.2483742085161724E-2</c:v>
                </c:pt>
                <c:pt idx="13">
                  <c:v>9.7944304735298124E-2</c:v>
                </c:pt>
                <c:pt idx="14">
                  <c:v>0.11528864999952876</c:v>
                </c:pt>
                <c:pt idx="15">
                  <c:v>0.1347281050187448</c:v>
                </c:pt>
                <c:pt idx="16">
                  <c:v>0.15651499980883612</c:v>
                </c:pt>
                <c:pt idx="17">
                  <c:v>0.18095218575415503</c:v>
                </c:pt>
                <c:pt idx="18">
                  <c:v>0.20840543512238516</c:v>
                </c:pt>
                <c:pt idx="19">
                  <c:v>0.23931977930378859</c:v>
                </c:pt>
                <c:pt idx="20">
                  <c:v>0.27424131386312434</c:v>
                </c:pt>
                <c:pt idx="21">
                  <c:v>0.31384671772931005</c:v>
                </c:pt>
                <c:pt idx="22">
                  <c:v>0.3589838574142431</c:v>
                </c:pt>
                <c:pt idx="23">
                  <c:v>0.41072864448862639</c:v>
                </c:pt>
                <c:pt idx="24">
                  <c:v>0.47046626668653735</c:v>
                </c:pt>
                <c:pt idx="25">
                  <c:v>0.54000990781304037</c:v>
                </c:pt>
                <c:pt idx="26">
                  <c:v>0.62177881033586746</c:v>
                </c:pt>
                <c:pt idx="27">
                  <c:v>0.71907341857608231</c:v>
                </c:pt>
                <c:pt idx="28">
                  <c:v>0.83651551018079373</c:v>
                </c:pt>
                <c:pt idx="29">
                  <c:v>0.98078153994784389</c:v>
                </c:pt>
                <c:pt idx="30">
                  <c:v>1.1618855338834528</c:v>
                </c:pt>
                <c:pt idx="31">
                  <c:v>1.3955605407023011</c:v>
                </c:pt>
                <c:pt idx="32">
                  <c:v>1.70801881699095</c:v>
                </c:pt>
                <c:pt idx="33">
                  <c:v>2.1464163817304032</c:v>
                </c:pt>
                <c:pt idx="34">
                  <c:v>2.8049873938594398</c:v>
                </c:pt>
                <c:pt idx="35">
                  <c:v>3.9033273688464369</c:v>
                </c:pt>
                <c:pt idx="36">
                  <c:v>6.098718634915044</c:v>
                </c:pt>
                <c:pt idx="37">
                  <c:v>12.659566924581251</c:v>
                </c:pt>
                <c:pt idx="38">
                  <c:v>1921.5837087114464</c:v>
                </c:pt>
                <c:pt idx="39">
                  <c:v>42.249999999987104</c:v>
                </c:pt>
                <c:pt idx="40">
                  <c:v>10.581427390464974</c:v>
                </c:pt>
                <c:pt idx="41">
                  <c:v>6.2413366336631526</c:v>
                </c:pt>
                <c:pt idx="42">
                  <c:v>4.5187319884725161</c:v>
                </c:pt>
                <c:pt idx="43">
                  <c:v>3.5949449125080415</c:v>
                </c:pt>
                <c:pt idx="44">
                  <c:v>3.0192994996425648</c:v>
                </c:pt>
                <c:pt idx="45">
                  <c:v>2.6264591439688467</c:v>
                </c:pt>
                <c:pt idx="46">
                  <c:v>2.3414634146341284</c:v>
                </c:pt>
                <c:pt idx="47">
                  <c:v>2.1254008980115326</c:v>
                </c:pt>
                <c:pt idx="48">
                  <c:v>1.9560649474689491</c:v>
                </c:pt>
                <c:pt idx="49">
                  <c:v>1.8198585144012047</c:v>
                </c:pt>
                <c:pt idx="50">
                  <c:v>1.7079905491189553</c:v>
                </c:pt>
                <c:pt idx="51">
                  <c:v>1.6145251396647997</c:v>
                </c:pt>
                <c:pt idx="52">
                  <c:v>1.5353095649293769</c:v>
                </c:pt>
                <c:pt idx="53">
                  <c:v>1.4673515584189416</c:v>
                </c:pt>
                <c:pt idx="54">
                  <c:v>1.4084404999094342</c:v>
                </c:pt>
                <c:pt idx="55">
                  <c:v>1.35690789473684</c:v>
                </c:pt>
                <c:pt idx="56">
                  <c:v>1.3114708393594574</c:v>
                </c:pt>
                <c:pt idx="57">
                  <c:v>1.2711267605633787</c:v>
                </c:pt>
                <c:pt idx="58">
                  <c:v>1.2350808487203404</c:v>
                </c:pt>
                <c:pt idx="59">
                  <c:v>1.2026949211102145</c:v>
                </c:pt>
                <c:pt idx="60">
                  <c:v>1.1734506784011727</c:v>
                </c:pt>
                <c:pt idx="61">
                  <c:v>1.1469228398232809</c:v>
                </c:pt>
                <c:pt idx="62">
                  <c:v>1.1227591914225556</c:v>
                </c:pt>
                <c:pt idx="63">
                  <c:v>1.1006655574043258</c:v>
                </c:pt>
                <c:pt idx="64">
                  <c:v>1.080394333380958</c:v>
                </c:pt>
                <c:pt idx="65">
                  <c:v>1.0617356341095658</c:v>
                </c:pt>
                <c:pt idx="66">
                  <c:v>1.0445103857566764</c:v>
                </c:pt>
                <c:pt idx="67">
                  <c:v>1.0285648819980142</c:v>
                </c:pt>
                <c:pt idx="68">
                  <c:v>1.0137664544300213</c:v>
                </c:pt>
                <c:pt idx="69">
                  <c:v>1</c:v>
                </c:pt>
                <c:pt idx="70">
                  <c:v>0.96756638701644149</c:v>
                </c:pt>
                <c:pt idx="71">
                  <c:v>0.94029649207737387</c:v>
                </c:pt>
                <c:pt idx="72">
                  <c:v>0.9170912797089299</c:v>
                </c:pt>
                <c:pt idx="73">
                  <c:v>0.89713972557044763</c:v>
                </c:pt>
                <c:pt idx="74">
                  <c:v>0.87983058019429439</c:v>
                </c:pt>
                <c:pt idx="75">
                  <c:v>0.86469466359597535</c:v>
                </c:pt>
                <c:pt idx="76">
                  <c:v>0.85136604264766635</c:v>
                </c:pt>
                <c:pt idx="77">
                  <c:v>0.83955525874231718</c:v>
                </c:pt>
                <c:pt idx="78">
                  <c:v>0.82903045930975283</c:v>
                </c:pt>
                <c:pt idx="79">
                  <c:v>0.81960384055727298</c:v>
                </c:pt>
                <c:pt idx="80">
                  <c:v>0.81112173694104106</c:v>
                </c:pt>
                <c:pt idx="81">
                  <c:v>0.80345726326884537</c:v>
                </c:pt>
                <c:pt idx="82">
                  <c:v>0.7965047748976446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49-41D0-9204-FC058798BFF0}"/>
            </c:ext>
          </c:extLst>
        </c:ser>
        <c:ser>
          <c:idx val="1"/>
          <c:order val="1"/>
          <c:tx>
            <c:strRef>
              <c:f>RTC!$B$47</c:f>
              <c:strCache>
                <c:ptCount val="1"/>
                <c:pt idx="0">
                  <c:v>M(fn,Po,π/2)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RTC!$C$47:$CG$47</c:f>
              <c:numCache>
                <c:formatCode>General</c:formatCode>
                <c:ptCount val="83"/>
                <c:pt idx="0">
                  <c:v>2.1818182382492675E-8</c:v>
                </c:pt>
                <c:pt idx="1">
                  <c:v>1.2881887010930794E-3</c:v>
                </c:pt>
                <c:pt idx="2">
                  <c:v>3.2927886442313385E-3</c:v>
                </c:pt>
                <c:pt idx="3">
                  <c:v>6.2360266346062031E-3</c:v>
                </c:pt>
                <c:pt idx="4">
                  <c:v>1.0137396704165301E-2</c:v>
                </c:pt>
                <c:pt idx="5">
                  <c:v>1.5023007895528954E-2</c:v>
                </c:pt>
                <c:pt idx="6">
                  <c:v>2.0925987778792478E-2</c:v>
                </c:pt>
                <c:pt idx="7">
                  <c:v>2.7887001276361342E-2</c:v>
                </c:pt>
                <c:pt idx="8">
                  <c:v>3.5954897539339017E-2</c:v>
                </c:pt>
                <c:pt idx="9">
                  <c:v>4.5187500817546217E-2</c:v>
                </c:pt>
                <c:pt idx="10">
                  <c:v>5.5652564835327163E-2</c:v>
                </c:pt>
                <c:pt idx="11">
                  <c:v>6.7428914152122668E-2</c:v>
                </c:pt>
                <c:pt idx="12">
                  <c:v>8.0607800331455051E-2</c:v>
                </c:pt>
                <c:pt idx="13">
                  <c:v>9.5294505365001059E-2</c:v>
                </c:pt>
                <c:pt idx="14">
                  <c:v>0.11161022945863958</c:v>
                </c:pt>
                <c:pt idx="15">
                  <c:v>0.12969430450041747</c:v>
                </c:pt>
                <c:pt idx="16">
                  <c:v>0.14970677740192706</c:v>
                </c:pt>
                <c:pt idx="17">
                  <c:v>0.17183140745740369</c:v>
                </c:pt>
                <c:pt idx="18">
                  <c:v>0.19627911619524036</c:v>
                </c:pt>
                <c:pt idx="19">
                  <c:v>0.22329191235764032</c:v>
                </c:pt>
                <c:pt idx="20">
                  <c:v>0.25314728109657647</c:v>
                </c:pt>
                <c:pt idx="21">
                  <c:v>0.28616296286546417</c:v>
                </c:pt>
                <c:pt idx="22">
                  <c:v>0.32270193381356715</c:v>
                </c:pt>
                <c:pt idx="23">
                  <c:v>0.36317720380577329</c:v>
                </c:pt>
                <c:pt idx="24">
                  <c:v>0.40805572039200749</c:v>
                </c:pt>
                <c:pt idx="25">
                  <c:v>0.45786013065995684</c:v>
                </c:pt>
                <c:pt idx="26">
                  <c:v>0.51316629609248432</c:v>
                </c:pt>
                <c:pt idx="27">
                  <c:v>0.57459312657902117</c:v>
                </c:pt>
                <c:pt idx="28">
                  <c:v>0.64277932160959372</c:v>
                </c:pt>
                <c:pt idx="29">
                  <c:v>0.71833884691119299</c:v>
                </c:pt>
                <c:pt idx="30">
                  <c:v>0.80178354597124124</c:v>
                </c:pt>
                <c:pt idx="31">
                  <c:v>0.89339801137383779</c:v>
                </c:pt>
                <c:pt idx="32">
                  <c:v>0.99305115057053139</c:v>
                </c:pt>
                <c:pt idx="33">
                  <c:v>1.0999361156437204</c:v>
                </c:pt>
                <c:pt idx="34">
                  <c:v>1.2122544795938535</c:v>
                </c:pt>
                <c:pt idx="35">
                  <c:v>1.3269116345880969</c:v>
                </c:pt>
                <c:pt idx="36">
                  <c:v>1.4393666612797296</c:v>
                </c:pt>
                <c:pt idx="37">
                  <c:v>1.5438437181055409</c:v>
                </c:pt>
                <c:pt idx="38">
                  <c:v>1.634075089047597</c:v>
                </c:pt>
                <c:pt idx="39">
                  <c:v>1.6593385553953328</c:v>
                </c:pt>
                <c:pt idx="40">
                  <c:v>1.7224809596753172</c:v>
                </c:pt>
                <c:pt idx="41">
                  <c:v>1.7617858065342098</c:v>
                </c:pt>
                <c:pt idx="42">
                  <c:v>1.7775007606476596</c:v>
                </c:pt>
                <c:pt idx="43">
                  <c:v>1.7723770936820213</c:v>
                </c:pt>
                <c:pt idx="44">
                  <c:v>1.7506688032071991</c:v>
                </c:pt>
                <c:pt idx="45">
                  <c:v>1.7170352094878036</c:v>
                </c:pt>
                <c:pt idx="46">
                  <c:v>1.6757354437264311</c:v>
                </c:pt>
                <c:pt idx="47">
                  <c:v>1.6302254633798372</c:v>
                </c:pt>
                <c:pt idx="48">
                  <c:v>1.5830741957458498</c:v>
                </c:pt>
                <c:pt idx="49">
                  <c:v>1.5360596375513149</c:v>
                </c:pt>
                <c:pt idx="50">
                  <c:v>1.4903324554146884</c:v>
                </c:pt>
                <c:pt idx="51">
                  <c:v>1.446581713956461</c:v>
                </c:pt>
                <c:pt idx="52">
                  <c:v>1.4051745142564538</c:v>
                </c:pt>
                <c:pt idx="53">
                  <c:v>1.3662628198799427</c:v>
                </c:pt>
                <c:pt idx="54">
                  <c:v>1.329860503810347</c:v>
                </c:pt>
                <c:pt idx="55">
                  <c:v>1.2958967576600455</c:v>
                </c:pt>
                <c:pt idx="56">
                  <c:v>1.2642520414530216</c:v>
                </c:pt>
                <c:pt idx="57">
                  <c:v>1.2347816882910965</c:v>
                </c:pt>
                <c:pt idx="58">
                  <c:v>1.2073310266874606</c:v>
                </c:pt>
                <c:pt idx="59">
                  <c:v>1.1817447922027622</c:v>
                </c:pt>
                <c:pt idx="60">
                  <c:v>1.1578727557635651</c:v>
                </c:pt>
                <c:pt idx="61">
                  <c:v>1.1355728820271946</c:v>
                </c:pt>
                <c:pt idx="62">
                  <c:v>1.1147129003379874</c:v>
                </c:pt>
                <c:pt idx="63">
                  <c:v>1.0951708751382412</c:v>
                </c:pt>
                <c:pt idx="64">
                  <c:v>1.0768351626045636</c:v>
                </c:pt>
                <c:pt idx="65">
                  <c:v>1.0596040061373857</c:v>
                </c:pt>
                <c:pt idx="66">
                  <c:v>1.0433849339971508</c:v>
                </c:pt>
                <c:pt idx="67">
                  <c:v>1.0280940632015909</c:v>
                </c:pt>
                <c:pt idx="68">
                  <c:v>1.0136553747908899</c:v>
                </c:pt>
                <c:pt idx="69">
                  <c:v>1</c:v>
                </c:pt>
                <c:pt idx="70">
                  <c:v>0.96691322680906977</c:v>
                </c:pt>
                <c:pt idx="71">
                  <c:v>0.93798852959219836</c:v>
                </c:pt>
                <c:pt idx="72">
                  <c:v>0.91245116941174087</c:v>
                </c:pt>
                <c:pt idx="73">
                  <c:v>0.88969658878492341</c:v>
                </c:pt>
                <c:pt idx="74">
                  <c:v>0.86924871266921189</c:v>
                </c:pt>
                <c:pt idx="75">
                  <c:v>0.85072914348639261</c:v>
                </c:pt>
                <c:pt idx="76">
                  <c:v>0.83383437970660179</c:v>
                </c:pt>
                <c:pt idx="77">
                  <c:v>0.81831887609351994</c:v>
                </c:pt>
                <c:pt idx="78">
                  <c:v>0.80398235120407913</c:v>
                </c:pt>
                <c:pt idx="79">
                  <c:v>0.7906601946781564</c:v>
                </c:pt>
                <c:pt idx="80">
                  <c:v>0.77821615163793834</c:v>
                </c:pt>
                <c:pt idx="81">
                  <c:v>0.76653669311334505</c:v>
                </c:pt>
                <c:pt idx="82">
                  <c:v>0.75552664554189064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49-41D0-9204-FC058798BFF0}"/>
            </c:ext>
          </c:extLst>
        </c:ser>
        <c:ser>
          <c:idx val="2"/>
          <c:order val="2"/>
          <c:tx>
            <c:strRef>
              <c:f>RTC!$B$49</c:f>
              <c:strCache>
                <c:ptCount val="1"/>
                <c:pt idx="0">
                  <c:v>M(fn,Po,π/3)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RTC!$C$49:$CG$49</c:f>
              <c:numCache>
                <c:formatCode>General</c:formatCode>
                <c:ptCount val="83"/>
                <c:pt idx="0">
                  <c:v>2.1818182439325691E-8</c:v>
                </c:pt>
                <c:pt idx="1">
                  <c:v>1.288386932838223E-3</c:v>
                </c:pt>
                <c:pt idx="2">
                  <c:v>3.294085024357045E-3</c:v>
                </c:pt>
                <c:pt idx="3">
                  <c:v>6.2406824378399874E-3</c:v>
                </c:pt>
                <c:pt idx="4">
                  <c:v>1.0149721903320651E-2</c:v>
                </c:pt>
                <c:pt idx="5">
                  <c:v>1.5050135523851146E-2</c:v>
                </c:pt>
                <c:pt idx="6">
                  <c:v>2.0978762930202923E-2</c:v>
                </c:pt>
                <c:pt idx="7">
                  <c:v>2.7981024024538607E-2</c:v>
                </c:pt>
                <c:pt idx="8">
                  <c:v>3.6111767932241016E-2</c:v>
                </c:pt>
                <c:pt idx="9">
                  <c:v>4.5436326096875805E-2</c:v>
                </c:pt>
                <c:pt idx="10">
                  <c:v>5.6031805097773321E-2</c:v>
                </c:pt>
                <c:pt idx="11">
                  <c:v>6.7988664131966317E-2</c:v>
                </c:pt>
                <c:pt idx="12">
                  <c:v>8.1412633661487821E-2</c:v>
                </c:pt>
                <c:pt idx="13">
                  <c:v>9.6427046070027292E-2</c:v>
                </c:pt>
                <c:pt idx="14">
                  <c:v>0.11317566700622338</c:v>
                </c:pt>
                <c:pt idx="15">
                  <c:v>0.13182613823889974</c:v>
                </c:pt>
                <c:pt idx="16">
                  <c:v>0.15257417021874703</c:v>
                </c:pt>
                <c:pt idx="17">
                  <c:v>0.17564865601082363</c:v>
                </c:pt>
                <c:pt idx="18">
                  <c:v>0.20131791842768321</c:v>
                </c:pt>
                <c:pt idx="19">
                  <c:v>0.22989734881129481</c:v>
                </c:pt>
                <c:pt idx="20">
                  <c:v>0.26175874677386279</c:v>
                </c:pt>
                <c:pt idx="21">
                  <c:v>0.29734171889440625</c:v>
                </c:pt>
                <c:pt idx="22">
                  <c:v>0.33716752587048926</c:v>
                </c:pt>
                <c:pt idx="23">
                  <c:v>0.38185574987982207</c:v>
                </c:pt>
                <c:pt idx="24">
                  <c:v>0.4321440215917321</c:v>
                </c:pt>
                <c:pt idx="25">
                  <c:v>0.48891067008148426</c:v>
                </c:pt>
                <c:pt idx="26">
                  <c:v>0.55319928820362751</c:v>
                </c:pt>
                <c:pt idx="27">
                  <c:v>0.62624236450510695</c:v>
                </c:pt>
                <c:pt idx="28">
                  <c:v>0.70947743818119835</c:v>
                </c:pt>
                <c:pt idx="29">
                  <c:v>0.80454211618310545</c:v>
                </c:pt>
                <c:pt idx="30">
                  <c:v>0.91322115987396457</c:v>
                </c:pt>
                <c:pt idx="31">
                  <c:v>1.0372960664446651</c:v>
                </c:pt>
                <c:pt idx="32">
                  <c:v>1.1782121374140366</c:v>
                </c:pt>
                <c:pt idx="33">
                  <c:v>1.3364349780829285</c:v>
                </c:pt>
                <c:pt idx="34">
                  <c:v>1.5103522672564342</c:v>
                </c:pt>
                <c:pt idx="35">
                  <c:v>1.6946933621753784</c:v>
                </c:pt>
                <c:pt idx="36">
                  <c:v>1.8788872930725196</c:v>
                </c:pt>
                <c:pt idx="37">
                  <c:v>2.0466553898913227</c:v>
                </c:pt>
                <c:pt idx="38">
                  <c:v>2.1787661726775815</c:v>
                </c:pt>
                <c:pt idx="39">
                  <c:v>2.2111254628172508</c:v>
                </c:pt>
                <c:pt idx="40">
                  <c:v>2.2733341619235317</c:v>
                </c:pt>
                <c:pt idx="41">
                  <c:v>2.2794758156576145</c:v>
                </c:pt>
                <c:pt idx="42">
                  <c:v>2.2390917769355321</c:v>
                </c:pt>
                <c:pt idx="43">
                  <c:v>2.1671764851446023</c:v>
                </c:pt>
                <c:pt idx="44">
                  <c:v>2.0782664827564985</c:v>
                </c:pt>
                <c:pt idx="45">
                  <c:v>1.9833491584035789</c:v>
                </c:pt>
                <c:pt idx="46">
                  <c:v>1.8894370266624958</c:v>
                </c:pt>
                <c:pt idx="47">
                  <c:v>1.8004036122547353</c:v>
                </c:pt>
                <c:pt idx="48">
                  <c:v>1.7180362951962087</c:v>
                </c:pt>
                <c:pt idx="49">
                  <c:v>1.6428800535467103</c:v>
                </c:pt>
                <c:pt idx="50">
                  <c:v>1.5748033751254678</c:v>
                </c:pt>
                <c:pt idx="51">
                  <c:v>1.5133428875947135</c:v>
                </c:pt>
                <c:pt idx="52">
                  <c:v>1.4579001918992971</c:v>
                </c:pt>
                <c:pt idx="53">
                  <c:v>1.4078482374057375</c:v>
                </c:pt>
                <c:pt idx="54">
                  <c:v>1.3625851213657625</c:v>
                </c:pt>
                <c:pt idx="55">
                  <c:v>1.3215584444011077</c:v>
                </c:pt>
                <c:pt idx="56">
                  <c:v>1.2842737446429706</c:v>
                </c:pt>
                <c:pt idx="57">
                  <c:v>1.2502946995621886</c:v>
                </c:pt>
                <c:pt idx="58">
                  <c:v>1.2192393728204127</c:v>
                </c:pt>
                <c:pt idx="59">
                  <c:v>1.1907748312749207</c:v>
                </c:pt>
                <c:pt idx="60">
                  <c:v>1.1646113567059417</c:v>
                </c:pt>
                <c:pt idx="61">
                  <c:v>1.140496864502047</c:v>
                </c:pt>
                <c:pt idx="62">
                  <c:v>1.1182118061628268</c:v>
                </c:pt>
                <c:pt idx="63">
                  <c:v>1.0975646529978911</c:v>
                </c:pt>
                <c:pt idx="64">
                  <c:v>1.0783879659759421</c:v>
                </c:pt>
                <c:pt idx="65">
                  <c:v>1.0605350123336386</c:v>
                </c:pt>
                <c:pt idx="66">
                  <c:v>1.0438768713069297</c:v>
                </c:pt>
                <c:pt idx="67">
                  <c:v>1.0282999668555644</c:v>
                </c:pt>
                <c:pt idx="68">
                  <c:v>1.0137039676399553</c:v>
                </c:pt>
                <c:pt idx="69">
                  <c:v>1</c:v>
                </c:pt>
                <c:pt idx="70">
                  <c:v>0.96719882159524373</c:v>
                </c:pt>
                <c:pt idx="71">
                  <c:v>0.93899617000083535</c:v>
                </c:pt>
                <c:pt idx="72">
                  <c:v>0.91447253396452466</c:v>
                </c:pt>
                <c:pt idx="73">
                  <c:v>0.8929300910335991</c:v>
                </c:pt>
                <c:pt idx="74">
                  <c:v>0.87383107550355499</c:v>
                </c:pt>
                <c:pt idx="75">
                  <c:v>0.85675526471749119</c:v>
                </c:pt>
                <c:pt idx="76">
                  <c:v>0.84137012873404282</c:v>
                </c:pt>
                <c:pt idx="77">
                  <c:v>0.82740951576527788</c:v>
                </c:pt>
                <c:pt idx="78">
                  <c:v>0.81465819096376568</c:v>
                </c:pt>
                <c:pt idx="79">
                  <c:v>0.80294045572863604</c:v>
                </c:pt>
                <c:pt idx="80">
                  <c:v>0.79211165619735802</c:v>
                </c:pt>
                <c:pt idx="81">
                  <c:v>0.78205176741559146</c:v>
                </c:pt>
                <c:pt idx="82">
                  <c:v>0.77266048914876062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49-41D0-9204-FC058798BFF0}"/>
            </c:ext>
          </c:extLst>
        </c:ser>
        <c:ser>
          <c:idx val="3"/>
          <c:order val="3"/>
          <c:tx>
            <c:strRef>
              <c:f>RTC!$B$50</c:f>
              <c:strCache>
                <c:ptCount val="1"/>
                <c:pt idx="0">
                  <c:v>M(fn,Po,π/4)</c:v>
                </c:pt>
              </c:strCache>
            </c:strRef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RTC!$C$50:$CG$50</c:f>
              <c:numCache>
                <c:formatCode>General</c:formatCode>
                <c:ptCount val="83"/>
                <c:pt idx="0">
                  <c:v>2.1818182479920704E-8</c:v>
                </c:pt>
                <c:pt idx="1">
                  <c:v>1.2885285829841006E-3</c:v>
                </c:pt>
                <c:pt idx="2">
                  <c:v>3.2950119481721194E-3</c:v>
                </c:pt>
                <c:pt idx="3">
                  <c:v>6.2440144033623097E-3</c:v>
                </c:pt>
                <c:pt idx="4">
                  <c:v>1.0158553191859945E-2</c:v>
                </c:pt>
                <c:pt idx="5">
                  <c:v>1.5069602622699301E-2</c:v>
                </c:pt>
                <c:pt idx="6">
                  <c:v>2.1016704876682134E-2</c:v>
                </c:pt>
                <c:pt idx="7">
                  <c:v>2.8048768388947723E-2</c:v>
                </c:pt>
                <c:pt idx="8">
                  <c:v>3.6225083729408088E-2</c:v>
                </c:pt>
                <c:pt idx="9">
                  <c:v>4.5616596356075428E-2</c:v>
                </c:pt>
                <c:pt idx="10">
                  <c:v>5.6307487501055131E-2</c:v>
                </c:pt>
                <c:pt idx="11">
                  <c:v>6.83971296301875E-2</c:v>
                </c:pt>
                <c:pt idx="12">
                  <c:v>8.2002502564154742E-2</c:v>
                </c:pt>
                <c:pt idx="13">
                  <c:v>9.7261182059277002E-2</c:v>
                </c:pt>
                <c:pt idx="14">
                  <c:v>0.11433504662530793</c:v>
                </c:pt>
                <c:pt idx="15">
                  <c:v>0.13341489367348136</c:v>
                </c:pt>
                <c:pt idx="16">
                  <c:v>0.15472621704054584</c:v>
                </c:pt>
                <c:pt idx="17">
                  <c:v>0.17853648058534624</c:v>
                </c:pt>
                <c:pt idx="18">
                  <c:v>0.20516433548851423</c:v>
                </c:pt>
                <c:pt idx="19">
                  <c:v>0.23499138428974772</c:v>
                </c:pt>
                <c:pt idx="20">
                  <c:v>0.26847730985236462</c:v>
                </c:pt>
                <c:pt idx="21">
                  <c:v>0.30617948669159406</c:v>
                </c:pt>
                <c:pt idx="22">
                  <c:v>0.34877860915110864</c:v>
                </c:pt>
                <c:pt idx="23">
                  <c:v>0.39711245078414564</c:v>
                </c:pt>
                <c:pt idx="24">
                  <c:v>0.45222066752110879</c:v>
                </c:pt>
                <c:pt idx="25">
                  <c:v>0.51540462938092035</c:v>
                </c:pt>
                <c:pt idx="26">
                  <c:v>0.58830762840615813</c:v>
                </c:pt>
                <c:pt idx="27">
                  <c:v>0.67302232488870162</c:v>
                </c:pt>
                <c:pt idx="28">
                  <c:v>0.77223333712321429</c:v>
                </c:pt>
                <c:pt idx="29">
                  <c:v>0.88940146434470002</c:v>
                </c:pt>
                <c:pt idx="30">
                  <c:v>1.0289864824494521</c:v>
                </c:pt>
                <c:pt idx="31">
                  <c:v>1.1966724314094623</c:v>
                </c:pt>
                <c:pt idx="32">
                  <c:v>1.3994632574174968</c:v>
                </c:pt>
                <c:pt idx="33">
                  <c:v>1.6452628496952006</c:v>
                </c:pt>
                <c:pt idx="34">
                  <c:v>1.9409529095430136</c:v>
                </c:pt>
                <c:pt idx="35">
                  <c:v>2.286856711332343</c:v>
                </c:pt>
                <c:pt idx="36">
                  <c:v>2.664689739148864</c:v>
                </c:pt>
                <c:pt idx="37">
                  <c:v>3.0210297534050943</c:v>
                </c:pt>
                <c:pt idx="38">
                  <c:v>3.2681466330811526</c:v>
                </c:pt>
                <c:pt idx="39">
                  <c:v>3.3110252196145522</c:v>
                </c:pt>
                <c:pt idx="40">
                  <c:v>3.3156909367168934</c:v>
                </c:pt>
                <c:pt idx="41">
                  <c:v>3.165485129035889</c:v>
                </c:pt>
                <c:pt idx="42">
                  <c:v>2.9379147301897302</c:v>
                </c:pt>
                <c:pt idx="43">
                  <c:v>2.6956469422014004</c:v>
                </c:pt>
                <c:pt idx="44">
                  <c:v>2.4705166769883413</c:v>
                </c:pt>
                <c:pt idx="45">
                  <c:v>2.2731978578150067</c:v>
                </c:pt>
                <c:pt idx="46">
                  <c:v>2.1043137440172504</c:v>
                </c:pt>
                <c:pt idx="47">
                  <c:v>1.9607997258777867</c:v>
                </c:pt>
                <c:pt idx="48">
                  <c:v>1.8387414801727384</c:v>
                </c:pt>
                <c:pt idx="49">
                  <c:v>1.7344475901781762</c:v>
                </c:pt>
                <c:pt idx="50">
                  <c:v>1.6447671953798582</c:v>
                </c:pt>
                <c:pt idx="51">
                  <c:v>1.5671176092543677</c:v>
                </c:pt>
                <c:pt idx="52">
                  <c:v>1.4994159312519777</c:v>
                </c:pt>
                <c:pt idx="53">
                  <c:v>1.4399901776491046</c:v>
                </c:pt>
                <c:pt idx="54">
                  <c:v>1.3874966034904137</c:v>
                </c:pt>
                <c:pt idx="55">
                  <c:v>1.3408506390314692</c:v>
                </c:pt>
                <c:pt idx="56">
                  <c:v>1.2991717638123261</c:v>
                </c:pt>
                <c:pt idx="57">
                  <c:v>1.2617403838170929</c:v>
                </c:pt>
                <c:pt idx="58">
                  <c:v>1.2279643637936826</c:v>
                </c:pt>
                <c:pt idx="59">
                  <c:v>1.1973530893088902</c:v>
                </c:pt>
                <c:pt idx="60">
                  <c:v>1.1694973196907215</c:v>
                </c:pt>
                <c:pt idx="61">
                  <c:v>1.1440534718277999</c:v>
                </c:pt>
                <c:pt idx="62">
                  <c:v>1.1207312935183062</c:v>
                </c:pt>
                <c:pt idx="63">
                  <c:v>1.0992841366401696</c:v>
                </c:pt>
                <c:pt idx="64">
                  <c:v>1.0795012330280616</c:v>
                </c:pt>
                <c:pt idx="65">
                  <c:v>1.0612015212514392</c:v>
                </c:pt>
                <c:pt idx="66">
                  <c:v>1.0442286814174895</c:v>
                </c:pt>
                <c:pt idx="67">
                  <c:v>1.028447116660097</c:v>
                </c:pt>
                <c:pt idx="68">
                  <c:v>1.0137386810967635</c:v>
                </c:pt>
                <c:pt idx="69">
                  <c:v>1</c:v>
                </c:pt>
                <c:pt idx="70">
                  <c:v>0.96740297287939647</c:v>
                </c:pt>
                <c:pt idx="71">
                  <c:v>0.9397179046098656</c:v>
                </c:pt>
                <c:pt idx="72">
                  <c:v>0.91592461846307416</c:v>
                </c:pt>
                <c:pt idx="73">
                  <c:v>0.89526144065932423</c:v>
                </c:pt>
                <c:pt idx="74">
                  <c:v>0.87714892036287673</c:v>
                </c:pt>
                <c:pt idx="75">
                  <c:v>0.86113889543855549</c:v>
                </c:pt>
                <c:pt idx="76">
                  <c:v>0.84687964305359276</c:v>
                </c:pt>
                <c:pt idx="77">
                  <c:v>0.83409151190731656</c:v>
                </c:pt>
                <c:pt idx="78">
                  <c:v>0.82254954889244947</c:v>
                </c:pt>
                <c:pt idx="79">
                  <c:v>0.81207089395729926</c:v>
                </c:pt>
                <c:pt idx="80">
                  <c:v>0.80250548884949624</c:v>
                </c:pt>
                <c:pt idx="81">
                  <c:v>0.79372912964468822</c:v>
                </c:pt>
                <c:pt idx="82">
                  <c:v>0.78563820355372038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49-41D0-9204-FC058798BFF0}"/>
            </c:ext>
          </c:extLst>
        </c:ser>
        <c:ser>
          <c:idx val="4"/>
          <c:order val="4"/>
          <c:tx>
            <c:strRef>
              <c:f>RTC!$B$67</c:f>
              <c:strCache>
                <c:ptCount val="1"/>
                <c:pt idx="0">
                  <c:v>Mreq(Vin_max, Vout,π/2 )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RTC!$C$67:$CG$67</c:f>
              <c:numCache>
                <c:formatCode>General</c:formatCode>
                <c:ptCount val="83"/>
                <c:pt idx="0">
                  <c:v>0.99807854321003453</c:v>
                </c:pt>
                <c:pt idx="1">
                  <c:v>0.99807854321003453</c:v>
                </c:pt>
                <c:pt idx="2">
                  <c:v>0.99807854321003453</c:v>
                </c:pt>
                <c:pt idx="3">
                  <c:v>0.99807854321003453</c:v>
                </c:pt>
                <c:pt idx="4">
                  <c:v>0.99807854321003453</c:v>
                </c:pt>
                <c:pt idx="5">
                  <c:v>0.99807854321003453</c:v>
                </c:pt>
                <c:pt idx="6">
                  <c:v>0.99807854321003453</c:v>
                </c:pt>
                <c:pt idx="7">
                  <c:v>0.99807854321003453</c:v>
                </c:pt>
                <c:pt idx="8">
                  <c:v>0.99807854321003453</c:v>
                </c:pt>
                <c:pt idx="9">
                  <c:v>0.99807854321003453</c:v>
                </c:pt>
                <c:pt idx="10">
                  <c:v>0.99807854321003453</c:v>
                </c:pt>
                <c:pt idx="11">
                  <c:v>0.99807854321003453</c:v>
                </c:pt>
                <c:pt idx="12">
                  <c:v>0.99807854321003453</c:v>
                </c:pt>
                <c:pt idx="13">
                  <c:v>0.99807854321003453</c:v>
                </c:pt>
                <c:pt idx="14">
                  <c:v>0.99807854321003453</c:v>
                </c:pt>
                <c:pt idx="15">
                  <c:v>0.99807854321003453</c:v>
                </c:pt>
                <c:pt idx="16">
                  <c:v>0.99807854321003453</c:v>
                </c:pt>
                <c:pt idx="17">
                  <c:v>0.99807854321003453</c:v>
                </c:pt>
                <c:pt idx="18">
                  <c:v>0.99807854321003453</c:v>
                </c:pt>
                <c:pt idx="19">
                  <c:v>0.99807854321003453</c:v>
                </c:pt>
                <c:pt idx="20">
                  <c:v>0.99807854321003453</c:v>
                </c:pt>
                <c:pt idx="21">
                  <c:v>0.99807854321003453</c:v>
                </c:pt>
                <c:pt idx="22">
                  <c:v>0.99807854321003453</c:v>
                </c:pt>
                <c:pt idx="23">
                  <c:v>0.99807854321003453</c:v>
                </c:pt>
                <c:pt idx="24">
                  <c:v>0.99807854321003453</c:v>
                </c:pt>
                <c:pt idx="25">
                  <c:v>0.99807854321003453</c:v>
                </c:pt>
                <c:pt idx="26">
                  <c:v>0.99807854321003453</c:v>
                </c:pt>
                <c:pt idx="27">
                  <c:v>0.99807854321003453</c:v>
                </c:pt>
                <c:pt idx="28">
                  <c:v>0.99807854321003453</c:v>
                </c:pt>
                <c:pt idx="29">
                  <c:v>0.99807854321003453</c:v>
                </c:pt>
                <c:pt idx="30">
                  <c:v>0.99807854321003453</c:v>
                </c:pt>
                <c:pt idx="31">
                  <c:v>0.99807854321003453</c:v>
                </c:pt>
                <c:pt idx="32">
                  <c:v>0.99807854321003453</c:v>
                </c:pt>
                <c:pt idx="33">
                  <c:v>0.99807854321003453</c:v>
                </c:pt>
                <c:pt idx="34">
                  <c:v>0.99807854321003453</c:v>
                </c:pt>
                <c:pt idx="35">
                  <c:v>0.99807854321003453</c:v>
                </c:pt>
                <c:pt idx="36">
                  <c:v>0.99807854321003453</c:v>
                </c:pt>
                <c:pt idx="37">
                  <c:v>0.99807854321003453</c:v>
                </c:pt>
                <c:pt idx="38">
                  <c:v>0.99807854321003453</c:v>
                </c:pt>
                <c:pt idx="39">
                  <c:v>0.99807854321003453</c:v>
                </c:pt>
                <c:pt idx="40">
                  <c:v>0.99807854321003453</c:v>
                </c:pt>
                <c:pt idx="41">
                  <c:v>0.99807854321003453</c:v>
                </c:pt>
                <c:pt idx="42">
                  <c:v>0.99807854321003453</c:v>
                </c:pt>
                <c:pt idx="43">
                  <c:v>0.99807854321003453</c:v>
                </c:pt>
                <c:pt idx="44">
                  <c:v>0.99807854321003453</c:v>
                </c:pt>
                <c:pt idx="45">
                  <c:v>0.99807854321003453</c:v>
                </c:pt>
                <c:pt idx="46">
                  <c:v>0.99807854321003453</c:v>
                </c:pt>
                <c:pt idx="47">
                  <c:v>0.99807854321003453</c:v>
                </c:pt>
                <c:pt idx="48">
                  <c:v>0.99807854321003453</c:v>
                </c:pt>
                <c:pt idx="49">
                  <c:v>0.99807854321003453</c:v>
                </c:pt>
                <c:pt idx="50">
                  <c:v>0.99807854321003453</c:v>
                </c:pt>
                <c:pt idx="51">
                  <c:v>0.99807854321003453</c:v>
                </c:pt>
                <c:pt idx="52">
                  <c:v>0.99807854321003453</c:v>
                </c:pt>
                <c:pt idx="53">
                  <c:v>0.99807854321003453</c:v>
                </c:pt>
                <c:pt idx="54">
                  <c:v>0.99807854321003453</c:v>
                </c:pt>
                <c:pt idx="55">
                  <c:v>0.99807854321003453</c:v>
                </c:pt>
                <c:pt idx="56">
                  <c:v>0.99807854321003453</c:v>
                </c:pt>
                <c:pt idx="57">
                  <c:v>0.99807854321003453</c:v>
                </c:pt>
                <c:pt idx="58">
                  <c:v>0.99807854321003453</c:v>
                </c:pt>
                <c:pt idx="59">
                  <c:v>0.99807854321003453</c:v>
                </c:pt>
                <c:pt idx="60">
                  <c:v>0.99807854321003453</c:v>
                </c:pt>
                <c:pt idx="61">
                  <c:v>0.99807854321003453</c:v>
                </c:pt>
                <c:pt idx="62">
                  <c:v>0.99807854321003453</c:v>
                </c:pt>
                <c:pt idx="63">
                  <c:v>0.99807854321003453</c:v>
                </c:pt>
                <c:pt idx="64">
                  <c:v>0.99807854321003453</c:v>
                </c:pt>
                <c:pt idx="65">
                  <c:v>0.99807854321003453</c:v>
                </c:pt>
                <c:pt idx="66">
                  <c:v>0.99807854321003453</c:v>
                </c:pt>
                <c:pt idx="67">
                  <c:v>0.99807854321003453</c:v>
                </c:pt>
                <c:pt idx="68">
                  <c:v>0.99807854321003453</c:v>
                </c:pt>
                <c:pt idx="69">
                  <c:v>0.99807854321003453</c:v>
                </c:pt>
                <c:pt idx="70">
                  <c:v>0.99807854321003453</c:v>
                </c:pt>
                <c:pt idx="71">
                  <c:v>0.99807854321003453</c:v>
                </c:pt>
                <c:pt idx="72">
                  <c:v>0.99807854321003453</c:v>
                </c:pt>
                <c:pt idx="73">
                  <c:v>0.99807854321003453</c:v>
                </c:pt>
                <c:pt idx="74">
                  <c:v>0.99807854321003453</c:v>
                </c:pt>
                <c:pt idx="75">
                  <c:v>0.99807854321003453</c:v>
                </c:pt>
                <c:pt idx="76">
                  <c:v>0.99807854321003453</c:v>
                </c:pt>
                <c:pt idx="77">
                  <c:v>0.99807854321003453</c:v>
                </c:pt>
                <c:pt idx="78">
                  <c:v>0.99807854321003453</c:v>
                </c:pt>
                <c:pt idx="79">
                  <c:v>0.99807854321003453</c:v>
                </c:pt>
                <c:pt idx="80">
                  <c:v>0.99807854321003453</c:v>
                </c:pt>
                <c:pt idx="81">
                  <c:v>0.99807854321003453</c:v>
                </c:pt>
                <c:pt idx="82">
                  <c:v>0.99807854321003453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49-41D0-9204-FC058798BFF0}"/>
            </c:ext>
          </c:extLst>
        </c:ser>
        <c:ser>
          <c:idx val="5"/>
          <c:order val="5"/>
          <c:tx>
            <c:strRef>
              <c:f>RTC!$B$69</c:f>
              <c:strCache>
                <c:ptCount val="1"/>
                <c:pt idx="0">
                  <c:v>Mreq(Vin_max, Vout,π/3 )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RTC!$C$69:$CG$69</c:f>
              <c:numCache>
                <c:formatCode>General</c:formatCode>
                <c:ptCount val="83"/>
                <c:pt idx="0">
                  <c:v>1.1524818311894061</c:v>
                </c:pt>
                <c:pt idx="1">
                  <c:v>1.1524818311894061</c:v>
                </c:pt>
                <c:pt idx="2">
                  <c:v>1.1524818311894061</c:v>
                </c:pt>
                <c:pt idx="3">
                  <c:v>1.1524818311894061</c:v>
                </c:pt>
                <c:pt idx="4">
                  <c:v>1.1524818311894061</c:v>
                </c:pt>
                <c:pt idx="5">
                  <c:v>1.1524818311894061</c:v>
                </c:pt>
                <c:pt idx="6">
                  <c:v>1.1524818311894061</c:v>
                </c:pt>
                <c:pt idx="7">
                  <c:v>1.1524818311894061</c:v>
                </c:pt>
                <c:pt idx="8">
                  <c:v>1.1524818311894061</c:v>
                </c:pt>
                <c:pt idx="9">
                  <c:v>1.1524818311894061</c:v>
                </c:pt>
                <c:pt idx="10">
                  <c:v>1.1524818311894061</c:v>
                </c:pt>
                <c:pt idx="11">
                  <c:v>1.1524818311894061</c:v>
                </c:pt>
                <c:pt idx="12">
                  <c:v>1.1524818311894061</c:v>
                </c:pt>
                <c:pt idx="13">
                  <c:v>1.1524818311894061</c:v>
                </c:pt>
                <c:pt idx="14">
                  <c:v>1.1524818311894061</c:v>
                </c:pt>
                <c:pt idx="15">
                  <c:v>1.1524818311894061</c:v>
                </c:pt>
                <c:pt idx="16">
                  <c:v>1.1524818311894061</c:v>
                </c:pt>
                <c:pt idx="17">
                  <c:v>1.1524818311894061</c:v>
                </c:pt>
                <c:pt idx="18">
                  <c:v>1.1524818311894061</c:v>
                </c:pt>
                <c:pt idx="19">
                  <c:v>1.1524818311894061</c:v>
                </c:pt>
                <c:pt idx="20">
                  <c:v>1.1524818311894061</c:v>
                </c:pt>
                <c:pt idx="21">
                  <c:v>1.1524818311894061</c:v>
                </c:pt>
                <c:pt idx="22">
                  <c:v>1.1524818311894061</c:v>
                </c:pt>
                <c:pt idx="23">
                  <c:v>1.1524818311894061</c:v>
                </c:pt>
                <c:pt idx="24">
                  <c:v>1.1524818311894061</c:v>
                </c:pt>
                <c:pt idx="25">
                  <c:v>1.1524818311894061</c:v>
                </c:pt>
                <c:pt idx="26">
                  <c:v>1.1524818311894061</c:v>
                </c:pt>
                <c:pt idx="27">
                  <c:v>1.1524818311894061</c:v>
                </c:pt>
                <c:pt idx="28">
                  <c:v>1.1524818311894061</c:v>
                </c:pt>
                <c:pt idx="29">
                  <c:v>1.1524818311894061</c:v>
                </c:pt>
                <c:pt idx="30">
                  <c:v>1.1524818311894061</c:v>
                </c:pt>
                <c:pt idx="31">
                  <c:v>1.1524818311894061</c:v>
                </c:pt>
                <c:pt idx="32">
                  <c:v>1.1524818311894061</c:v>
                </c:pt>
                <c:pt idx="33">
                  <c:v>1.1524818311894061</c:v>
                </c:pt>
                <c:pt idx="34">
                  <c:v>1.1524818311894061</c:v>
                </c:pt>
                <c:pt idx="35">
                  <c:v>1.1524818311894061</c:v>
                </c:pt>
                <c:pt idx="36">
                  <c:v>1.1524818311894061</c:v>
                </c:pt>
                <c:pt idx="37">
                  <c:v>1.1524818311894061</c:v>
                </c:pt>
                <c:pt idx="38">
                  <c:v>1.1524818311894061</c:v>
                </c:pt>
                <c:pt idx="39">
                  <c:v>1.1524818311894061</c:v>
                </c:pt>
                <c:pt idx="40">
                  <c:v>1.1524818311894061</c:v>
                </c:pt>
                <c:pt idx="41">
                  <c:v>1.1524818311894061</c:v>
                </c:pt>
                <c:pt idx="42">
                  <c:v>1.1524818311894061</c:v>
                </c:pt>
                <c:pt idx="43">
                  <c:v>1.1524818311894061</c:v>
                </c:pt>
                <c:pt idx="44">
                  <c:v>1.1524818311894061</c:v>
                </c:pt>
                <c:pt idx="45">
                  <c:v>1.1524818311894061</c:v>
                </c:pt>
                <c:pt idx="46">
                  <c:v>1.1524818311894061</c:v>
                </c:pt>
                <c:pt idx="47">
                  <c:v>1.1524818311894061</c:v>
                </c:pt>
                <c:pt idx="48">
                  <c:v>1.1524818311894061</c:v>
                </c:pt>
                <c:pt idx="49">
                  <c:v>1.1524818311894061</c:v>
                </c:pt>
                <c:pt idx="50">
                  <c:v>1.1524818311894061</c:v>
                </c:pt>
                <c:pt idx="51">
                  <c:v>1.1524818311894061</c:v>
                </c:pt>
                <c:pt idx="52">
                  <c:v>1.1524818311894061</c:v>
                </c:pt>
                <c:pt idx="53">
                  <c:v>1.1524818311894061</c:v>
                </c:pt>
                <c:pt idx="54">
                  <c:v>1.1524818311894061</c:v>
                </c:pt>
                <c:pt idx="55">
                  <c:v>1.1524818311894061</c:v>
                </c:pt>
                <c:pt idx="56">
                  <c:v>1.1524818311894061</c:v>
                </c:pt>
                <c:pt idx="57">
                  <c:v>1.1524818311894061</c:v>
                </c:pt>
                <c:pt idx="58">
                  <c:v>1.1524818311894061</c:v>
                </c:pt>
                <c:pt idx="59">
                  <c:v>1.1524818311894061</c:v>
                </c:pt>
                <c:pt idx="60">
                  <c:v>1.1524818311894061</c:v>
                </c:pt>
                <c:pt idx="61">
                  <c:v>1.1524818311894061</c:v>
                </c:pt>
                <c:pt idx="62">
                  <c:v>1.1524818311894061</c:v>
                </c:pt>
                <c:pt idx="63">
                  <c:v>1.1524818311894061</c:v>
                </c:pt>
                <c:pt idx="64">
                  <c:v>1.1524818311894061</c:v>
                </c:pt>
                <c:pt idx="65">
                  <c:v>1.1524818311894061</c:v>
                </c:pt>
                <c:pt idx="66">
                  <c:v>1.1524818311894061</c:v>
                </c:pt>
                <c:pt idx="67">
                  <c:v>1.1524818311894061</c:v>
                </c:pt>
                <c:pt idx="68">
                  <c:v>1.1524818311894061</c:v>
                </c:pt>
                <c:pt idx="69">
                  <c:v>1.1524818311894061</c:v>
                </c:pt>
                <c:pt idx="70">
                  <c:v>1.1524818311894061</c:v>
                </c:pt>
                <c:pt idx="71">
                  <c:v>1.1524818311894061</c:v>
                </c:pt>
                <c:pt idx="72">
                  <c:v>1.1524818311894061</c:v>
                </c:pt>
                <c:pt idx="73">
                  <c:v>1.1524818311894061</c:v>
                </c:pt>
                <c:pt idx="74">
                  <c:v>1.1524818311894061</c:v>
                </c:pt>
                <c:pt idx="75">
                  <c:v>1.1524818311894061</c:v>
                </c:pt>
                <c:pt idx="76">
                  <c:v>1.1524818311894061</c:v>
                </c:pt>
                <c:pt idx="77">
                  <c:v>1.1524818311894061</c:v>
                </c:pt>
                <c:pt idx="78">
                  <c:v>1.1524818311894061</c:v>
                </c:pt>
                <c:pt idx="79">
                  <c:v>1.1524818311894061</c:v>
                </c:pt>
                <c:pt idx="80">
                  <c:v>1.1524818311894061</c:v>
                </c:pt>
                <c:pt idx="81">
                  <c:v>1.1524818311894061</c:v>
                </c:pt>
                <c:pt idx="82">
                  <c:v>1.1524818311894061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49-41D0-9204-FC058798BFF0}"/>
            </c:ext>
          </c:extLst>
        </c:ser>
        <c:ser>
          <c:idx val="6"/>
          <c:order val="6"/>
          <c:tx>
            <c:strRef>
              <c:f>RTC!$B$70</c:f>
              <c:strCache>
                <c:ptCount val="1"/>
                <c:pt idx="0">
                  <c:v>Mreq(Vin_max, Vout,π/4 )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  <a:alpha val="99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RTC!$C$70:$CG$70</c:f>
              <c:numCache>
                <c:formatCode>General</c:formatCode>
                <c:ptCount val="83"/>
                <c:pt idx="0">
                  <c:v>1.411496212121212</c:v>
                </c:pt>
                <c:pt idx="1">
                  <c:v>1.411496212121212</c:v>
                </c:pt>
                <c:pt idx="2">
                  <c:v>1.411496212121212</c:v>
                </c:pt>
                <c:pt idx="3">
                  <c:v>1.411496212121212</c:v>
                </c:pt>
                <c:pt idx="4">
                  <c:v>1.411496212121212</c:v>
                </c:pt>
                <c:pt idx="5">
                  <c:v>1.411496212121212</c:v>
                </c:pt>
                <c:pt idx="6">
                  <c:v>1.411496212121212</c:v>
                </c:pt>
                <c:pt idx="7">
                  <c:v>1.411496212121212</c:v>
                </c:pt>
                <c:pt idx="8">
                  <c:v>1.411496212121212</c:v>
                </c:pt>
                <c:pt idx="9">
                  <c:v>1.411496212121212</c:v>
                </c:pt>
                <c:pt idx="10">
                  <c:v>1.411496212121212</c:v>
                </c:pt>
                <c:pt idx="11">
                  <c:v>1.411496212121212</c:v>
                </c:pt>
                <c:pt idx="12">
                  <c:v>1.411496212121212</c:v>
                </c:pt>
                <c:pt idx="13">
                  <c:v>1.411496212121212</c:v>
                </c:pt>
                <c:pt idx="14">
                  <c:v>1.411496212121212</c:v>
                </c:pt>
                <c:pt idx="15">
                  <c:v>1.411496212121212</c:v>
                </c:pt>
                <c:pt idx="16">
                  <c:v>1.411496212121212</c:v>
                </c:pt>
                <c:pt idx="17">
                  <c:v>1.411496212121212</c:v>
                </c:pt>
                <c:pt idx="18">
                  <c:v>1.411496212121212</c:v>
                </c:pt>
                <c:pt idx="19">
                  <c:v>1.411496212121212</c:v>
                </c:pt>
                <c:pt idx="20">
                  <c:v>1.411496212121212</c:v>
                </c:pt>
                <c:pt idx="21">
                  <c:v>1.411496212121212</c:v>
                </c:pt>
                <c:pt idx="22">
                  <c:v>1.411496212121212</c:v>
                </c:pt>
                <c:pt idx="23">
                  <c:v>1.411496212121212</c:v>
                </c:pt>
                <c:pt idx="24">
                  <c:v>1.411496212121212</c:v>
                </c:pt>
                <c:pt idx="25">
                  <c:v>1.411496212121212</c:v>
                </c:pt>
                <c:pt idx="26">
                  <c:v>1.411496212121212</c:v>
                </c:pt>
                <c:pt idx="27">
                  <c:v>1.411496212121212</c:v>
                </c:pt>
                <c:pt idx="28">
                  <c:v>1.411496212121212</c:v>
                </c:pt>
                <c:pt idx="29">
                  <c:v>1.411496212121212</c:v>
                </c:pt>
                <c:pt idx="30">
                  <c:v>1.411496212121212</c:v>
                </c:pt>
                <c:pt idx="31">
                  <c:v>1.411496212121212</c:v>
                </c:pt>
                <c:pt idx="32">
                  <c:v>1.411496212121212</c:v>
                </c:pt>
                <c:pt idx="33">
                  <c:v>1.411496212121212</c:v>
                </c:pt>
                <c:pt idx="34">
                  <c:v>1.411496212121212</c:v>
                </c:pt>
                <c:pt idx="35">
                  <c:v>1.411496212121212</c:v>
                </c:pt>
                <c:pt idx="36">
                  <c:v>1.411496212121212</c:v>
                </c:pt>
                <c:pt idx="37">
                  <c:v>1.411496212121212</c:v>
                </c:pt>
                <c:pt idx="38">
                  <c:v>1.411496212121212</c:v>
                </c:pt>
                <c:pt idx="39">
                  <c:v>1.411496212121212</c:v>
                </c:pt>
                <c:pt idx="40">
                  <c:v>1.411496212121212</c:v>
                </c:pt>
                <c:pt idx="41">
                  <c:v>1.411496212121212</c:v>
                </c:pt>
                <c:pt idx="42">
                  <c:v>1.411496212121212</c:v>
                </c:pt>
                <c:pt idx="43">
                  <c:v>1.411496212121212</c:v>
                </c:pt>
                <c:pt idx="44">
                  <c:v>1.411496212121212</c:v>
                </c:pt>
                <c:pt idx="45">
                  <c:v>1.411496212121212</c:v>
                </c:pt>
                <c:pt idx="46">
                  <c:v>1.411496212121212</c:v>
                </c:pt>
                <c:pt idx="47">
                  <c:v>1.411496212121212</c:v>
                </c:pt>
                <c:pt idx="48">
                  <c:v>1.411496212121212</c:v>
                </c:pt>
                <c:pt idx="49">
                  <c:v>1.411496212121212</c:v>
                </c:pt>
                <c:pt idx="50">
                  <c:v>1.411496212121212</c:v>
                </c:pt>
                <c:pt idx="51">
                  <c:v>1.411496212121212</c:v>
                </c:pt>
                <c:pt idx="52">
                  <c:v>1.411496212121212</c:v>
                </c:pt>
                <c:pt idx="53">
                  <c:v>1.411496212121212</c:v>
                </c:pt>
                <c:pt idx="54">
                  <c:v>1.411496212121212</c:v>
                </c:pt>
                <c:pt idx="55">
                  <c:v>1.411496212121212</c:v>
                </c:pt>
                <c:pt idx="56">
                  <c:v>1.411496212121212</c:v>
                </c:pt>
                <c:pt idx="57">
                  <c:v>1.411496212121212</c:v>
                </c:pt>
                <c:pt idx="58">
                  <c:v>1.411496212121212</c:v>
                </c:pt>
                <c:pt idx="59">
                  <c:v>1.411496212121212</c:v>
                </c:pt>
                <c:pt idx="60">
                  <c:v>1.411496212121212</c:v>
                </c:pt>
                <c:pt idx="61">
                  <c:v>1.411496212121212</c:v>
                </c:pt>
                <c:pt idx="62">
                  <c:v>1.411496212121212</c:v>
                </c:pt>
                <c:pt idx="63">
                  <c:v>1.411496212121212</c:v>
                </c:pt>
                <c:pt idx="64">
                  <c:v>1.411496212121212</c:v>
                </c:pt>
                <c:pt idx="65">
                  <c:v>1.411496212121212</c:v>
                </c:pt>
                <c:pt idx="66">
                  <c:v>1.411496212121212</c:v>
                </c:pt>
                <c:pt idx="67">
                  <c:v>1.411496212121212</c:v>
                </c:pt>
                <c:pt idx="68">
                  <c:v>1.411496212121212</c:v>
                </c:pt>
                <c:pt idx="69">
                  <c:v>1.411496212121212</c:v>
                </c:pt>
                <c:pt idx="70">
                  <c:v>1.411496212121212</c:v>
                </c:pt>
                <c:pt idx="71">
                  <c:v>1.411496212121212</c:v>
                </c:pt>
                <c:pt idx="72">
                  <c:v>1.411496212121212</c:v>
                </c:pt>
                <c:pt idx="73">
                  <c:v>1.411496212121212</c:v>
                </c:pt>
                <c:pt idx="74">
                  <c:v>1.411496212121212</c:v>
                </c:pt>
                <c:pt idx="75">
                  <c:v>1.411496212121212</c:v>
                </c:pt>
                <c:pt idx="76">
                  <c:v>1.411496212121212</c:v>
                </c:pt>
                <c:pt idx="77">
                  <c:v>1.411496212121212</c:v>
                </c:pt>
                <c:pt idx="78">
                  <c:v>1.411496212121212</c:v>
                </c:pt>
                <c:pt idx="79">
                  <c:v>1.411496212121212</c:v>
                </c:pt>
                <c:pt idx="80">
                  <c:v>1.411496212121212</c:v>
                </c:pt>
                <c:pt idx="81">
                  <c:v>1.411496212121212</c:v>
                </c:pt>
                <c:pt idx="82">
                  <c:v>1.411496212121212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B49-41D0-9204-FC058798BFF0}"/>
            </c:ext>
          </c:extLst>
        </c:ser>
        <c:ser>
          <c:idx val="7"/>
          <c:order val="7"/>
          <c:tx>
            <c:strRef>
              <c:f>RTC!$B$29</c:f>
              <c:strCache>
                <c:ptCount val="1"/>
                <c:pt idx="0">
                  <c:v>M.Z(fn)</c:v>
                </c:pt>
              </c:strCache>
            </c:strRef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RTC!$C$29:$CG$29</c:f>
              <c:numCache>
                <c:formatCode>General</c:formatCode>
                <c:ptCount val="8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1921.5837087114464</c:v>
                </c:pt>
                <c:pt idx="39">
                  <c:v>6.499999999999007</c:v>
                </c:pt>
                <c:pt idx="40">
                  <c:v>3.2529106029008803</c:v>
                </c:pt>
                <c:pt idx="41">
                  <c:v>2.4982667258847973</c:v>
                </c:pt>
                <c:pt idx="42">
                  <c:v>2.1257309304031207</c:v>
                </c:pt>
                <c:pt idx="43">
                  <c:v>1.8960339956097945</c:v>
                </c:pt>
                <c:pt idx="44">
                  <c:v>1.7376131616797115</c:v>
                </c:pt>
                <c:pt idx="45">
                  <c:v>1.6206354136476369</c:v>
                </c:pt>
                <c:pt idx="46">
                  <c:v>1.5301841113520063</c:v>
                </c:pt>
                <c:pt idx="47">
                  <c:v>1.4578754741100259</c:v>
                </c:pt>
                <c:pt idx="48">
                  <c:v>1.3985939180008431</c:v>
                </c:pt>
                <c:pt idx="49">
                  <c:v>1.3490213172523273</c:v>
                </c:pt>
                <c:pt idx="50">
                  <c:v>1.3069011244615849</c:v>
                </c:pt>
                <c:pt idx="51">
                  <c:v>1.2706396576782892</c:v>
                </c:pt>
                <c:pt idx="52">
                  <c:v>1.2390760932765092</c:v>
                </c:pt>
                <c:pt idx="53">
                  <c:v>1.2113428740117067</c:v>
                </c:pt>
                <c:pt idx="54">
                  <c:v>1.1867773590313537</c:v>
                </c:pt>
                <c:pt idx="55">
                  <c:v>1.1648638953701158</c:v>
                </c:pt>
                <c:pt idx="56">
                  <c:v>1.1451946731274369</c:v>
                </c:pt>
                <c:pt idx="57">
                  <c:v>1.1274425752841599</c:v>
                </c:pt>
                <c:pt idx="58">
                  <c:v>1.1113419135083229</c:v>
                </c:pt>
                <c:pt idx="59">
                  <c:v>1.0966744827478272</c:v>
                </c:pt>
                <c:pt idx="60">
                  <c:v>1.0832592849365161</c:v>
                </c:pt>
                <c:pt idx="61">
                  <c:v>1.0709448350980926</c:v>
                </c:pt>
                <c:pt idx="62">
                  <c:v>1.0596033179556184</c:v>
                </c:pt>
                <c:pt idx="63">
                  <c:v>1.0491260922331147</c:v>
                </c:pt>
                <c:pt idx="64">
                  <c:v>1.0394201909627108</c:v>
                </c:pt>
                <c:pt idx="65">
                  <c:v>1.0304055677788071</c:v>
                </c:pt>
                <c:pt idx="66">
                  <c:v>1.022012908801389</c:v>
                </c:pt>
                <c:pt idx="67">
                  <c:v>1.0141818781648655</c:v>
                </c:pt>
                <c:pt idx="68">
                  <c:v>1.0068596994765564</c:v>
                </c:pt>
                <c:pt idx="69">
                  <c:v>1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B49-41D0-9204-FC058798BFF0}"/>
            </c:ext>
          </c:extLst>
        </c:ser>
        <c:ser>
          <c:idx val="8"/>
          <c:order val="8"/>
          <c:tx>
            <c:strRef>
              <c:f>RTC!$B$31</c:f>
              <c:strCache>
                <c:ptCount val="1"/>
                <c:pt idx="0">
                  <c:v>Minf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RTC!$C$31:$CG$31</c:f>
              <c:numCache>
                <c:formatCode>General</c:formatCode>
                <c:ptCount val="83"/>
                <c:pt idx="0">
                  <c:v>0.68571428571428572</c:v>
                </c:pt>
                <c:pt idx="1">
                  <c:v>0.68571428571428572</c:v>
                </c:pt>
                <c:pt idx="2">
                  <c:v>0.68571428571428572</c:v>
                </c:pt>
                <c:pt idx="3">
                  <c:v>0.68571428571428572</c:v>
                </c:pt>
                <c:pt idx="4">
                  <c:v>0.68571428571428572</c:v>
                </c:pt>
                <c:pt idx="5">
                  <c:v>0.68571428571428572</c:v>
                </c:pt>
                <c:pt idx="6">
                  <c:v>0.68571428571428572</c:v>
                </c:pt>
                <c:pt idx="7">
                  <c:v>0.68571428571428572</c:v>
                </c:pt>
                <c:pt idx="8">
                  <c:v>0.68571428571428572</c:v>
                </c:pt>
                <c:pt idx="9">
                  <c:v>0.68571428571428572</c:v>
                </c:pt>
                <c:pt idx="10">
                  <c:v>0.68571428571428572</c:v>
                </c:pt>
                <c:pt idx="11">
                  <c:v>0.68571428571428572</c:v>
                </c:pt>
                <c:pt idx="12">
                  <c:v>0.68571428571428572</c:v>
                </c:pt>
                <c:pt idx="13">
                  <c:v>0.68571428571428572</c:v>
                </c:pt>
                <c:pt idx="14">
                  <c:v>0.68571428571428572</c:v>
                </c:pt>
                <c:pt idx="15">
                  <c:v>0.68571428571428572</c:v>
                </c:pt>
                <c:pt idx="16">
                  <c:v>0.68571428571428572</c:v>
                </c:pt>
                <c:pt idx="17">
                  <c:v>0.68571428571428572</c:v>
                </c:pt>
                <c:pt idx="18">
                  <c:v>0.68571428571428572</c:v>
                </c:pt>
                <c:pt idx="19">
                  <c:v>0.68571428571428572</c:v>
                </c:pt>
                <c:pt idx="20">
                  <c:v>0.68571428571428572</c:v>
                </c:pt>
                <c:pt idx="21">
                  <c:v>0.68571428571428572</c:v>
                </c:pt>
                <c:pt idx="22">
                  <c:v>0.68571428571428572</c:v>
                </c:pt>
                <c:pt idx="23">
                  <c:v>0.68571428571428572</c:v>
                </c:pt>
                <c:pt idx="24">
                  <c:v>0.68571428571428572</c:v>
                </c:pt>
                <c:pt idx="25">
                  <c:v>0.68571428571428572</c:v>
                </c:pt>
                <c:pt idx="26">
                  <c:v>0.68571428571428572</c:v>
                </c:pt>
                <c:pt idx="27">
                  <c:v>0.68571428571428572</c:v>
                </c:pt>
                <c:pt idx="28">
                  <c:v>0.68571428571428572</c:v>
                </c:pt>
                <c:pt idx="29">
                  <c:v>0.68571428571428572</c:v>
                </c:pt>
                <c:pt idx="30">
                  <c:v>0.68571428571428572</c:v>
                </c:pt>
                <c:pt idx="31">
                  <c:v>0.68571428571428572</c:v>
                </c:pt>
                <c:pt idx="32">
                  <c:v>0.68571428571428572</c:v>
                </c:pt>
                <c:pt idx="33">
                  <c:v>0.68571428571428572</c:v>
                </c:pt>
                <c:pt idx="34">
                  <c:v>0.68571428571428572</c:v>
                </c:pt>
                <c:pt idx="35">
                  <c:v>0.68571428571428572</c:v>
                </c:pt>
                <c:pt idx="36">
                  <c:v>0.68571428571428572</c:v>
                </c:pt>
                <c:pt idx="37">
                  <c:v>0.68571428571428572</c:v>
                </c:pt>
                <c:pt idx="38">
                  <c:v>0.68571428571428572</c:v>
                </c:pt>
                <c:pt idx="39">
                  <c:v>0.68571428571428572</c:v>
                </c:pt>
                <c:pt idx="40">
                  <c:v>0.68571428571428572</c:v>
                </c:pt>
                <c:pt idx="41">
                  <c:v>0.68571428571428572</c:v>
                </c:pt>
                <c:pt idx="42">
                  <c:v>0.68571428571428572</c:v>
                </c:pt>
                <c:pt idx="43">
                  <c:v>0.68571428571428572</c:v>
                </c:pt>
                <c:pt idx="44">
                  <c:v>0.68571428571428572</c:v>
                </c:pt>
                <c:pt idx="45">
                  <c:v>0.68571428571428572</c:v>
                </c:pt>
                <c:pt idx="46">
                  <c:v>0.68571428571428572</c:v>
                </c:pt>
                <c:pt idx="47">
                  <c:v>0.68571428571428572</c:v>
                </c:pt>
                <c:pt idx="48">
                  <c:v>0.68571428571428572</c:v>
                </c:pt>
                <c:pt idx="49">
                  <c:v>0.68571428571428572</c:v>
                </c:pt>
                <c:pt idx="50">
                  <c:v>0.68571428571428572</c:v>
                </c:pt>
                <c:pt idx="51">
                  <c:v>0.68571428571428572</c:v>
                </c:pt>
                <c:pt idx="52">
                  <c:v>0.68571428571428572</c:v>
                </c:pt>
                <c:pt idx="53">
                  <c:v>0.68571428571428572</c:v>
                </c:pt>
                <c:pt idx="54">
                  <c:v>0.68571428571428572</c:v>
                </c:pt>
                <c:pt idx="55">
                  <c:v>0.68571428571428572</c:v>
                </c:pt>
                <c:pt idx="56">
                  <c:v>0.68571428571428572</c:v>
                </c:pt>
                <c:pt idx="57">
                  <c:v>0.68571428571428572</c:v>
                </c:pt>
                <c:pt idx="58">
                  <c:v>0.68571428571428572</c:v>
                </c:pt>
                <c:pt idx="59">
                  <c:v>0.68571428571428572</c:v>
                </c:pt>
                <c:pt idx="60">
                  <c:v>0.68571428571428572</c:v>
                </c:pt>
                <c:pt idx="61">
                  <c:v>0.68571428571428572</c:v>
                </c:pt>
                <c:pt idx="62">
                  <c:v>0.68571428571428572</c:v>
                </c:pt>
                <c:pt idx="63">
                  <c:v>0.68571428571428572</c:v>
                </c:pt>
                <c:pt idx="64">
                  <c:v>0.68571428571428572</c:v>
                </c:pt>
                <c:pt idx="65">
                  <c:v>0.68571428571428572</c:v>
                </c:pt>
                <c:pt idx="66">
                  <c:v>0.68571428571428572</c:v>
                </c:pt>
                <c:pt idx="67">
                  <c:v>0.68571428571428572</c:v>
                </c:pt>
                <c:pt idx="68">
                  <c:v>0.68571428571428572</c:v>
                </c:pt>
                <c:pt idx="69">
                  <c:v>0.68571428571428572</c:v>
                </c:pt>
                <c:pt idx="70">
                  <c:v>0.68571428571428572</c:v>
                </c:pt>
                <c:pt idx="71">
                  <c:v>0.68571428571428572</c:v>
                </c:pt>
                <c:pt idx="72">
                  <c:v>0.68571428571428572</c:v>
                </c:pt>
                <c:pt idx="73">
                  <c:v>0.68571428571428572</c:v>
                </c:pt>
                <c:pt idx="74">
                  <c:v>0.68571428571428572</c:v>
                </c:pt>
                <c:pt idx="75">
                  <c:v>0.68571428571428572</c:v>
                </c:pt>
                <c:pt idx="76">
                  <c:v>0.68571428571428572</c:v>
                </c:pt>
                <c:pt idx="77">
                  <c:v>0.68571428571428572</c:v>
                </c:pt>
                <c:pt idx="78">
                  <c:v>0.68571428571428572</c:v>
                </c:pt>
                <c:pt idx="79">
                  <c:v>0.68571428571428572</c:v>
                </c:pt>
                <c:pt idx="80">
                  <c:v>0.68571428571428572</c:v>
                </c:pt>
                <c:pt idx="81">
                  <c:v>0.68571428571428572</c:v>
                </c:pt>
                <c:pt idx="82">
                  <c:v>0.68571428571428572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B49-41D0-9204-FC058798B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431"/>
        <c:axId val="1407976511"/>
      </c:scatterChart>
      <c:valAx>
        <c:axId val="1407978431"/>
        <c:scaling>
          <c:orientation val="minMax"/>
          <c:max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fn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6511"/>
        <c:crosses val="autoZero"/>
        <c:crossBetween val="midCat"/>
      </c:valAx>
      <c:valAx>
        <c:axId val="1407976511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Required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8431"/>
        <c:crosses val="autoZero"/>
        <c:crossBetween val="midCat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3048927034525271"/>
          <c:y val="0.16914286715838636"/>
          <c:w val="0.28967610527713278"/>
          <c:h val="0.4208069750739368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ZOOM: Voltage Gain curve vs Minimum Required Gain for PFC </a:t>
            </a:r>
            <a:r>
              <a:rPr lang="en-US" sz="1400" b="1"/>
              <a:t>regulation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@Vin_max</a:t>
            </a:r>
            <a:endParaRPr lang="el-GR" sz="1400" b="1"/>
          </a:p>
        </c:rich>
      </c:tx>
      <c:layout>
        <c:manualLayout>
          <c:xMode val="edge"/>
          <c:yMode val="edge"/>
          <c:x val="0.16144385855423607"/>
          <c:y val="2.3272468193682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537263861003059"/>
          <c:y val="0.14181437112537784"/>
          <c:w val="0.82634951881014873"/>
          <c:h val="0.73685758765226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RTC!$B$28</c:f>
              <c:strCache>
                <c:ptCount val="1"/>
                <c:pt idx="0">
                  <c:v>M.OL(fn)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RTC!$C$28:$CG$28</c:f>
              <c:numCache>
                <c:formatCode>General</c:formatCode>
                <c:ptCount val="83"/>
                <c:pt idx="0">
                  <c:v>2.1818182512396718E-8</c:v>
                </c:pt>
                <c:pt idx="1">
                  <c:v>1.2886419367458453E-3</c:v>
                </c:pt>
                <c:pt idx="2">
                  <c:v>3.2957540508757933E-3</c:v>
                </c:pt>
                <c:pt idx="3">
                  <c:v>6.2466838217803949E-3</c:v>
                </c:pt>
                <c:pt idx="4">
                  <c:v>1.0165634844491057E-2</c:v>
                </c:pt>
                <c:pt idx="5">
                  <c:v>1.5085230808885637E-2</c:v>
                </c:pt>
                <c:pt idx="6">
                  <c:v>2.104720710419164E-2</c:v>
                </c:pt>
                <c:pt idx="7">
                  <c:v>2.8103319587713758E-2</c:v>
                </c:pt>
                <c:pt idx="8">
                  <c:v>3.6316508449383139E-2</c:v>
                </c:pt>
                <c:pt idx="9">
                  <c:v>4.5762367743434479E-2</c:v>
                </c:pt>
                <c:pt idx="10">
                  <c:v>5.6530987448607108E-2</c:v>
                </c:pt>
                <c:pt idx="11">
                  <c:v>6.8729256295102084E-2</c:v>
                </c:pt>
                <c:pt idx="12">
                  <c:v>8.2483742085161724E-2</c:v>
                </c:pt>
                <c:pt idx="13">
                  <c:v>9.7944304735298124E-2</c:v>
                </c:pt>
                <c:pt idx="14">
                  <c:v>0.11528864999952876</c:v>
                </c:pt>
                <c:pt idx="15">
                  <c:v>0.1347281050187448</c:v>
                </c:pt>
                <c:pt idx="16">
                  <c:v>0.15651499980883612</c:v>
                </c:pt>
                <c:pt idx="17">
                  <c:v>0.18095218575415503</c:v>
                </c:pt>
                <c:pt idx="18">
                  <c:v>0.20840543512238516</c:v>
                </c:pt>
                <c:pt idx="19">
                  <c:v>0.23931977930378859</c:v>
                </c:pt>
                <c:pt idx="20">
                  <c:v>0.27424131386312434</c:v>
                </c:pt>
                <c:pt idx="21">
                  <c:v>0.31384671772931005</c:v>
                </c:pt>
                <c:pt idx="22">
                  <c:v>0.3589838574142431</c:v>
                </c:pt>
                <c:pt idx="23">
                  <c:v>0.41072864448862639</c:v>
                </c:pt>
                <c:pt idx="24">
                  <c:v>0.47046626668653735</c:v>
                </c:pt>
                <c:pt idx="25">
                  <c:v>0.54000990781304037</c:v>
                </c:pt>
                <c:pt idx="26">
                  <c:v>0.62177881033586746</c:v>
                </c:pt>
                <c:pt idx="27">
                  <c:v>0.71907341857608231</c:v>
                </c:pt>
                <c:pt idx="28">
                  <c:v>0.83651551018079373</c:v>
                </c:pt>
                <c:pt idx="29">
                  <c:v>0.98078153994784389</c:v>
                </c:pt>
                <c:pt idx="30">
                  <c:v>1.1618855338834528</c:v>
                </c:pt>
                <c:pt idx="31">
                  <c:v>1.3955605407023011</c:v>
                </c:pt>
                <c:pt idx="32">
                  <c:v>1.70801881699095</c:v>
                </c:pt>
                <c:pt idx="33">
                  <c:v>2.1464163817304032</c:v>
                </c:pt>
                <c:pt idx="34">
                  <c:v>2.8049873938594398</c:v>
                </c:pt>
                <c:pt idx="35">
                  <c:v>3.9033273688464369</c:v>
                </c:pt>
                <c:pt idx="36">
                  <c:v>6.098718634915044</c:v>
                </c:pt>
                <c:pt idx="37">
                  <c:v>12.659566924581251</c:v>
                </c:pt>
                <c:pt idx="38">
                  <c:v>1921.5837087114464</c:v>
                </c:pt>
                <c:pt idx="39">
                  <c:v>42.249999999987104</c:v>
                </c:pt>
                <c:pt idx="40">
                  <c:v>10.581427390464974</c:v>
                </c:pt>
                <c:pt idx="41">
                  <c:v>6.2413366336631526</c:v>
                </c:pt>
                <c:pt idx="42">
                  <c:v>4.5187319884725161</c:v>
                </c:pt>
                <c:pt idx="43">
                  <c:v>3.5949449125080415</c:v>
                </c:pt>
                <c:pt idx="44">
                  <c:v>3.0192994996425648</c:v>
                </c:pt>
                <c:pt idx="45">
                  <c:v>2.6264591439688467</c:v>
                </c:pt>
                <c:pt idx="46">
                  <c:v>2.3414634146341284</c:v>
                </c:pt>
                <c:pt idx="47">
                  <c:v>2.1254008980115326</c:v>
                </c:pt>
                <c:pt idx="48">
                  <c:v>1.9560649474689491</c:v>
                </c:pt>
                <c:pt idx="49">
                  <c:v>1.8198585144012047</c:v>
                </c:pt>
                <c:pt idx="50">
                  <c:v>1.7079905491189553</c:v>
                </c:pt>
                <c:pt idx="51">
                  <c:v>1.6145251396647997</c:v>
                </c:pt>
                <c:pt idx="52">
                  <c:v>1.5353095649293769</c:v>
                </c:pt>
                <c:pt idx="53">
                  <c:v>1.4673515584189416</c:v>
                </c:pt>
                <c:pt idx="54">
                  <c:v>1.4084404999094342</c:v>
                </c:pt>
                <c:pt idx="55">
                  <c:v>1.35690789473684</c:v>
                </c:pt>
                <c:pt idx="56">
                  <c:v>1.3114708393594574</c:v>
                </c:pt>
                <c:pt idx="57">
                  <c:v>1.2711267605633787</c:v>
                </c:pt>
                <c:pt idx="58">
                  <c:v>1.2350808487203404</c:v>
                </c:pt>
                <c:pt idx="59">
                  <c:v>1.2026949211102145</c:v>
                </c:pt>
                <c:pt idx="60">
                  <c:v>1.1734506784011727</c:v>
                </c:pt>
                <c:pt idx="61">
                  <c:v>1.1469228398232809</c:v>
                </c:pt>
                <c:pt idx="62">
                  <c:v>1.1227591914225556</c:v>
                </c:pt>
                <c:pt idx="63">
                  <c:v>1.1006655574043258</c:v>
                </c:pt>
                <c:pt idx="64">
                  <c:v>1.080394333380958</c:v>
                </c:pt>
                <c:pt idx="65">
                  <c:v>1.0617356341095658</c:v>
                </c:pt>
                <c:pt idx="66">
                  <c:v>1.0445103857566764</c:v>
                </c:pt>
                <c:pt idx="67">
                  <c:v>1.0285648819980142</c:v>
                </c:pt>
                <c:pt idx="68">
                  <c:v>1.0137664544300213</c:v>
                </c:pt>
                <c:pt idx="69">
                  <c:v>1</c:v>
                </c:pt>
                <c:pt idx="70">
                  <c:v>0.96756638701644149</c:v>
                </c:pt>
                <c:pt idx="71">
                  <c:v>0.94029649207737387</c:v>
                </c:pt>
                <c:pt idx="72">
                  <c:v>0.9170912797089299</c:v>
                </c:pt>
                <c:pt idx="73">
                  <c:v>0.89713972557044763</c:v>
                </c:pt>
                <c:pt idx="74">
                  <c:v>0.87983058019429439</c:v>
                </c:pt>
                <c:pt idx="75">
                  <c:v>0.86469466359597535</c:v>
                </c:pt>
                <c:pt idx="76">
                  <c:v>0.85136604264766635</c:v>
                </c:pt>
                <c:pt idx="77">
                  <c:v>0.83955525874231718</c:v>
                </c:pt>
                <c:pt idx="78">
                  <c:v>0.82903045930975283</c:v>
                </c:pt>
                <c:pt idx="79">
                  <c:v>0.81960384055727298</c:v>
                </c:pt>
                <c:pt idx="80">
                  <c:v>0.81112173694104106</c:v>
                </c:pt>
                <c:pt idx="81">
                  <c:v>0.80345726326884537</c:v>
                </c:pt>
                <c:pt idx="82">
                  <c:v>0.7965047748976446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49-41D0-9204-FC058798BFF0}"/>
            </c:ext>
          </c:extLst>
        </c:ser>
        <c:ser>
          <c:idx val="1"/>
          <c:order val="1"/>
          <c:tx>
            <c:strRef>
              <c:f>RTC!$B$47</c:f>
              <c:strCache>
                <c:ptCount val="1"/>
                <c:pt idx="0">
                  <c:v>M(fn,Po,π/2)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RTC!$C$47:$CG$47</c:f>
              <c:numCache>
                <c:formatCode>General</c:formatCode>
                <c:ptCount val="83"/>
                <c:pt idx="0">
                  <c:v>2.1818182382492675E-8</c:v>
                </c:pt>
                <c:pt idx="1">
                  <c:v>1.2881887010930794E-3</c:v>
                </c:pt>
                <c:pt idx="2">
                  <c:v>3.2927886442313385E-3</c:v>
                </c:pt>
                <c:pt idx="3">
                  <c:v>6.2360266346062031E-3</c:v>
                </c:pt>
                <c:pt idx="4">
                  <c:v>1.0137396704165301E-2</c:v>
                </c:pt>
                <c:pt idx="5">
                  <c:v>1.5023007895528954E-2</c:v>
                </c:pt>
                <c:pt idx="6">
                  <c:v>2.0925987778792478E-2</c:v>
                </c:pt>
                <c:pt idx="7">
                  <c:v>2.7887001276361342E-2</c:v>
                </c:pt>
                <c:pt idx="8">
                  <c:v>3.5954897539339017E-2</c:v>
                </c:pt>
                <c:pt idx="9">
                  <c:v>4.5187500817546217E-2</c:v>
                </c:pt>
                <c:pt idx="10">
                  <c:v>5.5652564835327163E-2</c:v>
                </c:pt>
                <c:pt idx="11">
                  <c:v>6.7428914152122668E-2</c:v>
                </c:pt>
                <c:pt idx="12">
                  <c:v>8.0607800331455051E-2</c:v>
                </c:pt>
                <c:pt idx="13">
                  <c:v>9.5294505365001059E-2</c:v>
                </c:pt>
                <c:pt idx="14">
                  <c:v>0.11161022945863958</c:v>
                </c:pt>
                <c:pt idx="15">
                  <c:v>0.12969430450041747</c:v>
                </c:pt>
                <c:pt idx="16">
                  <c:v>0.14970677740192706</c:v>
                </c:pt>
                <c:pt idx="17">
                  <c:v>0.17183140745740369</c:v>
                </c:pt>
                <c:pt idx="18">
                  <c:v>0.19627911619524036</c:v>
                </c:pt>
                <c:pt idx="19">
                  <c:v>0.22329191235764032</c:v>
                </c:pt>
                <c:pt idx="20">
                  <c:v>0.25314728109657647</c:v>
                </c:pt>
                <c:pt idx="21">
                  <c:v>0.28616296286546417</c:v>
                </c:pt>
                <c:pt idx="22">
                  <c:v>0.32270193381356715</c:v>
                </c:pt>
                <c:pt idx="23">
                  <c:v>0.36317720380577329</c:v>
                </c:pt>
                <c:pt idx="24">
                  <c:v>0.40805572039200749</c:v>
                </c:pt>
                <c:pt idx="25">
                  <c:v>0.45786013065995684</c:v>
                </c:pt>
                <c:pt idx="26">
                  <c:v>0.51316629609248432</c:v>
                </c:pt>
                <c:pt idx="27">
                  <c:v>0.57459312657902117</c:v>
                </c:pt>
                <c:pt idx="28">
                  <c:v>0.64277932160959372</c:v>
                </c:pt>
                <c:pt idx="29">
                  <c:v>0.71833884691119299</c:v>
                </c:pt>
                <c:pt idx="30">
                  <c:v>0.80178354597124124</c:v>
                </c:pt>
                <c:pt idx="31">
                  <c:v>0.89339801137383779</c:v>
                </c:pt>
                <c:pt idx="32">
                  <c:v>0.99305115057053139</c:v>
                </c:pt>
                <c:pt idx="33">
                  <c:v>1.0999361156437204</c:v>
                </c:pt>
                <c:pt idx="34">
                  <c:v>1.2122544795938535</c:v>
                </c:pt>
                <c:pt idx="35">
                  <c:v>1.3269116345880969</c:v>
                </c:pt>
                <c:pt idx="36">
                  <c:v>1.4393666612797296</c:v>
                </c:pt>
                <c:pt idx="37">
                  <c:v>1.5438437181055409</c:v>
                </c:pt>
                <c:pt idx="38">
                  <c:v>1.634075089047597</c:v>
                </c:pt>
                <c:pt idx="39">
                  <c:v>1.6593385553953328</c:v>
                </c:pt>
                <c:pt idx="40">
                  <c:v>1.7224809596753172</c:v>
                </c:pt>
                <c:pt idx="41">
                  <c:v>1.7617858065342098</c:v>
                </c:pt>
                <c:pt idx="42">
                  <c:v>1.7775007606476596</c:v>
                </c:pt>
                <c:pt idx="43">
                  <c:v>1.7723770936820213</c:v>
                </c:pt>
                <c:pt idx="44">
                  <c:v>1.7506688032071991</c:v>
                </c:pt>
                <c:pt idx="45">
                  <c:v>1.7170352094878036</c:v>
                </c:pt>
                <c:pt idx="46">
                  <c:v>1.6757354437264311</c:v>
                </c:pt>
                <c:pt idx="47">
                  <c:v>1.6302254633798372</c:v>
                </c:pt>
                <c:pt idx="48">
                  <c:v>1.5830741957458498</c:v>
                </c:pt>
                <c:pt idx="49">
                  <c:v>1.5360596375513149</c:v>
                </c:pt>
                <c:pt idx="50">
                  <c:v>1.4903324554146884</c:v>
                </c:pt>
                <c:pt idx="51">
                  <c:v>1.446581713956461</c:v>
                </c:pt>
                <c:pt idx="52">
                  <c:v>1.4051745142564538</c:v>
                </c:pt>
                <c:pt idx="53">
                  <c:v>1.3662628198799427</c:v>
                </c:pt>
                <c:pt idx="54">
                  <c:v>1.329860503810347</c:v>
                </c:pt>
                <c:pt idx="55">
                  <c:v>1.2958967576600455</c:v>
                </c:pt>
                <c:pt idx="56">
                  <c:v>1.2642520414530216</c:v>
                </c:pt>
                <c:pt idx="57">
                  <c:v>1.2347816882910965</c:v>
                </c:pt>
                <c:pt idx="58">
                  <c:v>1.2073310266874606</c:v>
                </c:pt>
                <c:pt idx="59">
                  <c:v>1.1817447922027622</c:v>
                </c:pt>
                <c:pt idx="60">
                  <c:v>1.1578727557635651</c:v>
                </c:pt>
                <c:pt idx="61">
                  <c:v>1.1355728820271946</c:v>
                </c:pt>
                <c:pt idx="62">
                  <c:v>1.1147129003379874</c:v>
                </c:pt>
                <c:pt idx="63">
                  <c:v>1.0951708751382412</c:v>
                </c:pt>
                <c:pt idx="64">
                  <c:v>1.0768351626045636</c:v>
                </c:pt>
                <c:pt idx="65">
                  <c:v>1.0596040061373857</c:v>
                </c:pt>
                <c:pt idx="66">
                  <c:v>1.0433849339971508</c:v>
                </c:pt>
                <c:pt idx="67">
                  <c:v>1.0280940632015909</c:v>
                </c:pt>
                <c:pt idx="68">
                  <c:v>1.0136553747908899</c:v>
                </c:pt>
                <c:pt idx="69">
                  <c:v>1</c:v>
                </c:pt>
                <c:pt idx="70">
                  <c:v>0.96691322680906977</c:v>
                </c:pt>
                <c:pt idx="71">
                  <c:v>0.93798852959219836</c:v>
                </c:pt>
                <c:pt idx="72">
                  <c:v>0.91245116941174087</c:v>
                </c:pt>
                <c:pt idx="73">
                  <c:v>0.88969658878492341</c:v>
                </c:pt>
                <c:pt idx="74">
                  <c:v>0.86924871266921189</c:v>
                </c:pt>
                <c:pt idx="75">
                  <c:v>0.85072914348639261</c:v>
                </c:pt>
                <c:pt idx="76">
                  <c:v>0.83383437970660179</c:v>
                </c:pt>
                <c:pt idx="77">
                  <c:v>0.81831887609351994</c:v>
                </c:pt>
                <c:pt idx="78">
                  <c:v>0.80398235120407913</c:v>
                </c:pt>
                <c:pt idx="79">
                  <c:v>0.7906601946781564</c:v>
                </c:pt>
                <c:pt idx="80">
                  <c:v>0.77821615163793834</c:v>
                </c:pt>
                <c:pt idx="81">
                  <c:v>0.76653669311334505</c:v>
                </c:pt>
                <c:pt idx="82">
                  <c:v>0.75552664554189064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49-41D0-9204-FC058798BFF0}"/>
            </c:ext>
          </c:extLst>
        </c:ser>
        <c:ser>
          <c:idx val="2"/>
          <c:order val="2"/>
          <c:tx>
            <c:strRef>
              <c:f>RTC!$B$49</c:f>
              <c:strCache>
                <c:ptCount val="1"/>
                <c:pt idx="0">
                  <c:v>M(fn,Po,π/3)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RTC!$C$49:$CG$49</c:f>
              <c:numCache>
                <c:formatCode>General</c:formatCode>
                <c:ptCount val="83"/>
                <c:pt idx="0">
                  <c:v>2.1818182439325691E-8</c:v>
                </c:pt>
                <c:pt idx="1">
                  <c:v>1.288386932838223E-3</c:v>
                </c:pt>
                <c:pt idx="2">
                  <c:v>3.294085024357045E-3</c:v>
                </c:pt>
                <c:pt idx="3">
                  <c:v>6.2406824378399874E-3</c:v>
                </c:pt>
                <c:pt idx="4">
                  <c:v>1.0149721903320651E-2</c:v>
                </c:pt>
                <c:pt idx="5">
                  <c:v>1.5050135523851146E-2</c:v>
                </c:pt>
                <c:pt idx="6">
                  <c:v>2.0978762930202923E-2</c:v>
                </c:pt>
                <c:pt idx="7">
                  <c:v>2.7981024024538607E-2</c:v>
                </c:pt>
                <c:pt idx="8">
                  <c:v>3.6111767932241016E-2</c:v>
                </c:pt>
                <c:pt idx="9">
                  <c:v>4.5436326096875805E-2</c:v>
                </c:pt>
                <c:pt idx="10">
                  <c:v>5.6031805097773321E-2</c:v>
                </c:pt>
                <c:pt idx="11">
                  <c:v>6.7988664131966317E-2</c:v>
                </c:pt>
                <c:pt idx="12">
                  <c:v>8.1412633661487821E-2</c:v>
                </c:pt>
                <c:pt idx="13">
                  <c:v>9.6427046070027292E-2</c:v>
                </c:pt>
                <c:pt idx="14">
                  <c:v>0.11317566700622338</c:v>
                </c:pt>
                <c:pt idx="15">
                  <c:v>0.13182613823889974</c:v>
                </c:pt>
                <c:pt idx="16">
                  <c:v>0.15257417021874703</c:v>
                </c:pt>
                <c:pt idx="17">
                  <c:v>0.17564865601082363</c:v>
                </c:pt>
                <c:pt idx="18">
                  <c:v>0.20131791842768321</c:v>
                </c:pt>
                <c:pt idx="19">
                  <c:v>0.22989734881129481</c:v>
                </c:pt>
                <c:pt idx="20">
                  <c:v>0.26175874677386279</c:v>
                </c:pt>
                <c:pt idx="21">
                  <c:v>0.29734171889440625</c:v>
                </c:pt>
                <c:pt idx="22">
                  <c:v>0.33716752587048926</c:v>
                </c:pt>
                <c:pt idx="23">
                  <c:v>0.38185574987982207</c:v>
                </c:pt>
                <c:pt idx="24">
                  <c:v>0.4321440215917321</c:v>
                </c:pt>
                <c:pt idx="25">
                  <c:v>0.48891067008148426</c:v>
                </c:pt>
                <c:pt idx="26">
                  <c:v>0.55319928820362751</c:v>
                </c:pt>
                <c:pt idx="27">
                  <c:v>0.62624236450510695</c:v>
                </c:pt>
                <c:pt idx="28">
                  <c:v>0.70947743818119835</c:v>
                </c:pt>
                <c:pt idx="29">
                  <c:v>0.80454211618310545</c:v>
                </c:pt>
                <c:pt idx="30">
                  <c:v>0.91322115987396457</c:v>
                </c:pt>
                <c:pt idx="31">
                  <c:v>1.0372960664446651</c:v>
                </c:pt>
                <c:pt idx="32">
                  <c:v>1.1782121374140366</c:v>
                </c:pt>
                <c:pt idx="33">
                  <c:v>1.3364349780829285</c:v>
                </c:pt>
                <c:pt idx="34">
                  <c:v>1.5103522672564342</c:v>
                </c:pt>
                <c:pt idx="35">
                  <c:v>1.6946933621753784</c:v>
                </c:pt>
                <c:pt idx="36">
                  <c:v>1.8788872930725196</c:v>
                </c:pt>
                <c:pt idx="37">
                  <c:v>2.0466553898913227</c:v>
                </c:pt>
                <c:pt idx="38">
                  <c:v>2.1787661726775815</c:v>
                </c:pt>
                <c:pt idx="39">
                  <c:v>2.2111254628172508</c:v>
                </c:pt>
                <c:pt idx="40">
                  <c:v>2.2733341619235317</c:v>
                </c:pt>
                <c:pt idx="41">
                  <c:v>2.2794758156576145</c:v>
                </c:pt>
                <c:pt idx="42">
                  <c:v>2.2390917769355321</c:v>
                </c:pt>
                <c:pt idx="43">
                  <c:v>2.1671764851446023</c:v>
                </c:pt>
                <c:pt idx="44">
                  <c:v>2.0782664827564985</c:v>
                </c:pt>
                <c:pt idx="45">
                  <c:v>1.9833491584035789</c:v>
                </c:pt>
                <c:pt idx="46">
                  <c:v>1.8894370266624958</c:v>
                </c:pt>
                <c:pt idx="47">
                  <c:v>1.8004036122547353</c:v>
                </c:pt>
                <c:pt idx="48">
                  <c:v>1.7180362951962087</c:v>
                </c:pt>
                <c:pt idx="49">
                  <c:v>1.6428800535467103</c:v>
                </c:pt>
                <c:pt idx="50">
                  <c:v>1.5748033751254678</c:v>
                </c:pt>
                <c:pt idx="51">
                  <c:v>1.5133428875947135</c:v>
                </c:pt>
                <c:pt idx="52">
                  <c:v>1.4579001918992971</c:v>
                </c:pt>
                <c:pt idx="53">
                  <c:v>1.4078482374057375</c:v>
                </c:pt>
                <c:pt idx="54">
                  <c:v>1.3625851213657625</c:v>
                </c:pt>
                <c:pt idx="55">
                  <c:v>1.3215584444011077</c:v>
                </c:pt>
                <c:pt idx="56">
                  <c:v>1.2842737446429706</c:v>
                </c:pt>
                <c:pt idx="57">
                  <c:v>1.2502946995621886</c:v>
                </c:pt>
                <c:pt idx="58">
                  <c:v>1.2192393728204127</c:v>
                </c:pt>
                <c:pt idx="59">
                  <c:v>1.1907748312749207</c:v>
                </c:pt>
                <c:pt idx="60">
                  <c:v>1.1646113567059417</c:v>
                </c:pt>
                <c:pt idx="61">
                  <c:v>1.140496864502047</c:v>
                </c:pt>
                <c:pt idx="62">
                  <c:v>1.1182118061628268</c:v>
                </c:pt>
                <c:pt idx="63">
                  <c:v>1.0975646529978911</c:v>
                </c:pt>
                <c:pt idx="64">
                  <c:v>1.0783879659759421</c:v>
                </c:pt>
                <c:pt idx="65">
                  <c:v>1.0605350123336386</c:v>
                </c:pt>
                <c:pt idx="66">
                  <c:v>1.0438768713069297</c:v>
                </c:pt>
                <c:pt idx="67">
                  <c:v>1.0282999668555644</c:v>
                </c:pt>
                <c:pt idx="68">
                  <c:v>1.0137039676399553</c:v>
                </c:pt>
                <c:pt idx="69">
                  <c:v>1</c:v>
                </c:pt>
                <c:pt idx="70">
                  <c:v>0.96719882159524373</c:v>
                </c:pt>
                <c:pt idx="71">
                  <c:v>0.93899617000083535</c:v>
                </c:pt>
                <c:pt idx="72">
                  <c:v>0.91447253396452466</c:v>
                </c:pt>
                <c:pt idx="73">
                  <c:v>0.8929300910335991</c:v>
                </c:pt>
                <c:pt idx="74">
                  <c:v>0.87383107550355499</c:v>
                </c:pt>
                <c:pt idx="75">
                  <c:v>0.85675526471749119</c:v>
                </c:pt>
                <c:pt idx="76">
                  <c:v>0.84137012873404282</c:v>
                </c:pt>
                <c:pt idx="77">
                  <c:v>0.82740951576527788</c:v>
                </c:pt>
                <c:pt idx="78">
                  <c:v>0.81465819096376568</c:v>
                </c:pt>
                <c:pt idx="79">
                  <c:v>0.80294045572863604</c:v>
                </c:pt>
                <c:pt idx="80">
                  <c:v>0.79211165619735802</c:v>
                </c:pt>
                <c:pt idx="81">
                  <c:v>0.78205176741559146</c:v>
                </c:pt>
                <c:pt idx="82">
                  <c:v>0.77266048914876062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49-41D0-9204-FC058798BFF0}"/>
            </c:ext>
          </c:extLst>
        </c:ser>
        <c:ser>
          <c:idx val="3"/>
          <c:order val="3"/>
          <c:tx>
            <c:strRef>
              <c:f>RTC!$B$50</c:f>
              <c:strCache>
                <c:ptCount val="1"/>
                <c:pt idx="0">
                  <c:v>M(fn,Po,π/4)</c:v>
                </c:pt>
              </c:strCache>
            </c:strRef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RTC!$C$50:$CG$50</c:f>
              <c:numCache>
                <c:formatCode>General</c:formatCode>
                <c:ptCount val="83"/>
                <c:pt idx="0">
                  <c:v>2.1818182479920704E-8</c:v>
                </c:pt>
                <c:pt idx="1">
                  <c:v>1.2885285829841006E-3</c:v>
                </c:pt>
                <c:pt idx="2">
                  <c:v>3.2950119481721194E-3</c:v>
                </c:pt>
                <c:pt idx="3">
                  <c:v>6.2440144033623097E-3</c:v>
                </c:pt>
                <c:pt idx="4">
                  <c:v>1.0158553191859945E-2</c:v>
                </c:pt>
                <c:pt idx="5">
                  <c:v>1.5069602622699301E-2</c:v>
                </c:pt>
                <c:pt idx="6">
                  <c:v>2.1016704876682134E-2</c:v>
                </c:pt>
                <c:pt idx="7">
                  <c:v>2.8048768388947723E-2</c:v>
                </c:pt>
                <c:pt idx="8">
                  <c:v>3.6225083729408088E-2</c:v>
                </c:pt>
                <c:pt idx="9">
                  <c:v>4.5616596356075428E-2</c:v>
                </c:pt>
                <c:pt idx="10">
                  <c:v>5.6307487501055131E-2</c:v>
                </c:pt>
                <c:pt idx="11">
                  <c:v>6.83971296301875E-2</c:v>
                </c:pt>
                <c:pt idx="12">
                  <c:v>8.2002502564154742E-2</c:v>
                </c:pt>
                <c:pt idx="13">
                  <c:v>9.7261182059277002E-2</c:v>
                </c:pt>
                <c:pt idx="14">
                  <c:v>0.11433504662530793</c:v>
                </c:pt>
                <c:pt idx="15">
                  <c:v>0.13341489367348136</c:v>
                </c:pt>
                <c:pt idx="16">
                  <c:v>0.15472621704054584</c:v>
                </c:pt>
                <c:pt idx="17">
                  <c:v>0.17853648058534624</c:v>
                </c:pt>
                <c:pt idx="18">
                  <c:v>0.20516433548851423</c:v>
                </c:pt>
                <c:pt idx="19">
                  <c:v>0.23499138428974772</c:v>
                </c:pt>
                <c:pt idx="20">
                  <c:v>0.26847730985236462</c:v>
                </c:pt>
                <c:pt idx="21">
                  <c:v>0.30617948669159406</c:v>
                </c:pt>
                <c:pt idx="22">
                  <c:v>0.34877860915110864</c:v>
                </c:pt>
                <c:pt idx="23">
                  <c:v>0.39711245078414564</c:v>
                </c:pt>
                <c:pt idx="24">
                  <c:v>0.45222066752110879</c:v>
                </c:pt>
                <c:pt idx="25">
                  <c:v>0.51540462938092035</c:v>
                </c:pt>
                <c:pt idx="26">
                  <c:v>0.58830762840615813</c:v>
                </c:pt>
                <c:pt idx="27">
                  <c:v>0.67302232488870162</c:v>
                </c:pt>
                <c:pt idx="28">
                  <c:v>0.77223333712321429</c:v>
                </c:pt>
                <c:pt idx="29">
                  <c:v>0.88940146434470002</c:v>
                </c:pt>
                <c:pt idx="30">
                  <c:v>1.0289864824494521</c:v>
                </c:pt>
                <c:pt idx="31">
                  <c:v>1.1966724314094623</c:v>
                </c:pt>
                <c:pt idx="32">
                  <c:v>1.3994632574174968</c:v>
                </c:pt>
                <c:pt idx="33">
                  <c:v>1.6452628496952006</c:v>
                </c:pt>
                <c:pt idx="34">
                  <c:v>1.9409529095430136</c:v>
                </c:pt>
                <c:pt idx="35">
                  <c:v>2.286856711332343</c:v>
                </c:pt>
                <c:pt idx="36">
                  <c:v>2.664689739148864</c:v>
                </c:pt>
                <c:pt idx="37">
                  <c:v>3.0210297534050943</c:v>
                </c:pt>
                <c:pt idx="38">
                  <c:v>3.2681466330811526</c:v>
                </c:pt>
                <c:pt idx="39">
                  <c:v>3.3110252196145522</c:v>
                </c:pt>
                <c:pt idx="40">
                  <c:v>3.3156909367168934</c:v>
                </c:pt>
                <c:pt idx="41">
                  <c:v>3.165485129035889</c:v>
                </c:pt>
                <c:pt idx="42">
                  <c:v>2.9379147301897302</c:v>
                </c:pt>
                <c:pt idx="43">
                  <c:v>2.6956469422014004</c:v>
                </c:pt>
                <c:pt idx="44">
                  <c:v>2.4705166769883413</c:v>
                </c:pt>
                <c:pt idx="45">
                  <c:v>2.2731978578150067</c:v>
                </c:pt>
                <c:pt idx="46">
                  <c:v>2.1043137440172504</c:v>
                </c:pt>
                <c:pt idx="47">
                  <c:v>1.9607997258777867</c:v>
                </c:pt>
                <c:pt idx="48">
                  <c:v>1.8387414801727384</c:v>
                </c:pt>
                <c:pt idx="49">
                  <c:v>1.7344475901781762</c:v>
                </c:pt>
                <c:pt idx="50">
                  <c:v>1.6447671953798582</c:v>
                </c:pt>
                <c:pt idx="51">
                  <c:v>1.5671176092543677</c:v>
                </c:pt>
                <c:pt idx="52">
                  <c:v>1.4994159312519777</c:v>
                </c:pt>
                <c:pt idx="53">
                  <c:v>1.4399901776491046</c:v>
                </c:pt>
                <c:pt idx="54">
                  <c:v>1.3874966034904137</c:v>
                </c:pt>
                <c:pt idx="55">
                  <c:v>1.3408506390314692</c:v>
                </c:pt>
                <c:pt idx="56">
                  <c:v>1.2991717638123261</c:v>
                </c:pt>
                <c:pt idx="57">
                  <c:v>1.2617403838170929</c:v>
                </c:pt>
                <c:pt idx="58">
                  <c:v>1.2279643637936826</c:v>
                </c:pt>
                <c:pt idx="59">
                  <c:v>1.1973530893088902</c:v>
                </c:pt>
                <c:pt idx="60">
                  <c:v>1.1694973196907215</c:v>
                </c:pt>
                <c:pt idx="61">
                  <c:v>1.1440534718277999</c:v>
                </c:pt>
                <c:pt idx="62">
                  <c:v>1.1207312935183062</c:v>
                </c:pt>
                <c:pt idx="63">
                  <c:v>1.0992841366401696</c:v>
                </c:pt>
                <c:pt idx="64">
                  <c:v>1.0795012330280616</c:v>
                </c:pt>
                <c:pt idx="65">
                  <c:v>1.0612015212514392</c:v>
                </c:pt>
                <c:pt idx="66">
                  <c:v>1.0442286814174895</c:v>
                </c:pt>
                <c:pt idx="67">
                  <c:v>1.028447116660097</c:v>
                </c:pt>
                <c:pt idx="68">
                  <c:v>1.0137386810967635</c:v>
                </c:pt>
                <c:pt idx="69">
                  <c:v>1</c:v>
                </c:pt>
                <c:pt idx="70">
                  <c:v>0.96740297287939647</c:v>
                </c:pt>
                <c:pt idx="71">
                  <c:v>0.9397179046098656</c:v>
                </c:pt>
                <c:pt idx="72">
                  <c:v>0.91592461846307416</c:v>
                </c:pt>
                <c:pt idx="73">
                  <c:v>0.89526144065932423</c:v>
                </c:pt>
                <c:pt idx="74">
                  <c:v>0.87714892036287673</c:v>
                </c:pt>
                <c:pt idx="75">
                  <c:v>0.86113889543855549</c:v>
                </c:pt>
                <c:pt idx="76">
                  <c:v>0.84687964305359276</c:v>
                </c:pt>
                <c:pt idx="77">
                  <c:v>0.83409151190731656</c:v>
                </c:pt>
                <c:pt idx="78">
                  <c:v>0.82254954889244947</c:v>
                </c:pt>
                <c:pt idx="79">
                  <c:v>0.81207089395729926</c:v>
                </c:pt>
                <c:pt idx="80">
                  <c:v>0.80250548884949624</c:v>
                </c:pt>
                <c:pt idx="81">
                  <c:v>0.79372912964468822</c:v>
                </c:pt>
                <c:pt idx="82">
                  <c:v>0.78563820355372038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49-41D0-9204-FC058798BFF0}"/>
            </c:ext>
          </c:extLst>
        </c:ser>
        <c:ser>
          <c:idx val="4"/>
          <c:order val="4"/>
          <c:tx>
            <c:strRef>
              <c:f>RTC!$B$67</c:f>
              <c:strCache>
                <c:ptCount val="1"/>
                <c:pt idx="0">
                  <c:v>Mreq(Vin_max, Vout,π/2 )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RTC!$C$67:$CG$67</c:f>
              <c:numCache>
                <c:formatCode>General</c:formatCode>
                <c:ptCount val="83"/>
                <c:pt idx="0">
                  <c:v>0.99807854321003453</c:v>
                </c:pt>
                <c:pt idx="1">
                  <c:v>0.99807854321003453</c:v>
                </c:pt>
                <c:pt idx="2">
                  <c:v>0.99807854321003453</c:v>
                </c:pt>
                <c:pt idx="3">
                  <c:v>0.99807854321003453</c:v>
                </c:pt>
                <c:pt idx="4">
                  <c:v>0.99807854321003453</c:v>
                </c:pt>
                <c:pt idx="5">
                  <c:v>0.99807854321003453</c:v>
                </c:pt>
                <c:pt idx="6">
                  <c:v>0.99807854321003453</c:v>
                </c:pt>
                <c:pt idx="7">
                  <c:v>0.99807854321003453</c:v>
                </c:pt>
                <c:pt idx="8">
                  <c:v>0.99807854321003453</c:v>
                </c:pt>
                <c:pt idx="9">
                  <c:v>0.99807854321003453</c:v>
                </c:pt>
                <c:pt idx="10">
                  <c:v>0.99807854321003453</c:v>
                </c:pt>
                <c:pt idx="11">
                  <c:v>0.99807854321003453</c:v>
                </c:pt>
                <c:pt idx="12">
                  <c:v>0.99807854321003453</c:v>
                </c:pt>
                <c:pt idx="13">
                  <c:v>0.99807854321003453</c:v>
                </c:pt>
                <c:pt idx="14">
                  <c:v>0.99807854321003453</c:v>
                </c:pt>
                <c:pt idx="15">
                  <c:v>0.99807854321003453</c:v>
                </c:pt>
                <c:pt idx="16">
                  <c:v>0.99807854321003453</c:v>
                </c:pt>
                <c:pt idx="17">
                  <c:v>0.99807854321003453</c:v>
                </c:pt>
                <c:pt idx="18">
                  <c:v>0.99807854321003453</c:v>
                </c:pt>
                <c:pt idx="19">
                  <c:v>0.99807854321003453</c:v>
                </c:pt>
                <c:pt idx="20">
                  <c:v>0.99807854321003453</c:v>
                </c:pt>
                <c:pt idx="21">
                  <c:v>0.99807854321003453</c:v>
                </c:pt>
                <c:pt idx="22">
                  <c:v>0.99807854321003453</c:v>
                </c:pt>
                <c:pt idx="23">
                  <c:v>0.99807854321003453</c:v>
                </c:pt>
                <c:pt idx="24">
                  <c:v>0.99807854321003453</c:v>
                </c:pt>
                <c:pt idx="25">
                  <c:v>0.99807854321003453</c:v>
                </c:pt>
                <c:pt idx="26">
                  <c:v>0.99807854321003453</c:v>
                </c:pt>
                <c:pt idx="27">
                  <c:v>0.99807854321003453</c:v>
                </c:pt>
                <c:pt idx="28">
                  <c:v>0.99807854321003453</c:v>
                </c:pt>
                <c:pt idx="29">
                  <c:v>0.99807854321003453</c:v>
                </c:pt>
                <c:pt idx="30">
                  <c:v>0.99807854321003453</c:v>
                </c:pt>
                <c:pt idx="31">
                  <c:v>0.99807854321003453</c:v>
                </c:pt>
                <c:pt idx="32">
                  <c:v>0.99807854321003453</c:v>
                </c:pt>
                <c:pt idx="33">
                  <c:v>0.99807854321003453</c:v>
                </c:pt>
                <c:pt idx="34">
                  <c:v>0.99807854321003453</c:v>
                </c:pt>
                <c:pt idx="35">
                  <c:v>0.99807854321003453</c:v>
                </c:pt>
                <c:pt idx="36">
                  <c:v>0.99807854321003453</c:v>
                </c:pt>
                <c:pt idx="37">
                  <c:v>0.99807854321003453</c:v>
                </c:pt>
                <c:pt idx="38">
                  <c:v>0.99807854321003453</c:v>
                </c:pt>
                <c:pt idx="39">
                  <c:v>0.99807854321003453</c:v>
                </c:pt>
                <c:pt idx="40">
                  <c:v>0.99807854321003453</c:v>
                </c:pt>
                <c:pt idx="41">
                  <c:v>0.99807854321003453</c:v>
                </c:pt>
                <c:pt idx="42">
                  <c:v>0.99807854321003453</c:v>
                </c:pt>
                <c:pt idx="43">
                  <c:v>0.99807854321003453</c:v>
                </c:pt>
                <c:pt idx="44">
                  <c:v>0.99807854321003453</c:v>
                </c:pt>
                <c:pt idx="45">
                  <c:v>0.99807854321003453</c:v>
                </c:pt>
                <c:pt idx="46">
                  <c:v>0.99807854321003453</c:v>
                </c:pt>
                <c:pt idx="47">
                  <c:v>0.99807854321003453</c:v>
                </c:pt>
                <c:pt idx="48">
                  <c:v>0.99807854321003453</c:v>
                </c:pt>
                <c:pt idx="49">
                  <c:v>0.99807854321003453</c:v>
                </c:pt>
                <c:pt idx="50">
                  <c:v>0.99807854321003453</c:v>
                </c:pt>
                <c:pt idx="51">
                  <c:v>0.99807854321003453</c:v>
                </c:pt>
                <c:pt idx="52">
                  <c:v>0.99807854321003453</c:v>
                </c:pt>
                <c:pt idx="53">
                  <c:v>0.99807854321003453</c:v>
                </c:pt>
                <c:pt idx="54">
                  <c:v>0.99807854321003453</c:v>
                </c:pt>
                <c:pt idx="55">
                  <c:v>0.99807854321003453</c:v>
                </c:pt>
                <c:pt idx="56">
                  <c:v>0.99807854321003453</c:v>
                </c:pt>
                <c:pt idx="57">
                  <c:v>0.99807854321003453</c:v>
                </c:pt>
                <c:pt idx="58">
                  <c:v>0.99807854321003453</c:v>
                </c:pt>
                <c:pt idx="59">
                  <c:v>0.99807854321003453</c:v>
                </c:pt>
                <c:pt idx="60">
                  <c:v>0.99807854321003453</c:v>
                </c:pt>
                <c:pt idx="61">
                  <c:v>0.99807854321003453</c:v>
                </c:pt>
                <c:pt idx="62">
                  <c:v>0.99807854321003453</c:v>
                </c:pt>
                <c:pt idx="63">
                  <c:v>0.99807854321003453</c:v>
                </c:pt>
                <c:pt idx="64">
                  <c:v>0.99807854321003453</c:v>
                </c:pt>
                <c:pt idx="65">
                  <c:v>0.99807854321003453</c:v>
                </c:pt>
                <c:pt idx="66">
                  <c:v>0.99807854321003453</c:v>
                </c:pt>
                <c:pt idx="67">
                  <c:v>0.99807854321003453</c:v>
                </c:pt>
                <c:pt idx="68">
                  <c:v>0.99807854321003453</c:v>
                </c:pt>
                <c:pt idx="69">
                  <c:v>0.99807854321003453</c:v>
                </c:pt>
                <c:pt idx="70">
                  <c:v>0.99807854321003453</c:v>
                </c:pt>
                <c:pt idx="71">
                  <c:v>0.99807854321003453</c:v>
                </c:pt>
                <c:pt idx="72">
                  <c:v>0.99807854321003453</c:v>
                </c:pt>
                <c:pt idx="73">
                  <c:v>0.99807854321003453</c:v>
                </c:pt>
                <c:pt idx="74">
                  <c:v>0.99807854321003453</c:v>
                </c:pt>
                <c:pt idx="75">
                  <c:v>0.99807854321003453</c:v>
                </c:pt>
                <c:pt idx="76">
                  <c:v>0.99807854321003453</c:v>
                </c:pt>
                <c:pt idx="77">
                  <c:v>0.99807854321003453</c:v>
                </c:pt>
                <c:pt idx="78">
                  <c:v>0.99807854321003453</c:v>
                </c:pt>
                <c:pt idx="79">
                  <c:v>0.99807854321003453</c:v>
                </c:pt>
                <c:pt idx="80">
                  <c:v>0.99807854321003453</c:v>
                </c:pt>
                <c:pt idx="81">
                  <c:v>0.99807854321003453</c:v>
                </c:pt>
                <c:pt idx="82">
                  <c:v>0.99807854321003453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49-41D0-9204-FC058798BFF0}"/>
            </c:ext>
          </c:extLst>
        </c:ser>
        <c:ser>
          <c:idx val="5"/>
          <c:order val="5"/>
          <c:tx>
            <c:strRef>
              <c:f>RTC!$B$69</c:f>
              <c:strCache>
                <c:ptCount val="1"/>
                <c:pt idx="0">
                  <c:v>Mreq(Vin_max, Vout,π/3 )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RTC!$C$69:$CG$69</c:f>
              <c:numCache>
                <c:formatCode>General</c:formatCode>
                <c:ptCount val="83"/>
                <c:pt idx="0">
                  <c:v>1.1524818311894061</c:v>
                </c:pt>
                <c:pt idx="1">
                  <c:v>1.1524818311894061</c:v>
                </c:pt>
                <c:pt idx="2">
                  <c:v>1.1524818311894061</c:v>
                </c:pt>
                <c:pt idx="3">
                  <c:v>1.1524818311894061</c:v>
                </c:pt>
                <c:pt idx="4">
                  <c:v>1.1524818311894061</c:v>
                </c:pt>
                <c:pt idx="5">
                  <c:v>1.1524818311894061</c:v>
                </c:pt>
                <c:pt idx="6">
                  <c:v>1.1524818311894061</c:v>
                </c:pt>
                <c:pt idx="7">
                  <c:v>1.1524818311894061</c:v>
                </c:pt>
                <c:pt idx="8">
                  <c:v>1.1524818311894061</c:v>
                </c:pt>
                <c:pt idx="9">
                  <c:v>1.1524818311894061</c:v>
                </c:pt>
                <c:pt idx="10">
                  <c:v>1.1524818311894061</c:v>
                </c:pt>
                <c:pt idx="11">
                  <c:v>1.1524818311894061</c:v>
                </c:pt>
                <c:pt idx="12">
                  <c:v>1.1524818311894061</c:v>
                </c:pt>
                <c:pt idx="13">
                  <c:v>1.1524818311894061</c:v>
                </c:pt>
                <c:pt idx="14">
                  <c:v>1.1524818311894061</c:v>
                </c:pt>
                <c:pt idx="15">
                  <c:v>1.1524818311894061</c:v>
                </c:pt>
                <c:pt idx="16">
                  <c:v>1.1524818311894061</c:v>
                </c:pt>
                <c:pt idx="17">
                  <c:v>1.1524818311894061</c:v>
                </c:pt>
                <c:pt idx="18">
                  <c:v>1.1524818311894061</c:v>
                </c:pt>
                <c:pt idx="19">
                  <c:v>1.1524818311894061</c:v>
                </c:pt>
                <c:pt idx="20">
                  <c:v>1.1524818311894061</c:v>
                </c:pt>
                <c:pt idx="21">
                  <c:v>1.1524818311894061</c:v>
                </c:pt>
                <c:pt idx="22">
                  <c:v>1.1524818311894061</c:v>
                </c:pt>
                <c:pt idx="23">
                  <c:v>1.1524818311894061</c:v>
                </c:pt>
                <c:pt idx="24">
                  <c:v>1.1524818311894061</c:v>
                </c:pt>
                <c:pt idx="25">
                  <c:v>1.1524818311894061</c:v>
                </c:pt>
                <c:pt idx="26">
                  <c:v>1.1524818311894061</c:v>
                </c:pt>
                <c:pt idx="27">
                  <c:v>1.1524818311894061</c:v>
                </c:pt>
                <c:pt idx="28">
                  <c:v>1.1524818311894061</c:v>
                </c:pt>
                <c:pt idx="29">
                  <c:v>1.1524818311894061</c:v>
                </c:pt>
                <c:pt idx="30">
                  <c:v>1.1524818311894061</c:v>
                </c:pt>
                <c:pt idx="31">
                  <c:v>1.1524818311894061</c:v>
                </c:pt>
                <c:pt idx="32">
                  <c:v>1.1524818311894061</c:v>
                </c:pt>
                <c:pt idx="33">
                  <c:v>1.1524818311894061</c:v>
                </c:pt>
                <c:pt idx="34">
                  <c:v>1.1524818311894061</c:v>
                </c:pt>
                <c:pt idx="35">
                  <c:v>1.1524818311894061</c:v>
                </c:pt>
                <c:pt idx="36">
                  <c:v>1.1524818311894061</c:v>
                </c:pt>
                <c:pt idx="37">
                  <c:v>1.1524818311894061</c:v>
                </c:pt>
                <c:pt idx="38">
                  <c:v>1.1524818311894061</c:v>
                </c:pt>
                <c:pt idx="39">
                  <c:v>1.1524818311894061</c:v>
                </c:pt>
                <c:pt idx="40">
                  <c:v>1.1524818311894061</c:v>
                </c:pt>
                <c:pt idx="41">
                  <c:v>1.1524818311894061</c:v>
                </c:pt>
                <c:pt idx="42">
                  <c:v>1.1524818311894061</c:v>
                </c:pt>
                <c:pt idx="43">
                  <c:v>1.1524818311894061</c:v>
                </c:pt>
                <c:pt idx="44">
                  <c:v>1.1524818311894061</c:v>
                </c:pt>
                <c:pt idx="45">
                  <c:v>1.1524818311894061</c:v>
                </c:pt>
                <c:pt idx="46">
                  <c:v>1.1524818311894061</c:v>
                </c:pt>
                <c:pt idx="47">
                  <c:v>1.1524818311894061</c:v>
                </c:pt>
                <c:pt idx="48">
                  <c:v>1.1524818311894061</c:v>
                </c:pt>
                <c:pt idx="49">
                  <c:v>1.1524818311894061</c:v>
                </c:pt>
                <c:pt idx="50">
                  <c:v>1.1524818311894061</c:v>
                </c:pt>
                <c:pt idx="51">
                  <c:v>1.1524818311894061</c:v>
                </c:pt>
                <c:pt idx="52">
                  <c:v>1.1524818311894061</c:v>
                </c:pt>
                <c:pt idx="53">
                  <c:v>1.1524818311894061</c:v>
                </c:pt>
                <c:pt idx="54">
                  <c:v>1.1524818311894061</c:v>
                </c:pt>
                <c:pt idx="55">
                  <c:v>1.1524818311894061</c:v>
                </c:pt>
                <c:pt idx="56">
                  <c:v>1.1524818311894061</c:v>
                </c:pt>
                <c:pt idx="57">
                  <c:v>1.1524818311894061</c:v>
                </c:pt>
                <c:pt idx="58">
                  <c:v>1.1524818311894061</c:v>
                </c:pt>
                <c:pt idx="59">
                  <c:v>1.1524818311894061</c:v>
                </c:pt>
                <c:pt idx="60">
                  <c:v>1.1524818311894061</c:v>
                </c:pt>
                <c:pt idx="61">
                  <c:v>1.1524818311894061</c:v>
                </c:pt>
                <c:pt idx="62">
                  <c:v>1.1524818311894061</c:v>
                </c:pt>
                <c:pt idx="63">
                  <c:v>1.1524818311894061</c:v>
                </c:pt>
                <c:pt idx="64">
                  <c:v>1.1524818311894061</c:v>
                </c:pt>
                <c:pt idx="65">
                  <c:v>1.1524818311894061</c:v>
                </c:pt>
                <c:pt idx="66">
                  <c:v>1.1524818311894061</c:v>
                </c:pt>
                <c:pt idx="67">
                  <c:v>1.1524818311894061</c:v>
                </c:pt>
                <c:pt idx="68">
                  <c:v>1.1524818311894061</c:v>
                </c:pt>
                <c:pt idx="69">
                  <c:v>1.1524818311894061</c:v>
                </c:pt>
                <c:pt idx="70">
                  <c:v>1.1524818311894061</c:v>
                </c:pt>
                <c:pt idx="71">
                  <c:v>1.1524818311894061</c:v>
                </c:pt>
                <c:pt idx="72">
                  <c:v>1.1524818311894061</c:v>
                </c:pt>
                <c:pt idx="73">
                  <c:v>1.1524818311894061</c:v>
                </c:pt>
                <c:pt idx="74">
                  <c:v>1.1524818311894061</c:v>
                </c:pt>
                <c:pt idx="75">
                  <c:v>1.1524818311894061</c:v>
                </c:pt>
                <c:pt idx="76">
                  <c:v>1.1524818311894061</c:v>
                </c:pt>
                <c:pt idx="77">
                  <c:v>1.1524818311894061</c:v>
                </c:pt>
                <c:pt idx="78">
                  <c:v>1.1524818311894061</c:v>
                </c:pt>
                <c:pt idx="79">
                  <c:v>1.1524818311894061</c:v>
                </c:pt>
                <c:pt idx="80">
                  <c:v>1.1524818311894061</c:v>
                </c:pt>
                <c:pt idx="81">
                  <c:v>1.1524818311894061</c:v>
                </c:pt>
                <c:pt idx="82">
                  <c:v>1.1524818311894061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49-41D0-9204-FC058798BFF0}"/>
            </c:ext>
          </c:extLst>
        </c:ser>
        <c:ser>
          <c:idx val="6"/>
          <c:order val="6"/>
          <c:tx>
            <c:strRef>
              <c:f>RTC!$B$70</c:f>
              <c:strCache>
                <c:ptCount val="1"/>
                <c:pt idx="0">
                  <c:v>Mreq(Vin_max, Vout,π/4 )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  <a:alpha val="99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RTC!$C$70:$CG$70</c:f>
              <c:numCache>
                <c:formatCode>General</c:formatCode>
                <c:ptCount val="83"/>
                <c:pt idx="0">
                  <c:v>1.411496212121212</c:v>
                </c:pt>
                <c:pt idx="1">
                  <c:v>1.411496212121212</c:v>
                </c:pt>
                <c:pt idx="2">
                  <c:v>1.411496212121212</c:v>
                </c:pt>
                <c:pt idx="3">
                  <c:v>1.411496212121212</c:v>
                </c:pt>
                <c:pt idx="4">
                  <c:v>1.411496212121212</c:v>
                </c:pt>
                <c:pt idx="5">
                  <c:v>1.411496212121212</c:v>
                </c:pt>
                <c:pt idx="6">
                  <c:v>1.411496212121212</c:v>
                </c:pt>
                <c:pt idx="7">
                  <c:v>1.411496212121212</c:v>
                </c:pt>
                <c:pt idx="8">
                  <c:v>1.411496212121212</c:v>
                </c:pt>
                <c:pt idx="9">
                  <c:v>1.411496212121212</c:v>
                </c:pt>
                <c:pt idx="10">
                  <c:v>1.411496212121212</c:v>
                </c:pt>
                <c:pt idx="11">
                  <c:v>1.411496212121212</c:v>
                </c:pt>
                <c:pt idx="12">
                  <c:v>1.411496212121212</c:v>
                </c:pt>
                <c:pt idx="13">
                  <c:v>1.411496212121212</c:v>
                </c:pt>
                <c:pt idx="14">
                  <c:v>1.411496212121212</c:v>
                </c:pt>
                <c:pt idx="15">
                  <c:v>1.411496212121212</c:v>
                </c:pt>
                <c:pt idx="16">
                  <c:v>1.411496212121212</c:v>
                </c:pt>
                <c:pt idx="17">
                  <c:v>1.411496212121212</c:v>
                </c:pt>
                <c:pt idx="18">
                  <c:v>1.411496212121212</c:v>
                </c:pt>
                <c:pt idx="19">
                  <c:v>1.411496212121212</c:v>
                </c:pt>
                <c:pt idx="20">
                  <c:v>1.411496212121212</c:v>
                </c:pt>
                <c:pt idx="21">
                  <c:v>1.411496212121212</c:v>
                </c:pt>
                <c:pt idx="22">
                  <c:v>1.411496212121212</c:v>
                </c:pt>
                <c:pt idx="23">
                  <c:v>1.411496212121212</c:v>
                </c:pt>
                <c:pt idx="24">
                  <c:v>1.411496212121212</c:v>
                </c:pt>
                <c:pt idx="25">
                  <c:v>1.411496212121212</c:v>
                </c:pt>
                <c:pt idx="26">
                  <c:v>1.411496212121212</c:v>
                </c:pt>
                <c:pt idx="27">
                  <c:v>1.411496212121212</c:v>
                </c:pt>
                <c:pt idx="28">
                  <c:v>1.411496212121212</c:v>
                </c:pt>
                <c:pt idx="29">
                  <c:v>1.411496212121212</c:v>
                </c:pt>
                <c:pt idx="30">
                  <c:v>1.411496212121212</c:v>
                </c:pt>
                <c:pt idx="31">
                  <c:v>1.411496212121212</c:v>
                </c:pt>
                <c:pt idx="32">
                  <c:v>1.411496212121212</c:v>
                </c:pt>
                <c:pt idx="33">
                  <c:v>1.411496212121212</c:v>
                </c:pt>
                <c:pt idx="34">
                  <c:v>1.411496212121212</c:v>
                </c:pt>
                <c:pt idx="35">
                  <c:v>1.411496212121212</c:v>
                </c:pt>
                <c:pt idx="36">
                  <c:v>1.411496212121212</c:v>
                </c:pt>
                <c:pt idx="37">
                  <c:v>1.411496212121212</c:v>
                </c:pt>
                <c:pt idx="38">
                  <c:v>1.411496212121212</c:v>
                </c:pt>
                <c:pt idx="39">
                  <c:v>1.411496212121212</c:v>
                </c:pt>
                <c:pt idx="40">
                  <c:v>1.411496212121212</c:v>
                </c:pt>
                <c:pt idx="41">
                  <c:v>1.411496212121212</c:v>
                </c:pt>
                <c:pt idx="42">
                  <c:v>1.411496212121212</c:v>
                </c:pt>
                <c:pt idx="43">
                  <c:v>1.411496212121212</c:v>
                </c:pt>
                <c:pt idx="44">
                  <c:v>1.411496212121212</c:v>
                </c:pt>
                <c:pt idx="45">
                  <c:v>1.411496212121212</c:v>
                </c:pt>
                <c:pt idx="46">
                  <c:v>1.411496212121212</c:v>
                </c:pt>
                <c:pt idx="47">
                  <c:v>1.411496212121212</c:v>
                </c:pt>
                <c:pt idx="48">
                  <c:v>1.411496212121212</c:v>
                </c:pt>
                <c:pt idx="49">
                  <c:v>1.411496212121212</c:v>
                </c:pt>
                <c:pt idx="50">
                  <c:v>1.411496212121212</c:v>
                </c:pt>
                <c:pt idx="51">
                  <c:v>1.411496212121212</c:v>
                </c:pt>
                <c:pt idx="52">
                  <c:v>1.411496212121212</c:v>
                </c:pt>
                <c:pt idx="53">
                  <c:v>1.411496212121212</c:v>
                </c:pt>
                <c:pt idx="54">
                  <c:v>1.411496212121212</c:v>
                </c:pt>
                <c:pt idx="55">
                  <c:v>1.411496212121212</c:v>
                </c:pt>
                <c:pt idx="56">
                  <c:v>1.411496212121212</c:v>
                </c:pt>
                <c:pt idx="57">
                  <c:v>1.411496212121212</c:v>
                </c:pt>
                <c:pt idx="58">
                  <c:v>1.411496212121212</c:v>
                </c:pt>
                <c:pt idx="59">
                  <c:v>1.411496212121212</c:v>
                </c:pt>
                <c:pt idx="60">
                  <c:v>1.411496212121212</c:v>
                </c:pt>
                <c:pt idx="61">
                  <c:v>1.411496212121212</c:v>
                </c:pt>
                <c:pt idx="62">
                  <c:v>1.411496212121212</c:v>
                </c:pt>
                <c:pt idx="63">
                  <c:v>1.411496212121212</c:v>
                </c:pt>
                <c:pt idx="64">
                  <c:v>1.411496212121212</c:v>
                </c:pt>
                <c:pt idx="65">
                  <c:v>1.411496212121212</c:v>
                </c:pt>
                <c:pt idx="66">
                  <c:v>1.411496212121212</c:v>
                </c:pt>
                <c:pt idx="67">
                  <c:v>1.411496212121212</c:v>
                </c:pt>
                <c:pt idx="68">
                  <c:v>1.411496212121212</c:v>
                </c:pt>
                <c:pt idx="69">
                  <c:v>1.411496212121212</c:v>
                </c:pt>
                <c:pt idx="70">
                  <c:v>1.411496212121212</c:v>
                </c:pt>
                <c:pt idx="71">
                  <c:v>1.411496212121212</c:v>
                </c:pt>
                <c:pt idx="72">
                  <c:v>1.411496212121212</c:v>
                </c:pt>
                <c:pt idx="73">
                  <c:v>1.411496212121212</c:v>
                </c:pt>
                <c:pt idx="74">
                  <c:v>1.411496212121212</c:v>
                </c:pt>
                <c:pt idx="75">
                  <c:v>1.411496212121212</c:v>
                </c:pt>
                <c:pt idx="76">
                  <c:v>1.411496212121212</c:v>
                </c:pt>
                <c:pt idx="77">
                  <c:v>1.411496212121212</c:v>
                </c:pt>
                <c:pt idx="78">
                  <c:v>1.411496212121212</c:v>
                </c:pt>
                <c:pt idx="79">
                  <c:v>1.411496212121212</c:v>
                </c:pt>
                <c:pt idx="80">
                  <c:v>1.411496212121212</c:v>
                </c:pt>
                <c:pt idx="81">
                  <c:v>1.411496212121212</c:v>
                </c:pt>
                <c:pt idx="82">
                  <c:v>1.411496212121212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B49-41D0-9204-FC058798BFF0}"/>
            </c:ext>
          </c:extLst>
        </c:ser>
        <c:ser>
          <c:idx val="7"/>
          <c:order val="7"/>
          <c:tx>
            <c:strRef>
              <c:f>RTC!$B$29</c:f>
              <c:strCache>
                <c:ptCount val="1"/>
                <c:pt idx="0">
                  <c:v>M.Z(fn)</c:v>
                </c:pt>
              </c:strCache>
            </c:strRef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RTC!$C$29:$CG$29</c:f>
              <c:numCache>
                <c:formatCode>General</c:formatCode>
                <c:ptCount val="8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1921.5837087114464</c:v>
                </c:pt>
                <c:pt idx="39">
                  <c:v>6.499999999999007</c:v>
                </c:pt>
                <c:pt idx="40">
                  <c:v>3.2529106029008803</c:v>
                </c:pt>
                <c:pt idx="41">
                  <c:v>2.4982667258847973</c:v>
                </c:pt>
                <c:pt idx="42">
                  <c:v>2.1257309304031207</c:v>
                </c:pt>
                <c:pt idx="43">
                  <c:v>1.8960339956097945</c:v>
                </c:pt>
                <c:pt idx="44">
                  <c:v>1.7376131616797115</c:v>
                </c:pt>
                <c:pt idx="45">
                  <c:v>1.6206354136476369</c:v>
                </c:pt>
                <c:pt idx="46">
                  <c:v>1.5301841113520063</c:v>
                </c:pt>
                <c:pt idx="47">
                  <c:v>1.4578754741100259</c:v>
                </c:pt>
                <c:pt idx="48">
                  <c:v>1.3985939180008431</c:v>
                </c:pt>
                <c:pt idx="49">
                  <c:v>1.3490213172523273</c:v>
                </c:pt>
                <c:pt idx="50">
                  <c:v>1.3069011244615849</c:v>
                </c:pt>
                <c:pt idx="51">
                  <c:v>1.2706396576782892</c:v>
                </c:pt>
                <c:pt idx="52">
                  <c:v>1.2390760932765092</c:v>
                </c:pt>
                <c:pt idx="53">
                  <c:v>1.2113428740117067</c:v>
                </c:pt>
                <c:pt idx="54">
                  <c:v>1.1867773590313537</c:v>
                </c:pt>
                <c:pt idx="55">
                  <c:v>1.1648638953701158</c:v>
                </c:pt>
                <c:pt idx="56">
                  <c:v>1.1451946731274369</c:v>
                </c:pt>
                <c:pt idx="57">
                  <c:v>1.1274425752841599</c:v>
                </c:pt>
                <c:pt idx="58">
                  <c:v>1.1113419135083229</c:v>
                </c:pt>
                <c:pt idx="59">
                  <c:v>1.0966744827478272</c:v>
                </c:pt>
                <c:pt idx="60">
                  <c:v>1.0832592849365161</c:v>
                </c:pt>
                <c:pt idx="61">
                  <c:v>1.0709448350980926</c:v>
                </c:pt>
                <c:pt idx="62">
                  <c:v>1.0596033179556184</c:v>
                </c:pt>
                <c:pt idx="63">
                  <c:v>1.0491260922331147</c:v>
                </c:pt>
                <c:pt idx="64">
                  <c:v>1.0394201909627108</c:v>
                </c:pt>
                <c:pt idx="65">
                  <c:v>1.0304055677788071</c:v>
                </c:pt>
                <c:pt idx="66">
                  <c:v>1.022012908801389</c:v>
                </c:pt>
                <c:pt idx="67">
                  <c:v>1.0141818781648655</c:v>
                </c:pt>
                <c:pt idx="68">
                  <c:v>1.0068596994765564</c:v>
                </c:pt>
                <c:pt idx="69">
                  <c:v>1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B49-41D0-9204-FC058798BFF0}"/>
            </c:ext>
          </c:extLst>
        </c:ser>
        <c:ser>
          <c:idx val="8"/>
          <c:order val="8"/>
          <c:tx>
            <c:strRef>
              <c:f>RTC!$B$31</c:f>
              <c:strCache>
                <c:ptCount val="1"/>
                <c:pt idx="0">
                  <c:v>Minf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RTC!$C$31:$CG$31</c:f>
              <c:numCache>
                <c:formatCode>General</c:formatCode>
                <c:ptCount val="83"/>
                <c:pt idx="0">
                  <c:v>0.68571428571428572</c:v>
                </c:pt>
                <c:pt idx="1">
                  <c:v>0.68571428571428572</c:v>
                </c:pt>
                <c:pt idx="2">
                  <c:v>0.68571428571428572</c:v>
                </c:pt>
                <c:pt idx="3">
                  <c:v>0.68571428571428572</c:v>
                </c:pt>
                <c:pt idx="4">
                  <c:v>0.68571428571428572</c:v>
                </c:pt>
                <c:pt idx="5">
                  <c:v>0.68571428571428572</c:v>
                </c:pt>
                <c:pt idx="6">
                  <c:v>0.68571428571428572</c:v>
                </c:pt>
                <c:pt idx="7">
                  <c:v>0.68571428571428572</c:v>
                </c:pt>
                <c:pt idx="8">
                  <c:v>0.68571428571428572</c:v>
                </c:pt>
                <c:pt idx="9">
                  <c:v>0.68571428571428572</c:v>
                </c:pt>
                <c:pt idx="10">
                  <c:v>0.68571428571428572</c:v>
                </c:pt>
                <c:pt idx="11">
                  <c:v>0.68571428571428572</c:v>
                </c:pt>
                <c:pt idx="12">
                  <c:v>0.68571428571428572</c:v>
                </c:pt>
                <c:pt idx="13">
                  <c:v>0.68571428571428572</c:v>
                </c:pt>
                <c:pt idx="14">
                  <c:v>0.68571428571428572</c:v>
                </c:pt>
                <c:pt idx="15">
                  <c:v>0.68571428571428572</c:v>
                </c:pt>
                <c:pt idx="16">
                  <c:v>0.68571428571428572</c:v>
                </c:pt>
                <c:pt idx="17">
                  <c:v>0.68571428571428572</c:v>
                </c:pt>
                <c:pt idx="18">
                  <c:v>0.68571428571428572</c:v>
                </c:pt>
                <c:pt idx="19">
                  <c:v>0.68571428571428572</c:v>
                </c:pt>
                <c:pt idx="20">
                  <c:v>0.68571428571428572</c:v>
                </c:pt>
                <c:pt idx="21">
                  <c:v>0.68571428571428572</c:v>
                </c:pt>
                <c:pt idx="22">
                  <c:v>0.68571428571428572</c:v>
                </c:pt>
                <c:pt idx="23">
                  <c:v>0.68571428571428572</c:v>
                </c:pt>
                <c:pt idx="24">
                  <c:v>0.68571428571428572</c:v>
                </c:pt>
                <c:pt idx="25">
                  <c:v>0.68571428571428572</c:v>
                </c:pt>
                <c:pt idx="26">
                  <c:v>0.68571428571428572</c:v>
                </c:pt>
                <c:pt idx="27">
                  <c:v>0.68571428571428572</c:v>
                </c:pt>
                <c:pt idx="28">
                  <c:v>0.68571428571428572</c:v>
                </c:pt>
                <c:pt idx="29">
                  <c:v>0.68571428571428572</c:v>
                </c:pt>
                <c:pt idx="30">
                  <c:v>0.68571428571428572</c:v>
                </c:pt>
                <c:pt idx="31">
                  <c:v>0.68571428571428572</c:v>
                </c:pt>
                <c:pt idx="32">
                  <c:v>0.68571428571428572</c:v>
                </c:pt>
                <c:pt idx="33">
                  <c:v>0.68571428571428572</c:v>
                </c:pt>
                <c:pt idx="34">
                  <c:v>0.68571428571428572</c:v>
                </c:pt>
                <c:pt idx="35">
                  <c:v>0.68571428571428572</c:v>
                </c:pt>
                <c:pt idx="36">
                  <c:v>0.68571428571428572</c:v>
                </c:pt>
                <c:pt idx="37">
                  <c:v>0.68571428571428572</c:v>
                </c:pt>
                <c:pt idx="38">
                  <c:v>0.68571428571428572</c:v>
                </c:pt>
                <c:pt idx="39">
                  <c:v>0.68571428571428572</c:v>
                </c:pt>
                <c:pt idx="40">
                  <c:v>0.68571428571428572</c:v>
                </c:pt>
                <c:pt idx="41">
                  <c:v>0.68571428571428572</c:v>
                </c:pt>
                <c:pt idx="42">
                  <c:v>0.68571428571428572</c:v>
                </c:pt>
                <c:pt idx="43">
                  <c:v>0.68571428571428572</c:v>
                </c:pt>
                <c:pt idx="44">
                  <c:v>0.68571428571428572</c:v>
                </c:pt>
                <c:pt idx="45">
                  <c:v>0.68571428571428572</c:v>
                </c:pt>
                <c:pt idx="46">
                  <c:v>0.68571428571428572</c:v>
                </c:pt>
                <c:pt idx="47">
                  <c:v>0.68571428571428572</c:v>
                </c:pt>
                <c:pt idx="48">
                  <c:v>0.68571428571428572</c:v>
                </c:pt>
                <c:pt idx="49">
                  <c:v>0.68571428571428572</c:v>
                </c:pt>
                <c:pt idx="50">
                  <c:v>0.68571428571428572</c:v>
                </c:pt>
                <c:pt idx="51">
                  <c:v>0.68571428571428572</c:v>
                </c:pt>
                <c:pt idx="52">
                  <c:v>0.68571428571428572</c:v>
                </c:pt>
                <c:pt idx="53">
                  <c:v>0.68571428571428572</c:v>
                </c:pt>
                <c:pt idx="54">
                  <c:v>0.68571428571428572</c:v>
                </c:pt>
                <c:pt idx="55">
                  <c:v>0.68571428571428572</c:v>
                </c:pt>
                <c:pt idx="56">
                  <c:v>0.68571428571428572</c:v>
                </c:pt>
                <c:pt idx="57">
                  <c:v>0.68571428571428572</c:v>
                </c:pt>
                <c:pt idx="58">
                  <c:v>0.68571428571428572</c:v>
                </c:pt>
                <c:pt idx="59">
                  <c:v>0.68571428571428572</c:v>
                </c:pt>
                <c:pt idx="60">
                  <c:v>0.68571428571428572</c:v>
                </c:pt>
                <c:pt idx="61">
                  <c:v>0.68571428571428572</c:v>
                </c:pt>
                <c:pt idx="62">
                  <c:v>0.68571428571428572</c:v>
                </c:pt>
                <c:pt idx="63">
                  <c:v>0.68571428571428572</c:v>
                </c:pt>
                <c:pt idx="64">
                  <c:v>0.68571428571428572</c:v>
                </c:pt>
                <c:pt idx="65">
                  <c:v>0.68571428571428572</c:v>
                </c:pt>
                <c:pt idx="66">
                  <c:v>0.68571428571428572</c:v>
                </c:pt>
                <c:pt idx="67">
                  <c:v>0.68571428571428572</c:v>
                </c:pt>
                <c:pt idx="68">
                  <c:v>0.68571428571428572</c:v>
                </c:pt>
                <c:pt idx="69">
                  <c:v>0.68571428571428572</c:v>
                </c:pt>
                <c:pt idx="70">
                  <c:v>0.68571428571428572</c:v>
                </c:pt>
                <c:pt idx="71">
                  <c:v>0.68571428571428572</c:v>
                </c:pt>
                <c:pt idx="72">
                  <c:v>0.68571428571428572</c:v>
                </c:pt>
                <c:pt idx="73">
                  <c:v>0.68571428571428572</c:v>
                </c:pt>
                <c:pt idx="74">
                  <c:v>0.68571428571428572</c:v>
                </c:pt>
                <c:pt idx="75">
                  <c:v>0.68571428571428572</c:v>
                </c:pt>
                <c:pt idx="76">
                  <c:v>0.68571428571428572</c:v>
                </c:pt>
                <c:pt idx="77">
                  <c:v>0.68571428571428572</c:v>
                </c:pt>
                <c:pt idx="78">
                  <c:v>0.68571428571428572</c:v>
                </c:pt>
                <c:pt idx="79">
                  <c:v>0.68571428571428572</c:v>
                </c:pt>
                <c:pt idx="80">
                  <c:v>0.68571428571428572</c:v>
                </c:pt>
                <c:pt idx="81">
                  <c:v>0.68571428571428572</c:v>
                </c:pt>
                <c:pt idx="82">
                  <c:v>0.68571428571428572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B49-41D0-9204-FC058798B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431"/>
        <c:axId val="1407976511"/>
      </c:scatterChart>
      <c:valAx>
        <c:axId val="1407978431"/>
        <c:scaling>
          <c:orientation val="minMax"/>
          <c:max val="1"/>
          <c:min val="0.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fn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6511"/>
        <c:crosses val="autoZero"/>
        <c:crossBetween val="midCat"/>
      </c:valAx>
      <c:valAx>
        <c:axId val="1407976511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Required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8431"/>
        <c:crosses val="autoZero"/>
        <c:crossBetween val="midCat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3048927034525271"/>
          <c:y val="0.16914286715838636"/>
          <c:w val="0.28967610527713278"/>
          <c:h val="0.4208069750739368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Output Power on Half Cycle  vs Load </a:t>
            </a:r>
            <a:endParaRPr lang="el-GR"/>
          </a:p>
        </c:rich>
      </c:tx>
      <c:layout>
        <c:manualLayout>
          <c:xMode val="edge"/>
          <c:yMode val="edge"/>
          <c:x val="0.31295062977928945"/>
          <c:y val="4.36828037487984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537270341207349"/>
          <c:y val="0.121518191534268"/>
          <c:w val="0.77827633917469763"/>
          <c:h val="0.73316373728029605"/>
        </c:manualLayout>
      </c:layout>
      <c:scatterChart>
        <c:scatterStyle val="smoothMarker"/>
        <c:varyColors val="0"/>
        <c:ser>
          <c:idx val="2"/>
          <c:order val="0"/>
          <c:tx>
            <c:strRef>
              <c:f>RTC!$B$19</c:f>
              <c:strCache>
                <c:ptCount val="1"/>
                <c:pt idx="0">
                  <c:v>P(100% Po,θ 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RTC!$C$19:$AH$19</c:f>
              <c:numCache>
                <c:formatCode>General</c:formatCode>
                <c:ptCount val="32"/>
                <c:pt idx="0">
                  <c:v>13.106225069383628</c:v>
                </c:pt>
                <c:pt idx="1">
                  <c:v>51.902396443103051</c:v>
                </c:pt>
                <c:pt idx="2">
                  <c:v>114.8418331968865</c:v>
                </c:pt>
                <c:pt idx="3">
                  <c:v>199.41533860423877</c:v>
                </c:pt>
                <c:pt idx="4">
                  <c:v>302.25123389169812</c:v>
                </c:pt>
                <c:pt idx="5">
                  <c:v>419.24977643158718</c:v>
                </c:pt>
                <c:pt idx="6">
                  <c:v>545.74660354309151</c:v>
                </c:pt>
                <c:pt idx="7">
                  <c:v>676.69868591309739</c:v>
                </c:pt>
                <c:pt idx="8">
                  <c:v>806.88537726070479</c:v>
                </c:pt>
                <c:pt idx="9">
                  <c:v>931.11654502974613</c:v>
                </c:pt>
                <c:pt idx="10">
                  <c:v>1044.43948459539</c:v>
                </c:pt>
                <c:pt idx="11">
                  <c:v>1142.3363679683689</c:v>
                </c:pt>
                <c:pt idx="12">
                  <c:v>1220.9043553400829</c:v>
                </c:pt>
                <c:pt idx="13">
                  <c:v>1277.0111889896427</c:v>
                </c:pt>
                <c:pt idx="14">
                  <c:v>1308.4200665147928</c:v>
                </c:pt>
                <c:pt idx="15">
                  <c:v>1313.8788150850501</c:v>
                </c:pt>
                <c:pt idx="16">
                  <c:v>1293.1698116209955</c:v>
                </c:pt>
                <c:pt idx="17">
                  <c:v>1247.1186587397017</c:v>
                </c:pt>
                <c:pt idx="18">
                  <c:v>1177.5612705837291</c:v>
                </c:pt>
                <c:pt idx="19">
                  <c:v>1087.2706807178249</c:v>
                </c:pt>
                <c:pt idx="20">
                  <c:v>979.8464900315098</c:v>
                </c:pt>
                <c:pt idx="21">
                  <c:v>859.57136201081084</c:v>
                </c:pt>
                <c:pt idx="22">
                  <c:v>731.24028645979854</c:v>
                </c:pt>
                <c:pt idx="23">
                  <c:v>599.96941838856389</c:v>
                </c:pt>
                <c:pt idx="24">
                  <c:v>470.99211305792886</c:v>
                </c:pt>
                <c:pt idx="25">
                  <c:v>349.45028862000203</c:v>
                </c:pt>
                <c:pt idx="26">
                  <c:v>240.18943406771774</c:v>
                </c:pt>
                <c:pt idx="27">
                  <c:v>147.56543487951092</c:v>
                </c:pt>
                <c:pt idx="28">
                  <c:v>75.270917611082822</c:v>
                </c:pt>
                <c:pt idx="29">
                  <c:v>26.188036527384341</c:v>
                </c:pt>
                <c:pt idx="30">
                  <c:v>3.4971649316722297</c:v>
                </c:pt>
                <c:pt idx="31">
                  <c:v>2.2735712072345002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3F-42D7-BE5A-533BD8755676}"/>
            </c:ext>
          </c:extLst>
        </c:ser>
        <c:ser>
          <c:idx val="3"/>
          <c:order val="1"/>
          <c:tx>
            <c:strRef>
              <c:f>RTC!$B$20</c:f>
              <c:strCache>
                <c:ptCount val="1"/>
                <c:pt idx="0">
                  <c:v>P(75% Po,θ 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RTC!$C$20:$AH$20</c:f>
              <c:numCache>
                <c:formatCode>General</c:formatCode>
                <c:ptCount val="32"/>
                <c:pt idx="0">
                  <c:v>9.8296688020377214</c:v>
                </c:pt>
                <c:pt idx="1">
                  <c:v>38.92679733232729</c:v>
                </c:pt>
                <c:pt idx="2">
                  <c:v>86.13137489766487</c:v>
                </c:pt>
                <c:pt idx="3">
                  <c:v>149.56150395317906</c:v>
                </c:pt>
                <c:pt idx="4">
                  <c:v>226.68842541877362</c:v>
                </c:pt>
                <c:pt idx="5">
                  <c:v>314.43733232369038</c:v>
                </c:pt>
                <c:pt idx="6">
                  <c:v>409.3099526573186</c:v>
                </c:pt>
                <c:pt idx="7">
                  <c:v>507.52401443482307</c:v>
                </c:pt>
                <c:pt idx="8">
                  <c:v>605.16403294552856</c:v>
                </c:pt>
                <c:pt idx="9">
                  <c:v>698.33740877230957</c:v>
                </c:pt>
                <c:pt idx="10">
                  <c:v>783.32961344654257</c:v>
                </c:pt>
                <c:pt idx="11">
                  <c:v>856.75227597627656</c:v>
                </c:pt>
                <c:pt idx="12">
                  <c:v>915.6782665050622</c:v>
                </c:pt>
                <c:pt idx="13">
                  <c:v>957.75839174223199</c:v>
                </c:pt>
                <c:pt idx="14">
                  <c:v>981.3150498860947</c:v>
                </c:pt>
                <c:pt idx="15">
                  <c:v>985.40911131378755</c:v>
                </c:pt>
                <c:pt idx="16">
                  <c:v>969.8773587157466</c:v>
                </c:pt>
                <c:pt idx="17">
                  <c:v>935.33899405477621</c:v>
                </c:pt>
                <c:pt idx="18">
                  <c:v>883.17095293779676</c:v>
                </c:pt>
                <c:pt idx="19">
                  <c:v>815.45301053836874</c:v>
                </c:pt>
                <c:pt idx="20">
                  <c:v>734.88486752363235</c:v>
                </c:pt>
                <c:pt idx="21">
                  <c:v>644.67852150810813</c:v>
                </c:pt>
                <c:pt idx="22">
                  <c:v>548.43021484484882</c:v>
                </c:pt>
                <c:pt idx="23">
                  <c:v>449.97706379142295</c:v>
                </c:pt>
                <c:pt idx="24">
                  <c:v>353.24408479344663</c:v>
                </c:pt>
                <c:pt idx="25">
                  <c:v>262.08771646500156</c:v>
                </c:pt>
                <c:pt idx="26">
                  <c:v>180.14207555078829</c:v>
                </c:pt>
                <c:pt idx="27">
                  <c:v>110.67407615963319</c:v>
                </c:pt>
                <c:pt idx="28">
                  <c:v>56.453188208312113</c:v>
                </c:pt>
                <c:pt idx="29">
                  <c:v>19.641027395538256</c:v>
                </c:pt>
                <c:pt idx="30">
                  <c:v>2.6228736987541725</c:v>
                </c:pt>
                <c:pt idx="31">
                  <c:v>1.7051784054258752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3F-42D7-BE5A-533BD8755676}"/>
            </c:ext>
          </c:extLst>
        </c:ser>
        <c:ser>
          <c:idx val="4"/>
          <c:order val="2"/>
          <c:tx>
            <c:strRef>
              <c:f>RTC!$B$21</c:f>
              <c:strCache>
                <c:ptCount val="1"/>
                <c:pt idx="0">
                  <c:v>P(50% Po,θ 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RTC!$C$21:$AH$21</c:f>
              <c:numCache>
                <c:formatCode>General</c:formatCode>
                <c:ptCount val="32"/>
                <c:pt idx="0">
                  <c:v>6.553112534691814</c:v>
                </c:pt>
                <c:pt idx="1">
                  <c:v>25.951198221551525</c:v>
                </c:pt>
                <c:pt idx="2">
                  <c:v>57.420916598443249</c:v>
                </c:pt>
                <c:pt idx="3">
                  <c:v>99.707669302119385</c:v>
                </c:pt>
                <c:pt idx="4">
                  <c:v>151.12561694584906</c:v>
                </c:pt>
                <c:pt idx="5">
                  <c:v>209.62488821579359</c:v>
                </c:pt>
                <c:pt idx="6">
                  <c:v>272.87330177154575</c:v>
                </c:pt>
                <c:pt idx="7">
                  <c:v>338.3493429565487</c:v>
                </c:pt>
                <c:pt idx="8">
                  <c:v>403.44268863035239</c:v>
                </c:pt>
                <c:pt idx="9">
                  <c:v>465.55827251487307</c:v>
                </c:pt>
                <c:pt idx="10">
                  <c:v>522.21974229769501</c:v>
                </c:pt>
                <c:pt idx="11">
                  <c:v>571.16818398418445</c:v>
                </c:pt>
                <c:pt idx="12">
                  <c:v>610.45217767004146</c:v>
                </c:pt>
                <c:pt idx="13">
                  <c:v>638.50559449482137</c:v>
                </c:pt>
                <c:pt idx="14">
                  <c:v>654.21003325739639</c:v>
                </c:pt>
                <c:pt idx="15">
                  <c:v>656.93940754252503</c:v>
                </c:pt>
                <c:pt idx="16">
                  <c:v>646.58490581049773</c:v>
                </c:pt>
                <c:pt idx="17">
                  <c:v>623.55932936985084</c:v>
                </c:pt>
                <c:pt idx="18">
                  <c:v>588.78063529186454</c:v>
                </c:pt>
                <c:pt idx="19">
                  <c:v>543.63534035891246</c:v>
                </c:pt>
                <c:pt idx="20">
                  <c:v>489.9232450157549</c:v>
                </c:pt>
                <c:pt idx="21">
                  <c:v>429.78568100540542</c:v>
                </c:pt>
                <c:pt idx="22">
                  <c:v>365.62014322989927</c:v>
                </c:pt>
                <c:pt idx="23">
                  <c:v>299.98470919428195</c:v>
                </c:pt>
                <c:pt idx="24">
                  <c:v>235.49605652896443</c:v>
                </c:pt>
                <c:pt idx="25">
                  <c:v>174.72514431000101</c:v>
                </c:pt>
                <c:pt idx="26">
                  <c:v>120.09471703385887</c:v>
                </c:pt>
                <c:pt idx="27">
                  <c:v>73.782717439755459</c:v>
                </c:pt>
                <c:pt idx="28">
                  <c:v>37.635458805541411</c:v>
                </c:pt>
                <c:pt idx="29">
                  <c:v>13.09401826369217</c:v>
                </c:pt>
                <c:pt idx="30">
                  <c:v>1.7485824658361149</c:v>
                </c:pt>
                <c:pt idx="31">
                  <c:v>1.1367856036172501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3F-42D7-BE5A-533BD8755676}"/>
            </c:ext>
          </c:extLst>
        </c:ser>
        <c:ser>
          <c:idx val="5"/>
          <c:order val="3"/>
          <c:tx>
            <c:strRef>
              <c:f>RTC!$B$22</c:f>
              <c:strCache>
                <c:ptCount val="1"/>
                <c:pt idx="0">
                  <c:v>P(25% Po,θ 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RTC!$C$22:$AH$22</c:f>
              <c:numCache>
                <c:formatCode>General</c:formatCode>
                <c:ptCount val="32"/>
                <c:pt idx="0">
                  <c:v>3.276556267345907</c:v>
                </c:pt>
                <c:pt idx="1">
                  <c:v>12.975599110775763</c:v>
                </c:pt>
                <c:pt idx="2">
                  <c:v>28.710458299221624</c:v>
                </c:pt>
                <c:pt idx="3">
                  <c:v>49.853834651059692</c:v>
                </c:pt>
                <c:pt idx="4">
                  <c:v>75.56280847292453</c:v>
                </c:pt>
                <c:pt idx="5">
                  <c:v>104.81244410789679</c:v>
                </c:pt>
                <c:pt idx="6">
                  <c:v>136.43665088577288</c:v>
                </c:pt>
                <c:pt idx="7">
                  <c:v>169.17467147827435</c:v>
                </c:pt>
                <c:pt idx="8">
                  <c:v>201.7213443151762</c:v>
                </c:pt>
                <c:pt idx="9">
                  <c:v>232.77913625743653</c:v>
                </c:pt>
                <c:pt idx="10">
                  <c:v>261.1098711488475</c:v>
                </c:pt>
                <c:pt idx="11">
                  <c:v>285.58409199209223</c:v>
                </c:pt>
                <c:pt idx="12">
                  <c:v>305.22608883502073</c:v>
                </c:pt>
                <c:pt idx="13">
                  <c:v>319.25279724741068</c:v>
                </c:pt>
                <c:pt idx="14">
                  <c:v>327.10501662869819</c:v>
                </c:pt>
                <c:pt idx="15">
                  <c:v>328.46970377126252</c:v>
                </c:pt>
                <c:pt idx="16">
                  <c:v>323.29245290524887</c:v>
                </c:pt>
                <c:pt idx="17">
                  <c:v>311.77966468492542</c:v>
                </c:pt>
                <c:pt idx="18">
                  <c:v>294.39031764593227</c:v>
                </c:pt>
                <c:pt idx="19">
                  <c:v>271.81767017945623</c:v>
                </c:pt>
                <c:pt idx="20">
                  <c:v>244.96162250787745</c:v>
                </c:pt>
                <c:pt idx="21">
                  <c:v>214.89284050270271</c:v>
                </c:pt>
                <c:pt idx="22">
                  <c:v>182.81007161494963</c:v>
                </c:pt>
                <c:pt idx="23">
                  <c:v>149.99235459714097</c:v>
                </c:pt>
                <c:pt idx="24">
                  <c:v>117.74802826448222</c:v>
                </c:pt>
                <c:pt idx="25">
                  <c:v>87.362572155000507</c:v>
                </c:pt>
                <c:pt idx="26">
                  <c:v>60.047358516929435</c:v>
                </c:pt>
                <c:pt idx="27">
                  <c:v>36.891358719877729</c:v>
                </c:pt>
                <c:pt idx="28">
                  <c:v>18.817729402770706</c:v>
                </c:pt>
                <c:pt idx="29">
                  <c:v>6.5470091318460852</c:v>
                </c:pt>
                <c:pt idx="30">
                  <c:v>0.87429123291805744</c:v>
                </c:pt>
                <c:pt idx="31">
                  <c:v>0.56839280180862506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A3F-42D7-BE5A-533BD8755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431"/>
        <c:axId val="1407976511"/>
      </c:scatterChart>
      <c:valAx>
        <c:axId val="1407978431"/>
        <c:scaling>
          <c:orientation val="minMax"/>
          <c:max val="3"/>
          <c:min val="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θ</a:t>
                </a:r>
                <a:r>
                  <a:rPr lang="en-US"/>
                  <a:t> [rad]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6511"/>
        <c:crosses val="autoZero"/>
        <c:crossBetween val="midCat"/>
      </c:valAx>
      <c:valAx>
        <c:axId val="140797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Power [W]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8431"/>
        <c:crosses val="autoZero"/>
        <c:crossBetween val="midCat"/>
        <c:minorUnit val="50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70716853657541512"/>
          <c:y val="0.13638614394741205"/>
          <c:w val="0.17542997021745338"/>
          <c:h val="0.2709287994454814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Variation on half line cycle </a:t>
            </a:r>
          </a:p>
          <a:p>
            <a:pPr>
              <a:defRPr/>
            </a:pPr>
            <a:r>
              <a:rPr lang="en-US"/>
              <a:t>@Vinmin, Vinmax and Vinnom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1"/>
          <c:tx>
            <c:strRef>
              <c:f>RTC!$BF$205</c:f>
              <c:strCache>
                <c:ptCount val="1"/>
                <c:pt idx="0">
                  <c:v>Upper fres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RTC!$BC$206:$BC$218</c:f>
              <c:numCache>
                <c:formatCode>0.00</c:formatCode>
                <c:ptCount val="13"/>
                <c:pt idx="0">
                  <c:v>3.1415926535897931</c:v>
                </c:pt>
                <c:pt idx="1">
                  <c:v>2.879793265790644</c:v>
                </c:pt>
                <c:pt idx="2">
                  <c:v>2.617993877991494</c:v>
                </c:pt>
                <c:pt idx="3">
                  <c:v>2.3561944901923448</c:v>
                </c:pt>
                <c:pt idx="4">
                  <c:v>2.0943951023931953</c:v>
                </c:pt>
                <c:pt idx="5">
                  <c:v>1.8325957145940459</c:v>
                </c:pt>
                <c:pt idx="6">
                  <c:v>1.5707963267948966</c:v>
                </c:pt>
                <c:pt idx="7">
                  <c:v>1.3089969389957472</c:v>
                </c:pt>
                <c:pt idx="8">
                  <c:v>1.0471975511965976</c:v>
                </c:pt>
                <c:pt idx="9">
                  <c:v>0.78539816339744828</c:v>
                </c:pt>
                <c:pt idx="10">
                  <c:v>0.52359877559829882</c:v>
                </c:pt>
                <c:pt idx="11">
                  <c:v>0.26179938779914941</c:v>
                </c:pt>
                <c:pt idx="12">
                  <c:v>0</c:v>
                </c:pt>
              </c:numCache>
            </c:numRef>
          </c:xVal>
          <c:yVal>
            <c:numRef>
              <c:f>RTC!$BF$206:$BF$218</c:f>
              <c:numCache>
                <c:formatCode>0.00</c:formatCode>
                <c:ptCount val="13"/>
                <c:pt idx="0">
                  <c:v>151.7482841316334</c:v>
                </c:pt>
                <c:pt idx="1">
                  <c:v>151.7482841316334</c:v>
                </c:pt>
                <c:pt idx="2">
                  <c:v>151.7482841316334</c:v>
                </c:pt>
                <c:pt idx="3">
                  <c:v>151.7482841316334</c:v>
                </c:pt>
                <c:pt idx="4">
                  <c:v>151.7482841316334</c:v>
                </c:pt>
                <c:pt idx="5">
                  <c:v>151.7482841316334</c:v>
                </c:pt>
                <c:pt idx="6">
                  <c:v>151.7482841316334</c:v>
                </c:pt>
                <c:pt idx="7">
                  <c:v>151.7482841316334</c:v>
                </c:pt>
                <c:pt idx="8">
                  <c:v>151.7482841316334</c:v>
                </c:pt>
                <c:pt idx="9">
                  <c:v>151.7482841316334</c:v>
                </c:pt>
                <c:pt idx="10">
                  <c:v>151.7482841316334</c:v>
                </c:pt>
                <c:pt idx="11">
                  <c:v>151.7482841316334</c:v>
                </c:pt>
                <c:pt idx="12">
                  <c:v>151.7482841316334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E1-4BCD-94B1-83DB68462EE9}"/>
            </c:ext>
          </c:extLst>
        </c:ser>
        <c:ser>
          <c:idx val="3"/>
          <c:order val="2"/>
          <c:tx>
            <c:strRef>
              <c:f>RTC!$BG$205</c:f>
              <c:strCache>
                <c:ptCount val="1"/>
                <c:pt idx="0">
                  <c:v>Lower fres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RTC!$BC$206:$BC$218</c:f>
              <c:numCache>
                <c:formatCode>0.00</c:formatCode>
                <c:ptCount val="13"/>
                <c:pt idx="0">
                  <c:v>3.1415926535897931</c:v>
                </c:pt>
                <c:pt idx="1">
                  <c:v>2.879793265790644</c:v>
                </c:pt>
                <c:pt idx="2">
                  <c:v>2.617993877991494</c:v>
                </c:pt>
                <c:pt idx="3">
                  <c:v>2.3561944901923448</c:v>
                </c:pt>
                <c:pt idx="4">
                  <c:v>2.0943951023931953</c:v>
                </c:pt>
                <c:pt idx="5">
                  <c:v>1.8325957145940459</c:v>
                </c:pt>
                <c:pt idx="6">
                  <c:v>1.5707963267948966</c:v>
                </c:pt>
                <c:pt idx="7">
                  <c:v>1.3089969389957472</c:v>
                </c:pt>
                <c:pt idx="8">
                  <c:v>1.0471975511965976</c:v>
                </c:pt>
                <c:pt idx="9">
                  <c:v>0.78539816339744828</c:v>
                </c:pt>
                <c:pt idx="10">
                  <c:v>0.52359877559829882</c:v>
                </c:pt>
                <c:pt idx="11">
                  <c:v>0.26179938779914941</c:v>
                </c:pt>
                <c:pt idx="12">
                  <c:v>0</c:v>
                </c:pt>
              </c:numCache>
            </c:numRef>
          </c:xVal>
          <c:yVal>
            <c:numRef>
              <c:f>RTC!$BG$206:$BG$218</c:f>
              <c:numCache>
                <c:formatCode>0.00</c:formatCode>
                <c:ptCount val="13"/>
                <c:pt idx="0">
                  <c:v>85.071895494482334</c:v>
                </c:pt>
                <c:pt idx="1">
                  <c:v>85.071895494482334</c:v>
                </c:pt>
                <c:pt idx="2">
                  <c:v>85.071895494482334</c:v>
                </c:pt>
                <c:pt idx="3">
                  <c:v>85.071895494482334</c:v>
                </c:pt>
                <c:pt idx="4">
                  <c:v>85.071895494482334</c:v>
                </c:pt>
                <c:pt idx="5">
                  <c:v>85.071895494482334</c:v>
                </c:pt>
                <c:pt idx="6">
                  <c:v>85.071895494482334</c:v>
                </c:pt>
                <c:pt idx="7">
                  <c:v>85.071895494482334</c:v>
                </c:pt>
                <c:pt idx="8">
                  <c:v>85.071895494482334</c:v>
                </c:pt>
                <c:pt idx="9">
                  <c:v>85.071895494482334</c:v>
                </c:pt>
                <c:pt idx="10">
                  <c:v>85.071895494482334</c:v>
                </c:pt>
                <c:pt idx="11">
                  <c:v>85.071895494482334</c:v>
                </c:pt>
                <c:pt idx="12">
                  <c:v>85.071895494482334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E1-4BCD-94B1-83DB68462EE9}"/>
            </c:ext>
          </c:extLst>
        </c:ser>
        <c:ser>
          <c:idx val="4"/>
          <c:order val="3"/>
          <c:tx>
            <c:strRef>
              <c:f>RTC!$BB$156</c:f>
              <c:strCache>
                <c:ptCount val="1"/>
                <c:pt idx="0">
                  <c:v>Vinmin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RTC!$BC$158:$BC$170</c:f>
              <c:numCache>
                <c:formatCode>0.00</c:formatCode>
                <c:ptCount val="13"/>
                <c:pt idx="0">
                  <c:v>3.1415926535897931</c:v>
                </c:pt>
                <c:pt idx="1">
                  <c:v>2.879793265790644</c:v>
                </c:pt>
                <c:pt idx="2">
                  <c:v>2.617993877991494</c:v>
                </c:pt>
                <c:pt idx="3">
                  <c:v>2.3561944901923448</c:v>
                </c:pt>
                <c:pt idx="4">
                  <c:v>2.0943951023931953</c:v>
                </c:pt>
                <c:pt idx="5">
                  <c:v>1.8325957145940459</c:v>
                </c:pt>
                <c:pt idx="6">
                  <c:v>1.5707963267948966</c:v>
                </c:pt>
                <c:pt idx="7">
                  <c:v>1.3089969389957472</c:v>
                </c:pt>
                <c:pt idx="8">
                  <c:v>1.0471975511965976</c:v>
                </c:pt>
                <c:pt idx="9">
                  <c:v>0.78539816339744828</c:v>
                </c:pt>
                <c:pt idx="10">
                  <c:v>0.52359877559829882</c:v>
                </c:pt>
                <c:pt idx="11">
                  <c:v>0.26179938779914941</c:v>
                </c:pt>
                <c:pt idx="12">
                  <c:v>0</c:v>
                </c:pt>
              </c:numCache>
            </c:numRef>
          </c:xVal>
          <c:yVal>
            <c:numRef>
              <c:f>RTC!$BD$158:$BD$170</c:f>
              <c:numCache>
                <c:formatCode>General</c:formatCode>
                <c:ptCount val="13"/>
                <c:pt idx="0" formatCode="0.00">
                  <c:v>85.071895494482334</c:v>
                </c:pt>
                <c:pt idx="1">
                  <c:v>90.452896658554877</c:v>
                </c:pt>
                <c:pt idx="2">
                  <c:v>95.801961726706921</c:v>
                </c:pt>
                <c:pt idx="3">
                  <c:v>100.55806933584952</c:v>
                </c:pt>
                <c:pt idx="4">
                  <c:v>104.54363405125365</c:v>
                </c:pt>
                <c:pt idx="5">
                  <c:v>107.39270385136004</c:v>
                </c:pt>
                <c:pt idx="6">
                  <c:v>108.48953112300353</c:v>
                </c:pt>
                <c:pt idx="7">
                  <c:v>107.39270385136004</c:v>
                </c:pt>
                <c:pt idx="8">
                  <c:v>104.54363405125365</c:v>
                </c:pt>
                <c:pt idx="9">
                  <c:v>100.55806933584952</c:v>
                </c:pt>
                <c:pt idx="10">
                  <c:v>95.801961726706921</c:v>
                </c:pt>
                <c:pt idx="11">
                  <c:v>90.452896658554877</c:v>
                </c:pt>
                <c:pt idx="12" formatCode="0.00">
                  <c:v>85.071895494482334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E1-4BCD-94B1-83DB68462EE9}"/>
            </c:ext>
          </c:extLst>
        </c:ser>
        <c:ser>
          <c:idx val="5"/>
          <c:order val="4"/>
          <c:tx>
            <c:strRef>
              <c:f>RTC!$BB$204</c:f>
              <c:strCache>
                <c:ptCount val="1"/>
                <c:pt idx="0">
                  <c:v>Vinmax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RTC!$BC$206:$BC$218</c:f>
              <c:numCache>
                <c:formatCode>0.00</c:formatCode>
                <c:ptCount val="13"/>
                <c:pt idx="0">
                  <c:v>3.1415926535897931</c:v>
                </c:pt>
                <c:pt idx="1">
                  <c:v>2.879793265790644</c:v>
                </c:pt>
                <c:pt idx="2">
                  <c:v>2.617993877991494</c:v>
                </c:pt>
                <c:pt idx="3">
                  <c:v>2.3561944901923448</c:v>
                </c:pt>
                <c:pt idx="4">
                  <c:v>2.0943951023931953</c:v>
                </c:pt>
                <c:pt idx="5">
                  <c:v>1.8325957145940459</c:v>
                </c:pt>
                <c:pt idx="6">
                  <c:v>1.5707963267948966</c:v>
                </c:pt>
                <c:pt idx="7">
                  <c:v>1.3089969389957472</c:v>
                </c:pt>
                <c:pt idx="8">
                  <c:v>1.0471975511965976</c:v>
                </c:pt>
                <c:pt idx="9">
                  <c:v>0.78539816339744828</c:v>
                </c:pt>
                <c:pt idx="10">
                  <c:v>0.52359877559829882</c:v>
                </c:pt>
                <c:pt idx="11">
                  <c:v>0.26179938779914941</c:v>
                </c:pt>
                <c:pt idx="12">
                  <c:v>0</c:v>
                </c:pt>
              </c:numCache>
            </c:numRef>
          </c:xVal>
          <c:yVal>
            <c:numRef>
              <c:f>RTC!$BD$206:$BD$218</c:f>
              <c:numCache>
                <c:formatCode>General</c:formatCode>
                <c:ptCount val="13"/>
                <c:pt idx="0" formatCode="0.00">
                  <c:v>85.071895494482334</c:v>
                </c:pt>
                <c:pt idx="1">
                  <c:v>93.86394011245622</c:v>
                </c:pt>
                <c:pt idx="2">
                  <c:v>104.55421405122226</c:v>
                </c:pt>
                <c:pt idx="3">
                  <c:v>117.75404838414873</c:v>
                </c:pt>
                <c:pt idx="4">
                  <c:v>133.06124683601601</c:v>
                </c:pt>
                <c:pt idx="5">
                  <c:v>146.61572787619298</c:v>
                </c:pt>
                <c:pt idx="6">
                  <c:v>152.08936938083821</c:v>
                </c:pt>
                <c:pt idx="7">
                  <c:v>146.61572787619298</c:v>
                </c:pt>
                <c:pt idx="8">
                  <c:v>133.06124683601601</c:v>
                </c:pt>
                <c:pt idx="9">
                  <c:v>117.75404838414873</c:v>
                </c:pt>
                <c:pt idx="10">
                  <c:v>104.55421405122226</c:v>
                </c:pt>
                <c:pt idx="11">
                  <c:v>93.86394011245622</c:v>
                </c:pt>
                <c:pt idx="12" formatCode="0.00">
                  <c:v>85.071895494482334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E1-4BCD-94B1-83DB68462EE9}"/>
            </c:ext>
          </c:extLst>
        </c:ser>
        <c:ser>
          <c:idx val="0"/>
          <c:order val="5"/>
          <c:tx>
            <c:strRef>
              <c:f>RTC!$BB$180</c:f>
              <c:strCache>
                <c:ptCount val="1"/>
                <c:pt idx="0">
                  <c:v>Vinnom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RTC!$BC$206:$BC$218</c:f>
              <c:numCache>
                <c:formatCode>0.00</c:formatCode>
                <c:ptCount val="13"/>
                <c:pt idx="0">
                  <c:v>3.1415926535897931</c:v>
                </c:pt>
                <c:pt idx="1">
                  <c:v>2.879793265790644</c:v>
                </c:pt>
                <c:pt idx="2">
                  <c:v>2.617993877991494</c:v>
                </c:pt>
                <c:pt idx="3">
                  <c:v>2.3561944901923448</c:v>
                </c:pt>
                <c:pt idx="4">
                  <c:v>2.0943951023931953</c:v>
                </c:pt>
                <c:pt idx="5">
                  <c:v>1.8325957145940459</c:v>
                </c:pt>
                <c:pt idx="6">
                  <c:v>1.5707963267948966</c:v>
                </c:pt>
                <c:pt idx="7">
                  <c:v>1.3089969389957472</c:v>
                </c:pt>
                <c:pt idx="8">
                  <c:v>1.0471975511965976</c:v>
                </c:pt>
                <c:pt idx="9">
                  <c:v>0.78539816339744828</c:v>
                </c:pt>
                <c:pt idx="10">
                  <c:v>0.52359877559829882</c:v>
                </c:pt>
                <c:pt idx="11">
                  <c:v>0.26179938779914941</c:v>
                </c:pt>
                <c:pt idx="12">
                  <c:v>0</c:v>
                </c:pt>
              </c:numCache>
            </c:numRef>
          </c:xVal>
          <c:yVal>
            <c:numRef>
              <c:f>RTC!$BD$182:$BD$194</c:f>
              <c:numCache>
                <c:formatCode>General</c:formatCode>
                <c:ptCount val="13"/>
                <c:pt idx="0" formatCode="0.00">
                  <c:v>85.071895494482334</c:v>
                </c:pt>
                <c:pt idx="1">
                  <c:v>92.286650246291018</c:v>
                </c:pt>
                <c:pt idx="2">
                  <c:v>100.5681778966689</c:v>
                </c:pt>
                <c:pt idx="3">
                  <c:v>109.68324566871813</c:v>
                </c:pt>
                <c:pt idx="4">
                  <c:v>119.31379413140024</c:v>
                </c:pt>
                <c:pt idx="5">
                  <c:v>127.4352829062385</c:v>
                </c:pt>
                <c:pt idx="6">
                  <c:v>130.73839898927929</c:v>
                </c:pt>
                <c:pt idx="7">
                  <c:v>127.4352829062385</c:v>
                </c:pt>
                <c:pt idx="8">
                  <c:v>119.31379413140024</c:v>
                </c:pt>
                <c:pt idx="9">
                  <c:v>109.68324566871813</c:v>
                </c:pt>
                <c:pt idx="10">
                  <c:v>100.5681778966689</c:v>
                </c:pt>
                <c:pt idx="11">
                  <c:v>92.286650246291018</c:v>
                </c:pt>
                <c:pt idx="12" formatCode="0.00">
                  <c:v>85.071895494482334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E1-4BCD-94B1-83DB68462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944255"/>
        <c:axId val="27296345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RTC!$BE$157</c15:sqref>
                        </c15:formulaRef>
                      </c:ext>
                    </c:extLst>
                    <c:strCache>
                      <c:ptCount val="1"/>
                      <c:pt idx="0">
                        <c:v>fmax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RTC!$BC$206:$BC$218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3.1415926535897931</c:v>
                      </c:pt>
                      <c:pt idx="1">
                        <c:v>2.879793265790644</c:v>
                      </c:pt>
                      <c:pt idx="2">
                        <c:v>2.617993877991494</c:v>
                      </c:pt>
                      <c:pt idx="3">
                        <c:v>2.3561944901923448</c:v>
                      </c:pt>
                      <c:pt idx="4">
                        <c:v>2.0943951023931953</c:v>
                      </c:pt>
                      <c:pt idx="5">
                        <c:v>1.8325957145940459</c:v>
                      </c:pt>
                      <c:pt idx="6">
                        <c:v>1.5707963267948966</c:v>
                      </c:pt>
                      <c:pt idx="7">
                        <c:v>1.3089969389957472</c:v>
                      </c:pt>
                      <c:pt idx="8">
                        <c:v>1.0471975511965976</c:v>
                      </c:pt>
                      <c:pt idx="9">
                        <c:v>0.78539816339744828</c:v>
                      </c:pt>
                      <c:pt idx="10">
                        <c:v>0.52359877559829882</c:v>
                      </c:pt>
                      <c:pt idx="11">
                        <c:v>0.26179938779914941</c:v>
                      </c:pt>
                      <c:pt idx="12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RTC!$BE$206:$BE$218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225</c:v>
                      </c:pt>
                      <c:pt idx="1">
                        <c:v>225</c:v>
                      </c:pt>
                      <c:pt idx="2">
                        <c:v>225</c:v>
                      </c:pt>
                      <c:pt idx="3">
                        <c:v>225</c:v>
                      </c:pt>
                      <c:pt idx="4">
                        <c:v>225</c:v>
                      </c:pt>
                      <c:pt idx="5">
                        <c:v>225</c:v>
                      </c:pt>
                      <c:pt idx="6">
                        <c:v>225</c:v>
                      </c:pt>
                      <c:pt idx="7">
                        <c:v>225</c:v>
                      </c:pt>
                      <c:pt idx="8">
                        <c:v>225</c:v>
                      </c:pt>
                      <c:pt idx="9">
                        <c:v>225</c:v>
                      </c:pt>
                      <c:pt idx="10">
                        <c:v>225</c:v>
                      </c:pt>
                      <c:pt idx="11">
                        <c:v>225</c:v>
                      </c:pt>
                      <c:pt idx="12">
                        <c:v>225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6BE1-4BCD-94B1-83DB68462EE9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6"/>
          <c:order val="6"/>
          <c:tx>
            <c:strRef>
              <c:f>CC!$B$15</c:f>
              <c:strCache>
                <c:ptCount val="1"/>
                <c:pt idx="0">
                  <c:v>Iout.inst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CC!$C$4:$AM$4</c:f>
              <c:numCache>
                <c:formatCode>General</c:formatCode>
                <c:ptCount val="37"/>
                <c:pt idx="0">
                  <c:v>0</c:v>
                </c:pt>
                <c:pt idx="1">
                  <c:v>0.10134169850289655</c:v>
                </c:pt>
                <c:pt idx="2">
                  <c:v>0.2026833970057931</c:v>
                </c:pt>
                <c:pt idx="3">
                  <c:v>0.30402509550868967</c:v>
                </c:pt>
                <c:pt idx="4">
                  <c:v>0.40536679401158621</c:v>
                </c:pt>
                <c:pt idx="5">
                  <c:v>0.5067084925144828</c:v>
                </c:pt>
                <c:pt idx="6">
                  <c:v>0.60805019101737934</c:v>
                </c:pt>
                <c:pt idx="7">
                  <c:v>0.70939188952027588</c:v>
                </c:pt>
                <c:pt idx="8">
                  <c:v>0.78539816339744828</c:v>
                </c:pt>
                <c:pt idx="9">
                  <c:v>0.81073358802317241</c:v>
                </c:pt>
                <c:pt idx="10">
                  <c:v>0.91207528652606895</c:v>
                </c:pt>
                <c:pt idx="11">
                  <c:v>1.0134169850289656</c:v>
                </c:pt>
                <c:pt idx="12">
                  <c:v>1.0471975511965976</c:v>
                </c:pt>
                <c:pt idx="13">
                  <c:v>1.1147586835318619</c:v>
                </c:pt>
                <c:pt idx="14">
                  <c:v>1.2161003820347587</c:v>
                </c:pt>
                <c:pt idx="15">
                  <c:v>1.3174420805376552</c:v>
                </c:pt>
                <c:pt idx="16">
                  <c:v>1.4187837790405518</c:v>
                </c:pt>
                <c:pt idx="17">
                  <c:v>1.5201254775434481</c:v>
                </c:pt>
                <c:pt idx="18">
                  <c:v>1.5707963267948966</c:v>
                </c:pt>
                <c:pt idx="19">
                  <c:v>1.6214671760463448</c:v>
                </c:pt>
                <c:pt idx="20">
                  <c:v>1.7228088745492416</c:v>
                </c:pt>
                <c:pt idx="21">
                  <c:v>1.8241505730521379</c:v>
                </c:pt>
                <c:pt idx="22">
                  <c:v>1.9254922715550344</c:v>
                </c:pt>
                <c:pt idx="23">
                  <c:v>2.0268339700579312</c:v>
                </c:pt>
                <c:pt idx="24">
                  <c:v>2.0943951023931953</c:v>
                </c:pt>
                <c:pt idx="25">
                  <c:v>2.1281756685608277</c:v>
                </c:pt>
                <c:pt idx="26">
                  <c:v>2.2295173670637238</c:v>
                </c:pt>
                <c:pt idx="27">
                  <c:v>2.3308590655666204</c:v>
                </c:pt>
                <c:pt idx="28">
                  <c:v>2.3561944901923448</c:v>
                </c:pt>
                <c:pt idx="29">
                  <c:v>2.4322007640695174</c:v>
                </c:pt>
                <c:pt idx="30">
                  <c:v>2.5335424625724139</c:v>
                </c:pt>
                <c:pt idx="31">
                  <c:v>2.6348841610753104</c:v>
                </c:pt>
                <c:pt idx="32">
                  <c:v>2.736225859578207</c:v>
                </c:pt>
                <c:pt idx="33">
                  <c:v>2.8375675580811035</c:v>
                </c:pt>
                <c:pt idx="34">
                  <c:v>2.938909256584</c:v>
                </c:pt>
                <c:pt idx="35">
                  <c:v>3.0402509550868961</c:v>
                </c:pt>
                <c:pt idx="36">
                  <c:v>3.1415926535897931</c:v>
                </c:pt>
              </c:numCache>
            </c:numRef>
          </c:xVal>
          <c:yVal>
            <c:numRef>
              <c:f>CC!$C$15:$AM$15</c:f>
              <c:numCache>
                <c:formatCode>General</c:formatCode>
                <c:ptCount val="37"/>
                <c:pt idx="0">
                  <c:v>0</c:v>
                </c:pt>
                <c:pt idx="1">
                  <c:v>0.53836254505939463</c:v>
                </c:pt>
                <c:pt idx="2">
                  <c:v>2.1314095543879343</c:v>
                </c:pt>
                <c:pt idx="3">
                  <c:v>4.7139214962486324</c:v>
                </c:pt>
                <c:pt idx="4">
                  <c:v>8.1801700283094423</c:v>
                </c:pt>
                <c:pt idx="5">
                  <c:v>12.388246528400886</c:v>
                </c:pt>
                <c:pt idx="6">
                  <c:v>17.16587185018123</c:v>
                </c:pt>
                <c:pt idx="7">
                  <c:v>22.317449451629631</c:v>
                </c:pt>
                <c:pt idx="8">
                  <c:v>26.299999999999997</c:v>
                </c:pt>
                <c:pt idx="9">
                  <c:v>27.632073140458136</c:v>
                </c:pt>
                <c:pt idx="10">
                  <c:v>32.892161598404343</c:v>
                </c:pt>
                <c:pt idx="11">
                  <c:v>37.882366185965779</c:v>
                </c:pt>
                <c:pt idx="12">
                  <c:v>39.449999999999996</c:v>
                </c:pt>
                <c:pt idx="13">
                  <c:v>42.398387341003527</c:v>
                </c:pt>
                <c:pt idx="14">
                  <c:v>46.255338626820404</c:v>
                </c:pt>
                <c:pt idx="15">
                  <c:v>49.295316004602512</c:v>
                </c:pt>
                <c:pt idx="16">
                  <c:v>51.393862443321289</c:v>
                </c:pt>
                <c:pt idx="17">
                  <c:v>52.465063205206846</c:v>
                </c:pt>
                <c:pt idx="18">
                  <c:v>52.6</c:v>
                </c:pt>
                <c:pt idx="19">
                  <c:v>52.465063205206846</c:v>
                </c:pt>
                <c:pt idx="20">
                  <c:v>51.393862443321289</c:v>
                </c:pt>
                <c:pt idx="21">
                  <c:v>49.295316004602512</c:v>
                </c:pt>
                <c:pt idx="22">
                  <c:v>46.255338626820404</c:v>
                </c:pt>
                <c:pt idx="23">
                  <c:v>42.398387341003527</c:v>
                </c:pt>
                <c:pt idx="24">
                  <c:v>39.450000000000003</c:v>
                </c:pt>
                <c:pt idx="25">
                  <c:v>37.882366185965779</c:v>
                </c:pt>
                <c:pt idx="26">
                  <c:v>32.892161598404371</c:v>
                </c:pt>
                <c:pt idx="27">
                  <c:v>27.632073140458161</c:v>
                </c:pt>
                <c:pt idx="28">
                  <c:v>26.300000000000004</c:v>
                </c:pt>
                <c:pt idx="29">
                  <c:v>22.317449451629635</c:v>
                </c:pt>
                <c:pt idx="30">
                  <c:v>17.16587185018123</c:v>
                </c:pt>
                <c:pt idx="31">
                  <c:v>12.388246528400886</c:v>
                </c:pt>
                <c:pt idx="32">
                  <c:v>8.1801700283094441</c:v>
                </c:pt>
                <c:pt idx="33">
                  <c:v>4.7139214962486351</c:v>
                </c:pt>
                <c:pt idx="34">
                  <c:v>2.1314095543879361</c:v>
                </c:pt>
                <c:pt idx="35">
                  <c:v>0.53836254505940062</c:v>
                </c:pt>
                <c:pt idx="36">
                  <c:v>7.8952007543317891E-31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E1-4BCD-94B1-83DB68462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577519"/>
        <c:axId val="1749595279"/>
      </c:scatterChart>
      <c:valAx>
        <c:axId val="272944255"/>
        <c:scaling>
          <c:orientation val="minMax"/>
          <c:max val="3.1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Ѳ</a:t>
                </a:r>
                <a:r>
                  <a:rPr lang="en-US"/>
                  <a:t> [rad]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63455"/>
        <c:crosses val="autoZero"/>
        <c:crossBetween val="midCat"/>
        <c:majorUnit val="0.4"/>
      </c:valAx>
      <c:valAx>
        <c:axId val="27296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fsw [kHz]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4255"/>
        <c:crosses val="autoZero"/>
        <c:crossBetween val="midCat"/>
      </c:valAx>
      <c:valAx>
        <c:axId val="17495952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Iout.inst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577519"/>
        <c:crosses val="max"/>
        <c:crossBetween val="midCat"/>
      </c:valAx>
      <c:valAx>
        <c:axId val="17495775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9595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70908800499878"/>
          <c:y val="0.13244752732195106"/>
          <c:w val="0.16720380479655308"/>
          <c:h val="0.25312318408085555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
Design Check: </a:t>
            </a:r>
            <a:r>
              <a:rPr lang="en-US" sz="1400" b="1" i="0" u="none" strike="noStrike" baseline="0"/>
              <a:t>Gcto_OC</a:t>
            </a:r>
            <a:r>
              <a:rPr lang="en-US"/>
              <a:t>
</a:t>
            </a:r>
          </a:p>
        </c:rich>
      </c:tx>
      <c:layout>
        <c:manualLayout>
          <c:xMode val="edge"/>
          <c:yMode val="edge"/>
          <c:x val="0.29038007543258398"/>
          <c:y val="1.0195262608458742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30940553598212E-2"/>
          <c:y val="0.19351431535544003"/>
          <c:w val="0.86527167932736471"/>
          <c:h val="0.69165761746395982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'CompensationNet&amp;Check'!$I$122:$AS$122</c:f>
              <c:numCache>
                <c:formatCode>General</c:formatCode>
                <c:ptCount val="3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20</c:v>
                </c:pt>
                <c:pt idx="20">
                  <c:v>30</c:v>
                </c:pt>
                <c:pt idx="21">
                  <c:v>40</c:v>
                </c:pt>
                <c:pt idx="22">
                  <c:v>50</c:v>
                </c:pt>
                <c:pt idx="23">
                  <c:v>60</c:v>
                </c:pt>
                <c:pt idx="24">
                  <c:v>70</c:v>
                </c:pt>
                <c:pt idx="25">
                  <c:v>80</c:v>
                </c:pt>
                <c:pt idx="26">
                  <c:v>90</c:v>
                </c:pt>
                <c:pt idx="27">
                  <c:v>100</c:v>
                </c:pt>
                <c:pt idx="28">
                  <c:v>200</c:v>
                </c:pt>
                <c:pt idx="29">
                  <c:v>300</c:v>
                </c:pt>
                <c:pt idx="30">
                  <c:v>400</c:v>
                </c:pt>
                <c:pt idx="31">
                  <c:v>500</c:v>
                </c:pt>
                <c:pt idx="32">
                  <c:v>600</c:v>
                </c:pt>
                <c:pt idx="33">
                  <c:v>700</c:v>
                </c:pt>
                <c:pt idx="34">
                  <c:v>800</c:v>
                </c:pt>
                <c:pt idx="35">
                  <c:v>900</c:v>
                </c:pt>
                <c:pt idx="36">
                  <c:v>1000</c:v>
                </c:pt>
              </c:numCache>
            </c:numRef>
          </c:xVal>
          <c:yVal>
            <c:numRef>
              <c:f>'CompensationNet&amp;Check'!$I$126:$AS$126</c:f>
              <c:numCache>
                <c:formatCode>0.00E+00</c:formatCode>
                <c:ptCount val="37"/>
                <c:pt idx="0">
                  <c:v>46.31921290423022</c:v>
                </c:pt>
                <c:pt idx="1">
                  <c:v>40.298612990950595</c:v>
                </c:pt>
                <c:pt idx="2">
                  <c:v>36.776787809836968</c:v>
                </c:pt>
                <c:pt idx="3">
                  <c:v>34.27801307767097</c:v>
                </c:pt>
                <c:pt idx="4">
                  <c:v>32.339812817509838</c:v>
                </c:pt>
                <c:pt idx="5">
                  <c:v>30.756187896557343</c:v>
                </c:pt>
                <c:pt idx="6">
                  <c:v>29.417252103945074</c:v>
                </c:pt>
                <c:pt idx="7">
                  <c:v>28.257413164391345</c:v>
                </c:pt>
                <c:pt idx="8">
                  <c:v>27.234362715443719</c:v>
                </c:pt>
                <c:pt idx="9">
                  <c:v>26.319212904230213</c:v>
                </c:pt>
                <c:pt idx="10">
                  <c:v>20.298612990950588</c:v>
                </c:pt>
                <c:pt idx="11">
                  <c:v>16.776787809836968</c:v>
                </c:pt>
                <c:pt idx="12">
                  <c:v>14.278013077670966</c:v>
                </c:pt>
                <c:pt idx="13">
                  <c:v>12.339812817509838</c:v>
                </c:pt>
                <c:pt idx="14">
                  <c:v>10.756187896557341</c:v>
                </c:pt>
                <c:pt idx="15">
                  <c:v>9.4172521039450778</c:v>
                </c:pt>
                <c:pt idx="16">
                  <c:v>8.2574131643913411</c:v>
                </c:pt>
                <c:pt idx="17">
                  <c:v>7.2343627154437158</c:v>
                </c:pt>
                <c:pt idx="18">
                  <c:v>6.3192129042302136</c:v>
                </c:pt>
                <c:pt idx="19">
                  <c:v>0.2986129909505898</c:v>
                </c:pt>
                <c:pt idx="20">
                  <c:v>-3.223212190163034</c:v>
                </c:pt>
                <c:pt idx="21">
                  <c:v>-5.7219869223290338</c:v>
                </c:pt>
                <c:pt idx="22">
                  <c:v>-7.6601871824901622</c:v>
                </c:pt>
                <c:pt idx="23">
                  <c:v>-9.2438121034426572</c:v>
                </c:pt>
                <c:pt idx="24">
                  <c:v>-10.582747896054922</c:v>
                </c:pt>
                <c:pt idx="25">
                  <c:v>-11.742586835608657</c:v>
                </c:pt>
                <c:pt idx="26">
                  <c:v>-12.765637284556284</c:v>
                </c:pt>
                <c:pt idx="27">
                  <c:v>-13.680787095769787</c:v>
                </c:pt>
                <c:pt idx="28">
                  <c:v>-19.701387009049412</c:v>
                </c:pt>
                <c:pt idx="29">
                  <c:v>-23.223212190163032</c:v>
                </c:pt>
                <c:pt idx="30">
                  <c:v>-25.721986922329037</c:v>
                </c:pt>
                <c:pt idx="31">
                  <c:v>-27.660187182490162</c:v>
                </c:pt>
                <c:pt idx="32">
                  <c:v>-29.243812103442657</c:v>
                </c:pt>
                <c:pt idx="33">
                  <c:v>-30.582747896054919</c:v>
                </c:pt>
                <c:pt idx="34">
                  <c:v>-31.742586835608655</c:v>
                </c:pt>
                <c:pt idx="35">
                  <c:v>-32.765637284556284</c:v>
                </c:pt>
                <c:pt idx="36">
                  <c:v>-33.680787095769787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EC-42C6-9236-73060D944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469791"/>
        <c:axId val="1"/>
      </c:scatterChart>
      <c:valAx>
        <c:axId val="847469791"/>
        <c:scaling>
          <c:logBase val="10"/>
          <c:orientation val="minMax"/>
          <c:max val="1000"/>
          <c:min val="0.1"/>
        </c:scaling>
        <c:delete val="0"/>
        <c:axPos val="b"/>
        <c:minorGridlines>
          <c:spPr>
            <a:ln w="3175">
              <a:solidFill>
                <a:srgbClr val="00FF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 [Hz]</a:t>
                </a:r>
              </a:p>
            </c:rich>
          </c:tx>
          <c:layout>
            <c:manualLayout>
              <c:xMode val="edge"/>
              <c:yMode val="edge"/>
              <c:x val="0.43671116196665122"/>
              <c:y val="0.937608069883454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FF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FF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Gain [db]</a:t>
                </a:r>
              </a:p>
            </c:rich>
          </c:tx>
          <c:layout>
            <c:manualLayout>
              <c:xMode val="edge"/>
              <c:yMode val="edge"/>
              <c:x val="1.1009525091596249E-2"/>
              <c:y val="0.43696780886712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175">
            <a:solidFill>
              <a:srgbClr val="00FF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7469791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Design Check: Phase EA</a:t>
            </a:r>
          </a:p>
        </c:rich>
      </c:tx>
      <c:layout>
        <c:manualLayout>
          <c:xMode val="edge"/>
          <c:yMode val="edge"/>
          <c:x val="0.36583814465924408"/>
          <c:y val="4.83885946999850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2527548522096"/>
          <c:y val="0.16129528156474113"/>
          <c:w val="0.85923087612977234"/>
          <c:h val="0.75436562454894318"/>
        </c:manualLayout>
      </c:layout>
      <c:scatterChart>
        <c:scatterStyle val="smoothMarker"/>
        <c:varyColors val="0"/>
        <c:ser>
          <c:idx val="13"/>
          <c:order val="0"/>
          <c:marker>
            <c:symbol val="none"/>
          </c:marker>
          <c:xVal>
            <c:numRef>
              <c:f>'CompensationNet&amp;Check'!$I$122:$AS$122</c:f>
              <c:numCache>
                <c:formatCode>General</c:formatCode>
                <c:ptCount val="3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20</c:v>
                </c:pt>
                <c:pt idx="20">
                  <c:v>30</c:v>
                </c:pt>
                <c:pt idx="21">
                  <c:v>40</c:v>
                </c:pt>
                <c:pt idx="22">
                  <c:v>50</c:v>
                </c:pt>
                <c:pt idx="23">
                  <c:v>60</c:v>
                </c:pt>
                <c:pt idx="24">
                  <c:v>70</c:v>
                </c:pt>
                <c:pt idx="25">
                  <c:v>80</c:v>
                </c:pt>
                <c:pt idx="26">
                  <c:v>90</c:v>
                </c:pt>
                <c:pt idx="27">
                  <c:v>100</c:v>
                </c:pt>
                <c:pt idx="28">
                  <c:v>200</c:v>
                </c:pt>
                <c:pt idx="29">
                  <c:v>300</c:v>
                </c:pt>
                <c:pt idx="30">
                  <c:v>400</c:v>
                </c:pt>
                <c:pt idx="31">
                  <c:v>500</c:v>
                </c:pt>
                <c:pt idx="32">
                  <c:v>600</c:v>
                </c:pt>
                <c:pt idx="33">
                  <c:v>700</c:v>
                </c:pt>
                <c:pt idx="34">
                  <c:v>800</c:v>
                </c:pt>
                <c:pt idx="35">
                  <c:v>900</c:v>
                </c:pt>
                <c:pt idx="36">
                  <c:v>1000</c:v>
                </c:pt>
              </c:numCache>
            </c:numRef>
          </c:xVal>
          <c:yVal>
            <c:numRef>
              <c:f>'CompensationNet&amp;Check'!$I$134:$AS$134</c:f>
              <c:numCache>
                <c:formatCode>0.0</c:formatCode>
                <c:ptCount val="37"/>
                <c:pt idx="0">
                  <c:v>-89.173588986687108</c:v>
                </c:pt>
                <c:pt idx="1">
                  <c:v>-88.347694731243124</c:v>
                </c:pt>
                <c:pt idx="2">
                  <c:v>-87.522832295399084</c:v>
                </c:pt>
                <c:pt idx="3">
                  <c:v>-86.699513362476367</c:v>
                </c:pt>
                <c:pt idx="4">
                  <c:v>-85.878244582635219</c:v>
                </c:pt>
                <c:pt idx="5">
                  <c:v>-85.059525958882119</c:v>
                </c:pt>
                <c:pt idx="6">
                  <c:v>-84.243849286460062</c:v>
                </c:pt>
                <c:pt idx="7">
                  <c:v>-83.431696657453045</c:v>
                </c:pt>
                <c:pt idx="8">
                  <c:v>-82.623539041479063</c:v>
                </c:pt>
                <c:pt idx="9">
                  <c:v>-81.819834952249849</c:v>
                </c:pt>
                <c:pt idx="10">
                  <c:v>-74.117546098272243</c:v>
                </c:pt>
                <c:pt idx="11">
                  <c:v>-67.238892661274406</c:v>
                </c:pt>
                <c:pt idx="12">
                  <c:v>-61.345055428464406</c:v>
                </c:pt>
                <c:pt idx="13">
                  <c:v>-56.442562526010995</c:v>
                </c:pt>
                <c:pt idx="14">
                  <c:v>-52.446016383835847</c:v>
                </c:pt>
                <c:pt idx="15">
                  <c:v>-49.232614089059552</c:v>
                </c:pt>
                <c:pt idx="16">
                  <c:v>-46.67557936098121</c:v>
                </c:pt>
                <c:pt idx="17">
                  <c:v>-44.659982627566393</c:v>
                </c:pt>
                <c:pt idx="18">
                  <c:v>-43.087984809047349</c:v>
                </c:pt>
                <c:pt idx="19">
                  <c:v>-39.724074519388623</c:v>
                </c:pt>
                <c:pt idx="20">
                  <c:v>-43.757440087228119</c:v>
                </c:pt>
                <c:pt idx="21">
                  <c:v>-48.790902559438962</c:v>
                </c:pt>
                <c:pt idx="22">
                  <c:v>-53.459307717406993</c:v>
                </c:pt>
                <c:pt idx="23">
                  <c:v>-57.479768761487584</c:v>
                </c:pt>
                <c:pt idx="24">
                  <c:v>-60.865624026719772</c:v>
                </c:pt>
                <c:pt idx="25">
                  <c:v>-63.706072274135757</c:v>
                </c:pt>
                <c:pt idx="26">
                  <c:v>-66.097965074146231</c:v>
                </c:pt>
                <c:pt idx="27">
                  <c:v>-68.126155745378895</c:v>
                </c:pt>
                <c:pt idx="28">
                  <c:v>-78.414162635735792</c:v>
                </c:pt>
                <c:pt idx="29">
                  <c:v>-82.186837918086496</c:v>
                </c:pt>
                <c:pt idx="30">
                  <c:v>-84.116113916163499</c:v>
                </c:pt>
                <c:pt idx="31">
                  <c:v>-85.283914595683271</c:v>
                </c:pt>
                <c:pt idx="32">
                  <c:v>-86.065846496351867</c:v>
                </c:pt>
                <c:pt idx="33">
                  <c:v>-86.62575300988135</c:v>
                </c:pt>
                <c:pt idx="34">
                  <c:v>-87.04633056069035</c:v>
                </c:pt>
                <c:pt idx="35">
                  <c:v>-87.373781931266905</c:v>
                </c:pt>
                <c:pt idx="36">
                  <c:v>-87.63593077845654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A8-4612-95E2-D47531D5B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825487"/>
        <c:axId val="1"/>
      </c:scatterChart>
      <c:valAx>
        <c:axId val="1645825487"/>
        <c:scaling>
          <c:logBase val="10"/>
          <c:orientation val="minMax"/>
          <c:max val="1000"/>
          <c:min val="0.1"/>
        </c:scaling>
        <c:delete val="0"/>
        <c:axPos val="b"/>
        <c:minorGridlines>
          <c:spPr>
            <a:ln w="3175">
              <a:solidFill>
                <a:srgbClr val="00FF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 [Hz</a:t>
                </a:r>
                <a:r>
                  <a:rPr lang="en-US" sz="15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0.41831400358722642"/>
              <c:y val="0.926827502529704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FF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Phase [deg]</a:t>
                </a:r>
              </a:p>
            </c:rich>
          </c:tx>
          <c:layout>
            <c:manualLayout>
              <c:xMode val="edge"/>
              <c:yMode val="edge"/>
              <c:x val="9.3373661515005896E-3"/>
              <c:y val="0.3436830230264099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175">
            <a:solidFill>
              <a:srgbClr val="00FF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45825487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
Design Check: </a:t>
            </a:r>
            <a:r>
              <a:rPr lang="en-US" sz="1400" b="1" i="0" u="none" strike="noStrike" baseline="0"/>
              <a:t>Loop-Gain Transfer Function H_OL_OC</a:t>
            </a:r>
            <a:r>
              <a:rPr lang="en-US"/>
              <a:t>
</a:t>
            </a:r>
          </a:p>
        </c:rich>
      </c:tx>
      <c:layout>
        <c:manualLayout>
          <c:xMode val="edge"/>
          <c:yMode val="edge"/>
          <c:x val="0.24853725264465518"/>
          <c:y val="1.0196285712966769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19164478776145"/>
          <c:y val="0.19351431535544003"/>
          <c:w val="0.85838951570645572"/>
          <c:h val="0.69165761746395982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'CompensationNet&amp;Check'!$I$122:$AS$122</c:f>
              <c:numCache>
                <c:formatCode>General</c:formatCode>
                <c:ptCount val="3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20</c:v>
                </c:pt>
                <c:pt idx="20">
                  <c:v>30</c:v>
                </c:pt>
                <c:pt idx="21">
                  <c:v>40</c:v>
                </c:pt>
                <c:pt idx="22">
                  <c:v>50</c:v>
                </c:pt>
                <c:pt idx="23">
                  <c:v>60</c:v>
                </c:pt>
                <c:pt idx="24">
                  <c:v>70</c:v>
                </c:pt>
                <c:pt idx="25">
                  <c:v>80</c:v>
                </c:pt>
                <c:pt idx="26">
                  <c:v>90</c:v>
                </c:pt>
                <c:pt idx="27">
                  <c:v>100</c:v>
                </c:pt>
                <c:pt idx="28">
                  <c:v>200</c:v>
                </c:pt>
                <c:pt idx="29">
                  <c:v>300</c:v>
                </c:pt>
                <c:pt idx="30">
                  <c:v>400</c:v>
                </c:pt>
                <c:pt idx="31">
                  <c:v>500</c:v>
                </c:pt>
                <c:pt idx="32">
                  <c:v>600</c:v>
                </c:pt>
                <c:pt idx="33">
                  <c:v>700</c:v>
                </c:pt>
                <c:pt idx="34">
                  <c:v>800</c:v>
                </c:pt>
                <c:pt idx="35">
                  <c:v>900</c:v>
                </c:pt>
                <c:pt idx="36">
                  <c:v>1000</c:v>
                </c:pt>
              </c:numCache>
            </c:numRef>
          </c:xVal>
          <c:yVal>
            <c:numRef>
              <c:f>'CompensationNet&amp;Check'!$I$138:$AS$138</c:f>
              <c:numCache>
                <c:formatCode>0.00</c:formatCode>
                <c:ptCount val="37"/>
                <c:pt idx="0">
                  <c:v>80.603644740096854</c:v>
                </c:pt>
                <c:pt idx="1">
                  <c:v>68.565947524967925</c:v>
                </c:pt>
                <c:pt idx="2">
                  <c:v>61.528128370265279</c:v>
                </c:pt>
                <c:pt idx="3">
                  <c:v>56.538729029344736</c:v>
                </c:pt>
                <c:pt idx="4">
                  <c:v>52.672784069757952</c:v>
                </c:pt>
                <c:pt idx="5">
                  <c:v>49.518278021714181</c:v>
                </c:pt>
                <c:pt idx="6">
                  <c:v>46.855417625722509</c:v>
                </c:pt>
                <c:pt idx="7">
                  <c:v>44.552993970323705</c:v>
                </c:pt>
                <c:pt idx="8">
                  <c:v>42.526362574111417</c:v>
                </c:pt>
                <c:pt idx="9">
                  <c:v>40.717716722515348</c:v>
                </c:pt>
                <c:pt idx="10">
                  <c:v>29.004389219075605</c:v>
                </c:pt>
                <c:pt idx="11">
                  <c:v>22.455874718368541</c:v>
                </c:pt>
                <c:pt idx="12">
                  <c:v>18.06548680089967</c:v>
                </c:pt>
                <c:pt idx="13">
                  <c:v>14.858174722162573</c:v>
                </c:pt>
                <c:pt idx="14">
                  <c:v>12.383827458011469</c:v>
                </c:pt>
                <c:pt idx="15">
                  <c:v>10.396922528439752</c:v>
                </c:pt>
                <c:pt idx="16">
                  <c:v>8.7503997426554374</c:v>
                </c:pt>
                <c:pt idx="17">
                  <c:v>7.3507012677890913</c:v>
                </c:pt>
                <c:pt idx="18">
                  <c:v>6.135627412846576</c:v>
                </c:pt>
                <c:pt idx="19">
                  <c:v>-1.382077582170647</c:v>
                </c:pt>
                <c:pt idx="20">
                  <c:v>-5.8637413271872934</c:v>
                </c:pt>
                <c:pt idx="21">
                  <c:v>-9.3110119350336991</c:v>
                </c:pt>
                <c:pt idx="22">
                  <c:v>-12.198465392503552</c:v>
                </c:pt>
                <c:pt idx="23">
                  <c:v>-14.707372869370843</c:v>
                </c:pt>
                <c:pt idx="24">
                  <c:v>-16.930579561710964</c:v>
                </c:pt>
                <c:pt idx="25">
                  <c:v>-18.925976632107581</c:v>
                </c:pt>
                <c:pt idx="26">
                  <c:v>-20.734164091814826</c:v>
                </c:pt>
                <c:pt idx="27">
                  <c:v>-22.385544096838267</c:v>
                </c:pt>
                <c:pt idx="28">
                  <c:v>-33.797110150733232</c:v>
                </c:pt>
                <c:pt idx="29">
                  <c:v>-40.713017718873203</c:v>
                </c:pt>
                <c:pt idx="30">
                  <c:v>-45.66492304194356</c:v>
                </c:pt>
                <c:pt idx="31">
                  <c:v>-49.520027786541831</c:v>
                </c:pt>
                <c:pt idx="32">
                  <c:v>-52.675664157973614</c:v>
                </c:pt>
                <c:pt idx="33">
                  <c:v>-55.346517645899141</c:v>
                </c:pt>
                <c:pt idx="34">
                  <c:v>-57.661634230514885</c:v>
                </c:pt>
                <c:pt idx="35">
                  <c:v>-59.704605057204112</c:v>
                </c:pt>
                <c:pt idx="36">
                  <c:v>-61.532664327271924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1B-423E-B6FE-8638F757E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469791"/>
        <c:axId val="1"/>
      </c:scatterChart>
      <c:valAx>
        <c:axId val="847469791"/>
        <c:scaling>
          <c:logBase val="10"/>
          <c:orientation val="minMax"/>
          <c:max val="1000"/>
          <c:min val="0.1"/>
        </c:scaling>
        <c:delete val="0"/>
        <c:axPos val="b"/>
        <c:minorGridlines>
          <c:spPr>
            <a:ln w="3175">
              <a:solidFill>
                <a:srgbClr val="00FF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 [Hz]</a:t>
                </a:r>
              </a:p>
            </c:rich>
          </c:tx>
          <c:layout>
            <c:manualLayout>
              <c:xMode val="edge"/>
              <c:yMode val="edge"/>
              <c:x val="0.43671116196665122"/>
              <c:y val="0.937608069883454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FF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FF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Gain [db]</a:t>
                </a:r>
              </a:p>
            </c:rich>
          </c:tx>
          <c:layout>
            <c:manualLayout>
              <c:xMode val="edge"/>
              <c:yMode val="edge"/>
              <c:x val="1.1009525091596249E-2"/>
              <c:y val="0.43696780886712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175">
            <a:solidFill>
              <a:srgbClr val="00FF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7469791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Design Check: Phase </a:t>
            </a:r>
            <a:r>
              <a:rPr lang="en-US" sz="1400" b="1" i="0" u="none" strike="noStrike" baseline="0"/>
              <a:t>H_OL_OC</a:t>
            </a:r>
            <a:endParaRPr lang="en-US"/>
          </a:p>
        </c:rich>
      </c:tx>
      <c:layout>
        <c:manualLayout>
          <c:xMode val="edge"/>
          <c:yMode val="edge"/>
          <c:x val="0.3813554959026933"/>
          <c:y val="4.83886081301584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97068044465663"/>
          <c:y val="0.16129528156474113"/>
          <c:w val="0.85751287919211627"/>
          <c:h val="0.75436562454894318"/>
        </c:manualLayout>
      </c:layout>
      <c:scatterChart>
        <c:scatterStyle val="smoothMarker"/>
        <c:varyColors val="0"/>
        <c:ser>
          <c:idx val="13"/>
          <c:order val="0"/>
          <c:marker>
            <c:symbol val="none"/>
          </c:marker>
          <c:xVal>
            <c:numRef>
              <c:f>'CompensationNet&amp;Check'!$I$122:$AS$122</c:f>
              <c:numCache>
                <c:formatCode>General</c:formatCode>
                <c:ptCount val="3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20</c:v>
                </c:pt>
                <c:pt idx="20">
                  <c:v>30</c:v>
                </c:pt>
                <c:pt idx="21">
                  <c:v>40</c:v>
                </c:pt>
                <c:pt idx="22">
                  <c:v>50</c:v>
                </c:pt>
                <c:pt idx="23">
                  <c:v>60</c:v>
                </c:pt>
                <c:pt idx="24">
                  <c:v>70</c:v>
                </c:pt>
                <c:pt idx="25">
                  <c:v>80</c:v>
                </c:pt>
                <c:pt idx="26">
                  <c:v>90</c:v>
                </c:pt>
                <c:pt idx="27">
                  <c:v>100</c:v>
                </c:pt>
                <c:pt idx="28">
                  <c:v>200</c:v>
                </c:pt>
                <c:pt idx="29">
                  <c:v>300</c:v>
                </c:pt>
                <c:pt idx="30">
                  <c:v>400</c:v>
                </c:pt>
                <c:pt idx="31">
                  <c:v>500</c:v>
                </c:pt>
                <c:pt idx="32">
                  <c:v>600</c:v>
                </c:pt>
                <c:pt idx="33">
                  <c:v>700</c:v>
                </c:pt>
                <c:pt idx="34">
                  <c:v>800</c:v>
                </c:pt>
                <c:pt idx="35">
                  <c:v>900</c:v>
                </c:pt>
                <c:pt idx="36">
                  <c:v>1000</c:v>
                </c:pt>
              </c:numCache>
            </c:numRef>
          </c:xVal>
          <c:yVal>
            <c:numRef>
              <c:f>'CompensationNet&amp;Check'!$I$139:$AS$139</c:f>
              <c:numCache>
                <c:formatCode>0.0</c:formatCode>
                <c:ptCount val="37"/>
                <c:pt idx="0">
                  <c:v>-179.17358898668712</c:v>
                </c:pt>
                <c:pt idx="1">
                  <c:v>-178.34769473124311</c:v>
                </c:pt>
                <c:pt idx="2">
                  <c:v>-177.5228322953991</c:v>
                </c:pt>
                <c:pt idx="3">
                  <c:v>-176.69951336247635</c:v>
                </c:pt>
                <c:pt idx="4">
                  <c:v>-175.87824458263523</c:v>
                </c:pt>
                <c:pt idx="5">
                  <c:v>-175.05952595888212</c:v>
                </c:pt>
                <c:pt idx="6">
                  <c:v>-174.24384928646006</c:v>
                </c:pt>
                <c:pt idx="7">
                  <c:v>-173.43169665745305</c:v>
                </c:pt>
                <c:pt idx="8">
                  <c:v>-172.62353904147906</c:v>
                </c:pt>
                <c:pt idx="9">
                  <c:v>-171.81983495224986</c:v>
                </c:pt>
                <c:pt idx="10">
                  <c:v>-164.11754609827224</c:v>
                </c:pt>
                <c:pt idx="11">
                  <c:v>-157.23889266127441</c:v>
                </c:pt>
                <c:pt idx="12">
                  <c:v>-151.34505542846441</c:v>
                </c:pt>
                <c:pt idx="13">
                  <c:v>-146.44256252601102</c:v>
                </c:pt>
                <c:pt idx="14">
                  <c:v>-142.44601638383585</c:v>
                </c:pt>
                <c:pt idx="15">
                  <c:v>-139.23261408905955</c:v>
                </c:pt>
                <c:pt idx="16">
                  <c:v>-136.6755793609812</c:v>
                </c:pt>
                <c:pt idx="17">
                  <c:v>-134.65998262756639</c:v>
                </c:pt>
                <c:pt idx="18">
                  <c:v>-133.08798480904736</c:v>
                </c:pt>
                <c:pt idx="19">
                  <c:v>-129.72407451938864</c:v>
                </c:pt>
                <c:pt idx="20">
                  <c:v>-133.75744008722813</c:v>
                </c:pt>
                <c:pt idx="21">
                  <c:v>-138.79090255943896</c:v>
                </c:pt>
                <c:pt idx="22">
                  <c:v>-143.459307717407</c:v>
                </c:pt>
                <c:pt idx="23">
                  <c:v>-147.47976876148758</c:v>
                </c:pt>
                <c:pt idx="24">
                  <c:v>-150.86562402671979</c:v>
                </c:pt>
                <c:pt idx="25">
                  <c:v>-153.70607227413575</c:v>
                </c:pt>
                <c:pt idx="26">
                  <c:v>-156.09796507414623</c:v>
                </c:pt>
                <c:pt idx="27">
                  <c:v>-158.1261557453789</c:v>
                </c:pt>
                <c:pt idx="28">
                  <c:v>-168.41416263573581</c:v>
                </c:pt>
                <c:pt idx="29">
                  <c:v>-172.1868379180865</c:v>
                </c:pt>
                <c:pt idx="30">
                  <c:v>-174.1161139161635</c:v>
                </c:pt>
                <c:pt idx="31">
                  <c:v>-175.28391459568326</c:v>
                </c:pt>
                <c:pt idx="32">
                  <c:v>-176.06584649635187</c:v>
                </c:pt>
                <c:pt idx="33">
                  <c:v>-176.62575300988135</c:v>
                </c:pt>
                <c:pt idx="34">
                  <c:v>-177.04633056069036</c:v>
                </c:pt>
                <c:pt idx="35">
                  <c:v>-177.3737819312669</c:v>
                </c:pt>
                <c:pt idx="36">
                  <c:v>-177.63593077845655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A4-478D-8C88-D9D77855C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825487"/>
        <c:axId val="1"/>
      </c:scatterChart>
      <c:valAx>
        <c:axId val="1645825487"/>
        <c:scaling>
          <c:logBase val="10"/>
          <c:orientation val="minMax"/>
          <c:max val="1000"/>
          <c:min val="0.1"/>
        </c:scaling>
        <c:delete val="0"/>
        <c:axPos val="b"/>
        <c:minorGridlines>
          <c:spPr>
            <a:ln w="3175">
              <a:solidFill>
                <a:srgbClr val="00FF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 [Hz</a:t>
                </a:r>
                <a:r>
                  <a:rPr lang="en-US" sz="15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0.41831400358722642"/>
              <c:y val="0.926827502529704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-100"/>
        </c:scaling>
        <c:delete val="0"/>
        <c:axPos val="l"/>
        <c:majorGridlines>
          <c:spPr>
            <a:ln w="3175">
              <a:solidFill>
                <a:srgbClr val="00FF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Phase [deg]</a:t>
                </a:r>
              </a:p>
            </c:rich>
          </c:tx>
          <c:layout>
            <c:manualLayout>
              <c:xMode val="edge"/>
              <c:yMode val="edge"/>
              <c:x val="9.3373661515005896E-3"/>
              <c:y val="0.3436830230264099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175">
            <a:solidFill>
              <a:srgbClr val="00FF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45825487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
Design Check: </a:t>
            </a:r>
            <a:r>
              <a:rPr lang="en-US" sz="1400" b="1" i="0" u="none" strike="noStrike" baseline="0"/>
              <a:t>Error Amplifier Transfer Function</a:t>
            </a:r>
            <a:r>
              <a:rPr lang="en-US"/>
              <a:t>
</a:t>
            </a:r>
          </a:p>
        </c:rich>
      </c:tx>
      <c:layout>
        <c:manualLayout>
          <c:xMode val="edge"/>
          <c:yMode val="edge"/>
          <c:x val="0.26247271581612619"/>
          <c:y val="1.0196614619573789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97917921319095E-2"/>
          <c:y val="0.19351431535544003"/>
          <c:w val="0.86360181029778893"/>
          <c:h val="0.69165761746395982"/>
        </c:manualLayout>
      </c:layout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'CompensationNet&amp;Check'!$I$122:$AS$122</c:f>
              <c:numCache>
                <c:formatCode>General</c:formatCode>
                <c:ptCount val="3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20</c:v>
                </c:pt>
                <c:pt idx="20">
                  <c:v>30</c:v>
                </c:pt>
                <c:pt idx="21">
                  <c:v>40</c:v>
                </c:pt>
                <c:pt idx="22">
                  <c:v>50</c:v>
                </c:pt>
                <c:pt idx="23">
                  <c:v>60</c:v>
                </c:pt>
                <c:pt idx="24">
                  <c:v>70</c:v>
                </c:pt>
                <c:pt idx="25">
                  <c:v>80</c:v>
                </c:pt>
                <c:pt idx="26">
                  <c:v>90</c:v>
                </c:pt>
                <c:pt idx="27">
                  <c:v>100</c:v>
                </c:pt>
                <c:pt idx="28">
                  <c:v>200</c:v>
                </c:pt>
                <c:pt idx="29">
                  <c:v>300</c:v>
                </c:pt>
                <c:pt idx="30">
                  <c:v>400</c:v>
                </c:pt>
                <c:pt idx="31">
                  <c:v>500</c:v>
                </c:pt>
                <c:pt idx="32">
                  <c:v>600</c:v>
                </c:pt>
                <c:pt idx="33">
                  <c:v>700</c:v>
                </c:pt>
                <c:pt idx="34">
                  <c:v>800</c:v>
                </c:pt>
                <c:pt idx="35">
                  <c:v>900</c:v>
                </c:pt>
                <c:pt idx="36">
                  <c:v>1000</c:v>
                </c:pt>
              </c:numCache>
            </c:numRef>
          </c:xVal>
          <c:yVal>
            <c:numRef>
              <c:f>'CompensationNet&amp;Check'!$I$133:$AT$133</c:f>
              <c:numCache>
                <c:formatCode>0.000E+00</c:formatCode>
                <c:ptCount val="38"/>
                <c:pt idx="0">
                  <c:v>34.284431835866627</c:v>
                </c:pt>
                <c:pt idx="1">
                  <c:v>28.267334534017344</c:v>
                </c:pt>
                <c:pt idx="2">
                  <c:v>24.751340560428314</c:v>
                </c:pt>
                <c:pt idx="3">
                  <c:v>22.260715951673767</c:v>
                </c:pt>
                <c:pt idx="4">
                  <c:v>20.332971252248115</c:v>
                </c:pt>
                <c:pt idx="5">
                  <c:v>18.762090125156835</c:v>
                </c:pt>
                <c:pt idx="6">
                  <c:v>17.438165521777432</c:v>
                </c:pt>
                <c:pt idx="7">
                  <c:v>16.29558080593236</c:v>
                </c:pt>
                <c:pt idx="8">
                  <c:v>15.291999858667706</c:v>
                </c:pt>
                <c:pt idx="9">
                  <c:v>14.398503818285128</c:v>
                </c:pt>
                <c:pt idx="10">
                  <c:v>8.7057762281250142</c:v>
                </c:pt>
                <c:pt idx="11">
                  <c:v>5.6790869085315769</c:v>
                </c:pt>
                <c:pt idx="12">
                  <c:v>3.7874737232287012</c:v>
                </c:pt>
                <c:pt idx="13">
                  <c:v>2.5183619046527372</c:v>
                </c:pt>
                <c:pt idx="14">
                  <c:v>1.627639561454127</c:v>
                </c:pt>
                <c:pt idx="15">
                  <c:v>0.97967042449467612</c:v>
                </c:pt>
                <c:pt idx="16">
                  <c:v>0.49298657826409642</c:v>
                </c:pt>
                <c:pt idx="17">
                  <c:v>0.11633855234537566</c:v>
                </c:pt>
                <c:pt idx="18">
                  <c:v>-0.18358549138363844</c:v>
                </c:pt>
                <c:pt idx="19">
                  <c:v>-1.6806905731212369</c:v>
                </c:pt>
                <c:pt idx="20">
                  <c:v>-2.6405291370242576</c:v>
                </c:pt>
                <c:pt idx="21">
                  <c:v>-3.5890250127046652</c:v>
                </c:pt>
                <c:pt idx="22">
                  <c:v>-4.5382782100133889</c:v>
                </c:pt>
                <c:pt idx="23">
                  <c:v>-5.463560765928186</c:v>
                </c:pt>
                <c:pt idx="24">
                  <c:v>-6.3478316656560407</c:v>
                </c:pt>
                <c:pt idx="25">
                  <c:v>-7.1833897964989246</c:v>
                </c:pt>
                <c:pt idx="26">
                  <c:v>-7.9685268072585425</c:v>
                </c:pt>
                <c:pt idx="27">
                  <c:v>-8.7047570010684812</c:v>
                </c:pt>
                <c:pt idx="28">
                  <c:v>-14.095723141683818</c:v>
                </c:pt>
                <c:pt idx="29">
                  <c:v>-17.489805528710171</c:v>
                </c:pt>
                <c:pt idx="30">
                  <c:v>-19.942936119614526</c:v>
                </c:pt>
                <c:pt idx="31">
                  <c:v>-21.859840604051669</c:v>
                </c:pt>
                <c:pt idx="32">
                  <c:v>-23.43185205453096</c:v>
                </c:pt>
                <c:pt idx="33">
                  <c:v>-24.763769749844219</c:v>
                </c:pt>
                <c:pt idx="34">
                  <c:v>-25.919047394906226</c:v>
                </c:pt>
                <c:pt idx="35">
                  <c:v>-26.938967772647828</c:v>
                </c:pt>
                <c:pt idx="36">
                  <c:v>-27.851877231502137</c:v>
                </c:pt>
                <c:pt idx="37" formatCode="0.00E+00">
                  <c:v>-1.4220551497188665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FF-4F24-B3EE-575BA5894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469791"/>
        <c:axId val="1"/>
      </c:scatterChart>
      <c:valAx>
        <c:axId val="847469791"/>
        <c:scaling>
          <c:logBase val="10"/>
          <c:orientation val="minMax"/>
          <c:max val="1000"/>
          <c:min val="0.1"/>
        </c:scaling>
        <c:delete val="0"/>
        <c:axPos val="b"/>
        <c:minorGridlines>
          <c:spPr>
            <a:ln w="3175">
              <a:solidFill>
                <a:srgbClr val="00FF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f [Hz]</a:t>
                </a:r>
              </a:p>
            </c:rich>
          </c:tx>
          <c:layout>
            <c:manualLayout>
              <c:xMode val="edge"/>
              <c:yMode val="edge"/>
              <c:x val="0.43671116196665122"/>
              <c:y val="0.937608069883454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FF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FF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Gain [db]</a:t>
                </a:r>
              </a:p>
            </c:rich>
          </c:tx>
          <c:layout>
            <c:manualLayout>
              <c:xMode val="edge"/>
              <c:yMode val="edge"/>
              <c:x val="1.1009525091596249E-2"/>
              <c:y val="0.43696780886712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175">
            <a:solidFill>
              <a:srgbClr val="00FF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47469791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Design Check: Phase Gcto_OC</a:t>
            </a:r>
          </a:p>
        </c:rich>
      </c:tx>
      <c:layout>
        <c:manualLayout>
          <c:xMode val="edge"/>
          <c:yMode val="edge"/>
          <c:x val="0.35326081146168314"/>
          <c:y val="4.83886003050988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68546399619184E-2"/>
          <c:y val="0.16129528156474113"/>
          <c:w val="0.86621514804088429"/>
          <c:h val="0.75436562454894318"/>
        </c:manualLayout>
      </c:layout>
      <c:scatterChart>
        <c:scatterStyle val="smoothMarker"/>
        <c:varyColors val="0"/>
        <c:ser>
          <c:idx val="13"/>
          <c:order val="0"/>
          <c:marker>
            <c:symbol val="none"/>
          </c:marker>
          <c:xVal>
            <c:numRef>
              <c:f>'CompensationNet&amp;Check'!$I$122:$AS$122</c:f>
              <c:numCache>
                <c:formatCode>General</c:formatCode>
                <c:ptCount val="37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20</c:v>
                </c:pt>
                <c:pt idx="20">
                  <c:v>30</c:v>
                </c:pt>
                <c:pt idx="21">
                  <c:v>40</c:v>
                </c:pt>
                <c:pt idx="22">
                  <c:v>50</c:v>
                </c:pt>
                <c:pt idx="23">
                  <c:v>60</c:v>
                </c:pt>
                <c:pt idx="24">
                  <c:v>70</c:v>
                </c:pt>
                <c:pt idx="25">
                  <c:v>80</c:v>
                </c:pt>
                <c:pt idx="26">
                  <c:v>90</c:v>
                </c:pt>
                <c:pt idx="27">
                  <c:v>100</c:v>
                </c:pt>
                <c:pt idx="28">
                  <c:v>200</c:v>
                </c:pt>
                <c:pt idx="29">
                  <c:v>300</c:v>
                </c:pt>
                <c:pt idx="30">
                  <c:v>400</c:v>
                </c:pt>
                <c:pt idx="31">
                  <c:v>500</c:v>
                </c:pt>
                <c:pt idx="32">
                  <c:v>600</c:v>
                </c:pt>
                <c:pt idx="33">
                  <c:v>700</c:v>
                </c:pt>
                <c:pt idx="34">
                  <c:v>800</c:v>
                </c:pt>
                <c:pt idx="35">
                  <c:v>900</c:v>
                </c:pt>
                <c:pt idx="36">
                  <c:v>1000</c:v>
                </c:pt>
              </c:numCache>
            </c:numRef>
          </c:xVal>
          <c:yVal>
            <c:numRef>
              <c:f>'CompensationNet&amp;Check'!$I$127:$AS$127</c:f>
              <c:numCache>
                <c:formatCode>General</c:formatCode>
                <c:ptCount val="37"/>
                <c:pt idx="0">
                  <c:v>-90</c:v>
                </c:pt>
                <c:pt idx="1">
                  <c:v>-90</c:v>
                </c:pt>
                <c:pt idx="2">
                  <c:v>-90</c:v>
                </c:pt>
                <c:pt idx="3">
                  <c:v>-90</c:v>
                </c:pt>
                <c:pt idx="4">
                  <c:v>-90</c:v>
                </c:pt>
                <c:pt idx="5">
                  <c:v>-90</c:v>
                </c:pt>
                <c:pt idx="6">
                  <c:v>-90</c:v>
                </c:pt>
                <c:pt idx="7">
                  <c:v>-90</c:v>
                </c:pt>
                <c:pt idx="8">
                  <c:v>-90</c:v>
                </c:pt>
                <c:pt idx="9">
                  <c:v>-90</c:v>
                </c:pt>
                <c:pt idx="10">
                  <c:v>-90</c:v>
                </c:pt>
                <c:pt idx="11">
                  <c:v>-90</c:v>
                </c:pt>
                <c:pt idx="12">
                  <c:v>-90</c:v>
                </c:pt>
                <c:pt idx="13">
                  <c:v>-90</c:v>
                </c:pt>
                <c:pt idx="14">
                  <c:v>-90</c:v>
                </c:pt>
                <c:pt idx="15">
                  <c:v>-90</c:v>
                </c:pt>
                <c:pt idx="16">
                  <c:v>-90</c:v>
                </c:pt>
                <c:pt idx="17">
                  <c:v>-90</c:v>
                </c:pt>
                <c:pt idx="18">
                  <c:v>-90</c:v>
                </c:pt>
                <c:pt idx="19">
                  <c:v>-90</c:v>
                </c:pt>
                <c:pt idx="20">
                  <c:v>-90</c:v>
                </c:pt>
                <c:pt idx="21">
                  <c:v>-90</c:v>
                </c:pt>
                <c:pt idx="22">
                  <c:v>-90</c:v>
                </c:pt>
                <c:pt idx="23">
                  <c:v>-90</c:v>
                </c:pt>
                <c:pt idx="24">
                  <c:v>-90</c:v>
                </c:pt>
                <c:pt idx="25">
                  <c:v>-90</c:v>
                </c:pt>
                <c:pt idx="26">
                  <c:v>-90</c:v>
                </c:pt>
                <c:pt idx="27">
                  <c:v>-90</c:v>
                </c:pt>
                <c:pt idx="28">
                  <c:v>-90</c:v>
                </c:pt>
                <c:pt idx="29">
                  <c:v>-90</c:v>
                </c:pt>
                <c:pt idx="30">
                  <c:v>-90</c:v>
                </c:pt>
                <c:pt idx="31">
                  <c:v>-90</c:v>
                </c:pt>
                <c:pt idx="32">
                  <c:v>-90</c:v>
                </c:pt>
                <c:pt idx="33">
                  <c:v>-90</c:v>
                </c:pt>
                <c:pt idx="34">
                  <c:v>-90</c:v>
                </c:pt>
                <c:pt idx="35">
                  <c:v>-90</c:v>
                </c:pt>
                <c:pt idx="36">
                  <c:v>-90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DA-45C2-A894-B7B9C8D47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825487"/>
        <c:axId val="1"/>
      </c:scatterChart>
      <c:valAx>
        <c:axId val="1645825487"/>
        <c:scaling>
          <c:logBase val="10"/>
          <c:orientation val="minMax"/>
          <c:max val="1000"/>
          <c:min val="0.1"/>
        </c:scaling>
        <c:delete val="0"/>
        <c:axPos val="b"/>
        <c:minorGridlines>
          <c:spPr>
            <a:ln w="3175">
              <a:solidFill>
                <a:srgbClr val="00FF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25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f [Hz</a:t>
                </a:r>
                <a:r>
                  <a:rPr lang="en-US" sz="1575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0.41831400358722642"/>
              <c:y val="0.926827502529704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-80"/>
          <c:min val="-100"/>
        </c:scaling>
        <c:delete val="0"/>
        <c:axPos val="l"/>
        <c:majorGridlines>
          <c:spPr>
            <a:ln w="3175">
              <a:solidFill>
                <a:srgbClr val="00FF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Phase [deg]</a:t>
                </a:r>
              </a:p>
            </c:rich>
          </c:tx>
          <c:layout>
            <c:manualLayout>
              <c:xMode val="edge"/>
              <c:yMode val="edge"/>
              <c:x val="9.3373661515005896E-3"/>
              <c:y val="0.3436830230264099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175">
            <a:solidFill>
              <a:srgbClr val="00FF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45825487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Minimum Gain required for PFC regulation</a:t>
            </a:r>
            <a:endParaRPr lang="el-GR"/>
          </a:p>
        </c:rich>
      </c:tx>
      <c:layout>
        <c:manualLayout>
          <c:xMode val="edge"/>
          <c:yMode val="edge"/>
          <c:x val="0.23600133001315773"/>
          <c:y val="3.0454765903559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537270341207349"/>
          <c:y val="0.121518191534268"/>
          <c:w val="0.77827633917469763"/>
          <c:h val="0.7331637372802960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RTC!$B$16</c:f>
              <c:strCache>
                <c:ptCount val="1"/>
                <c:pt idx="0">
                  <c:v>Mreq(Vin_min, Vout,θ 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RTC!$C$16:$AH$16</c:f>
              <c:numCache>
                <c:formatCode>General</c:formatCode>
                <c:ptCount val="32"/>
                <c:pt idx="0">
                  <c:v>15.234970761067105</c:v>
                </c:pt>
                <c:pt idx="1">
                  <c:v>7.6557321530458733</c:v>
                </c:pt>
                <c:pt idx="2">
                  <c:v>5.1467180561864145</c:v>
                </c:pt>
                <c:pt idx="3">
                  <c:v>3.905720451108988</c:v>
                </c:pt>
                <c:pt idx="4">
                  <c:v>3.1724617508278126</c:v>
                </c:pt>
                <c:pt idx="5">
                  <c:v>2.6936676839890557</c:v>
                </c:pt>
                <c:pt idx="6">
                  <c:v>2.360939809202542</c:v>
                </c:pt>
                <c:pt idx="7">
                  <c:v>2.1202289948980049</c:v>
                </c:pt>
                <c:pt idx="8">
                  <c:v>1.9416659441907334</c:v>
                </c:pt>
                <c:pt idx="9">
                  <c:v>1.8075004498688496</c:v>
                </c:pt>
                <c:pt idx="10">
                  <c:v>1.7066277184773355</c:v>
                </c:pt>
                <c:pt idx="11">
                  <c:v>1.6318620179039776</c:v>
                </c:pt>
                <c:pt idx="12">
                  <c:v>1.5784819293848096</c:v>
                </c:pt>
                <c:pt idx="13">
                  <c:v>1.5434163076077636</c:v>
                </c:pt>
                <c:pt idx="14">
                  <c:v>1.5247787748487065</c:v>
                </c:pt>
                <c:pt idx="15">
                  <c:v>1.5216079926119281</c:v>
                </c:pt>
                <c:pt idx="16">
                  <c:v>1.5337432240818207</c:v>
                </c:pt>
                <c:pt idx="17">
                  <c:v>1.5618040598612826</c:v>
                </c:pt>
                <c:pt idx="18">
                  <c:v>1.6072694099699438</c:v>
                </c:pt>
                <c:pt idx="19">
                  <c:v>1.6726751211663053</c:v>
                </c:pt>
                <c:pt idx="20">
                  <c:v>1.7619817883771123</c:v>
                </c:pt>
                <c:pt idx="21">
                  <c:v>1.8812194790309142</c:v>
                </c:pt>
                <c:pt idx="22">
                  <c:v>2.0396252550685054</c:v>
                </c:pt>
                <c:pt idx="23">
                  <c:v>2.2517277438435874</c:v>
                </c:pt>
                <c:pt idx="24">
                  <c:v>2.5414034697789734</c:v>
                </c:pt>
                <c:pt idx="25">
                  <c:v>2.9504464327955606</c:v>
                </c:pt>
                <c:pt idx="26">
                  <c:v>3.5587992180626369</c:v>
                </c:pt>
                <c:pt idx="27">
                  <c:v>4.5403372712855523</c:v>
                </c:pt>
                <c:pt idx="28">
                  <c:v>6.3572139934048666</c:v>
                </c:pt>
                <c:pt idx="29">
                  <c:v>10.777771377015666</c:v>
                </c:pt>
                <c:pt idx="30">
                  <c:v>29.493232776183557</c:v>
                </c:pt>
                <c:pt idx="31">
                  <c:v>36.57852219242519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C7-4D59-8857-37A5120F87D9}"/>
            </c:ext>
          </c:extLst>
        </c:ser>
        <c:ser>
          <c:idx val="1"/>
          <c:order val="1"/>
          <c:tx>
            <c:strRef>
              <c:f>RTC!$B$17</c:f>
              <c:strCache>
                <c:ptCount val="1"/>
                <c:pt idx="0">
                  <c:v>Mreq(Vin_max, Vout,θ 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RTC!$C$17:$AH$17</c:f>
              <c:numCache>
                <c:formatCode>General</c:formatCode>
                <c:ptCount val="32"/>
                <c:pt idx="0">
                  <c:v>9.9974395020541937</c:v>
                </c:pt>
                <c:pt idx="1">
                  <c:v>5.0238179150037494</c:v>
                </c:pt>
                <c:pt idx="2">
                  <c:v>3.3773614145912307</c:v>
                </c:pt>
                <c:pt idx="3">
                  <c:v>2.5629982842948982</c:v>
                </c:pt>
                <c:pt idx="4">
                  <c:v>2.0818218114033624</c:v>
                </c:pt>
                <c:pt idx="5">
                  <c:v>1.7676292348481524</c:v>
                </c:pt>
                <c:pt idx="6">
                  <c:v>1.5492877065975104</c:v>
                </c:pt>
                <c:pt idx="7">
                  <c:v>1.3913292935988069</c:v>
                </c:pt>
                <c:pt idx="8">
                  <c:v>1.2741532697819327</c:v>
                </c:pt>
                <c:pt idx="9">
                  <c:v>1.1861116559329623</c:v>
                </c:pt>
                <c:pt idx="10">
                  <c:v>1.1199173031304768</c:v>
                </c:pt>
                <c:pt idx="11">
                  <c:v>1.0708548152508817</c:v>
                </c:pt>
                <c:pt idx="12">
                  <c:v>1.0358259193012773</c:v>
                </c:pt>
                <c:pt idx="13">
                  <c:v>1.0128152789911691</c:v>
                </c:pt>
                <c:pt idx="14">
                  <c:v>1.000585022094163</c:v>
                </c:pt>
                <c:pt idx="15">
                  <c:v>0.99850430240762533</c:v>
                </c:pt>
                <c:pt idx="16">
                  <c:v>1.0064676417777088</c:v>
                </c:pt>
                <c:pt idx="17">
                  <c:v>1.0248816257939537</c:v>
                </c:pt>
                <c:pt idx="18">
                  <c:v>1.0547167396435069</c:v>
                </c:pt>
                <c:pt idx="19">
                  <c:v>1.0976370478626383</c:v>
                </c:pt>
                <c:pt idx="20">
                  <c:v>1.156241558273106</c:v>
                </c:pt>
                <c:pt idx="21">
                  <c:v>1.2344873007409793</c:v>
                </c:pt>
                <c:pt idx="22">
                  <c:v>1.3384357879122692</c:v>
                </c:pt>
                <c:pt idx="23">
                  <c:v>1.4776209450760032</c:v>
                </c:pt>
                <c:pt idx="24">
                  <c:v>1.6677109420094667</c:v>
                </c:pt>
                <c:pt idx="25">
                  <c:v>1.9361316919166287</c:v>
                </c:pt>
                <c:pt idx="26">
                  <c:v>2.3353428398734208</c:v>
                </c:pt>
                <c:pt idx="27">
                  <c:v>2.9794443258530907</c:v>
                </c:pt>
                <c:pt idx="28">
                  <c:v>4.1717088465370873</c:v>
                </c:pt>
                <c:pt idx="29">
                  <c:v>7.0725516312798158</c:v>
                </c:pt>
                <c:pt idx="30">
                  <c:v>19.353946589343131</c:v>
                </c:pt>
                <c:pt idx="31">
                  <c:v>24.003430556482634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C7-4D59-8857-37A5120F8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431"/>
        <c:axId val="1407976511"/>
      </c:scatterChart>
      <c:scatterChart>
        <c:scatterStyle val="smoothMarker"/>
        <c:varyColors val="0"/>
        <c:ser>
          <c:idx val="2"/>
          <c:order val="2"/>
          <c:tx>
            <c:strRef>
              <c:f>RTC!$B$19</c:f>
              <c:strCache>
                <c:ptCount val="1"/>
                <c:pt idx="0">
                  <c:v>P(100% Po,θ 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RTC!$C$19:$AH$19</c:f>
              <c:numCache>
                <c:formatCode>General</c:formatCode>
                <c:ptCount val="32"/>
                <c:pt idx="0">
                  <c:v>13.106225069383628</c:v>
                </c:pt>
                <c:pt idx="1">
                  <c:v>51.902396443103051</c:v>
                </c:pt>
                <c:pt idx="2">
                  <c:v>114.8418331968865</c:v>
                </c:pt>
                <c:pt idx="3">
                  <c:v>199.41533860423877</c:v>
                </c:pt>
                <c:pt idx="4">
                  <c:v>302.25123389169812</c:v>
                </c:pt>
                <c:pt idx="5">
                  <c:v>419.24977643158718</c:v>
                </c:pt>
                <c:pt idx="6">
                  <c:v>545.74660354309151</c:v>
                </c:pt>
                <c:pt idx="7">
                  <c:v>676.69868591309739</c:v>
                </c:pt>
                <c:pt idx="8">
                  <c:v>806.88537726070479</c:v>
                </c:pt>
                <c:pt idx="9">
                  <c:v>931.11654502974613</c:v>
                </c:pt>
                <c:pt idx="10">
                  <c:v>1044.43948459539</c:v>
                </c:pt>
                <c:pt idx="11">
                  <c:v>1142.3363679683689</c:v>
                </c:pt>
                <c:pt idx="12">
                  <c:v>1220.9043553400829</c:v>
                </c:pt>
                <c:pt idx="13">
                  <c:v>1277.0111889896427</c:v>
                </c:pt>
                <c:pt idx="14">
                  <c:v>1308.4200665147928</c:v>
                </c:pt>
                <c:pt idx="15">
                  <c:v>1313.8788150850501</c:v>
                </c:pt>
                <c:pt idx="16">
                  <c:v>1293.1698116209955</c:v>
                </c:pt>
                <c:pt idx="17">
                  <c:v>1247.1186587397017</c:v>
                </c:pt>
                <c:pt idx="18">
                  <c:v>1177.5612705837291</c:v>
                </c:pt>
                <c:pt idx="19">
                  <c:v>1087.2706807178249</c:v>
                </c:pt>
                <c:pt idx="20">
                  <c:v>979.8464900315098</c:v>
                </c:pt>
                <c:pt idx="21">
                  <c:v>859.57136201081084</c:v>
                </c:pt>
                <c:pt idx="22">
                  <c:v>731.24028645979854</c:v>
                </c:pt>
                <c:pt idx="23">
                  <c:v>599.96941838856389</c:v>
                </c:pt>
                <c:pt idx="24">
                  <c:v>470.99211305792886</c:v>
                </c:pt>
                <c:pt idx="25">
                  <c:v>349.45028862000203</c:v>
                </c:pt>
                <c:pt idx="26">
                  <c:v>240.18943406771774</c:v>
                </c:pt>
                <c:pt idx="27">
                  <c:v>147.56543487951092</c:v>
                </c:pt>
                <c:pt idx="28">
                  <c:v>75.270917611082822</c:v>
                </c:pt>
                <c:pt idx="29">
                  <c:v>26.188036527384341</c:v>
                </c:pt>
                <c:pt idx="30">
                  <c:v>3.4971649316722297</c:v>
                </c:pt>
                <c:pt idx="31">
                  <c:v>2.2735712072345002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C7-4D59-8857-37A5120F87D9}"/>
            </c:ext>
          </c:extLst>
        </c:ser>
        <c:ser>
          <c:idx val="3"/>
          <c:order val="3"/>
          <c:tx>
            <c:strRef>
              <c:f>RTC!$B$20</c:f>
              <c:strCache>
                <c:ptCount val="1"/>
                <c:pt idx="0">
                  <c:v>P(75% Po,θ 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RTC!$C$20:$AH$20</c:f>
              <c:numCache>
                <c:formatCode>General</c:formatCode>
                <c:ptCount val="32"/>
                <c:pt idx="0">
                  <c:v>9.8296688020377214</c:v>
                </c:pt>
                <c:pt idx="1">
                  <c:v>38.92679733232729</c:v>
                </c:pt>
                <c:pt idx="2">
                  <c:v>86.13137489766487</c:v>
                </c:pt>
                <c:pt idx="3">
                  <c:v>149.56150395317906</c:v>
                </c:pt>
                <c:pt idx="4">
                  <c:v>226.68842541877362</c:v>
                </c:pt>
                <c:pt idx="5">
                  <c:v>314.43733232369038</c:v>
                </c:pt>
                <c:pt idx="6">
                  <c:v>409.3099526573186</c:v>
                </c:pt>
                <c:pt idx="7">
                  <c:v>507.52401443482307</c:v>
                </c:pt>
                <c:pt idx="8">
                  <c:v>605.16403294552856</c:v>
                </c:pt>
                <c:pt idx="9">
                  <c:v>698.33740877230957</c:v>
                </c:pt>
                <c:pt idx="10">
                  <c:v>783.32961344654257</c:v>
                </c:pt>
                <c:pt idx="11">
                  <c:v>856.75227597627656</c:v>
                </c:pt>
                <c:pt idx="12">
                  <c:v>915.6782665050622</c:v>
                </c:pt>
                <c:pt idx="13">
                  <c:v>957.75839174223199</c:v>
                </c:pt>
                <c:pt idx="14">
                  <c:v>981.3150498860947</c:v>
                </c:pt>
                <c:pt idx="15">
                  <c:v>985.40911131378755</c:v>
                </c:pt>
                <c:pt idx="16">
                  <c:v>969.8773587157466</c:v>
                </c:pt>
                <c:pt idx="17">
                  <c:v>935.33899405477621</c:v>
                </c:pt>
                <c:pt idx="18">
                  <c:v>883.17095293779676</c:v>
                </c:pt>
                <c:pt idx="19">
                  <c:v>815.45301053836874</c:v>
                </c:pt>
                <c:pt idx="20">
                  <c:v>734.88486752363235</c:v>
                </c:pt>
                <c:pt idx="21">
                  <c:v>644.67852150810813</c:v>
                </c:pt>
                <c:pt idx="22">
                  <c:v>548.43021484484882</c:v>
                </c:pt>
                <c:pt idx="23">
                  <c:v>449.97706379142295</c:v>
                </c:pt>
                <c:pt idx="24">
                  <c:v>353.24408479344663</c:v>
                </c:pt>
                <c:pt idx="25">
                  <c:v>262.08771646500156</c:v>
                </c:pt>
                <c:pt idx="26">
                  <c:v>180.14207555078829</c:v>
                </c:pt>
                <c:pt idx="27">
                  <c:v>110.67407615963319</c:v>
                </c:pt>
                <c:pt idx="28">
                  <c:v>56.453188208312113</c:v>
                </c:pt>
                <c:pt idx="29">
                  <c:v>19.641027395538256</c:v>
                </c:pt>
                <c:pt idx="30">
                  <c:v>2.6228736987541725</c:v>
                </c:pt>
                <c:pt idx="31">
                  <c:v>1.7051784054258752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B6-48F8-82A1-5CFAD9239271}"/>
            </c:ext>
          </c:extLst>
        </c:ser>
        <c:ser>
          <c:idx val="4"/>
          <c:order val="4"/>
          <c:tx>
            <c:strRef>
              <c:f>RTC!$B$21</c:f>
              <c:strCache>
                <c:ptCount val="1"/>
                <c:pt idx="0">
                  <c:v>P(50% Po,θ 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RTC!$C$21:$AH$21</c:f>
              <c:numCache>
                <c:formatCode>General</c:formatCode>
                <c:ptCount val="32"/>
                <c:pt idx="0">
                  <c:v>6.553112534691814</c:v>
                </c:pt>
                <c:pt idx="1">
                  <c:v>25.951198221551525</c:v>
                </c:pt>
                <c:pt idx="2">
                  <c:v>57.420916598443249</c:v>
                </c:pt>
                <c:pt idx="3">
                  <c:v>99.707669302119385</c:v>
                </c:pt>
                <c:pt idx="4">
                  <c:v>151.12561694584906</c:v>
                </c:pt>
                <c:pt idx="5">
                  <c:v>209.62488821579359</c:v>
                </c:pt>
                <c:pt idx="6">
                  <c:v>272.87330177154575</c:v>
                </c:pt>
                <c:pt idx="7">
                  <c:v>338.3493429565487</c:v>
                </c:pt>
                <c:pt idx="8">
                  <c:v>403.44268863035239</c:v>
                </c:pt>
                <c:pt idx="9">
                  <c:v>465.55827251487307</c:v>
                </c:pt>
                <c:pt idx="10">
                  <c:v>522.21974229769501</c:v>
                </c:pt>
                <c:pt idx="11">
                  <c:v>571.16818398418445</c:v>
                </c:pt>
                <c:pt idx="12">
                  <c:v>610.45217767004146</c:v>
                </c:pt>
                <c:pt idx="13">
                  <c:v>638.50559449482137</c:v>
                </c:pt>
                <c:pt idx="14">
                  <c:v>654.21003325739639</c:v>
                </c:pt>
                <c:pt idx="15">
                  <c:v>656.93940754252503</c:v>
                </c:pt>
                <c:pt idx="16">
                  <c:v>646.58490581049773</c:v>
                </c:pt>
                <c:pt idx="17">
                  <c:v>623.55932936985084</c:v>
                </c:pt>
                <c:pt idx="18">
                  <c:v>588.78063529186454</c:v>
                </c:pt>
                <c:pt idx="19">
                  <c:v>543.63534035891246</c:v>
                </c:pt>
                <c:pt idx="20">
                  <c:v>489.9232450157549</c:v>
                </c:pt>
                <c:pt idx="21">
                  <c:v>429.78568100540542</c:v>
                </c:pt>
                <c:pt idx="22">
                  <c:v>365.62014322989927</c:v>
                </c:pt>
                <c:pt idx="23">
                  <c:v>299.98470919428195</c:v>
                </c:pt>
                <c:pt idx="24">
                  <c:v>235.49605652896443</c:v>
                </c:pt>
                <c:pt idx="25">
                  <c:v>174.72514431000101</c:v>
                </c:pt>
                <c:pt idx="26">
                  <c:v>120.09471703385887</c:v>
                </c:pt>
                <c:pt idx="27">
                  <c:v>73.782717439755459</c:v>
                </c:pt>
                <c:pt idx="28">
                  <c:v>37.635458805541411</c:v>
                </c:pt>
                <c:pt idx="29">
                  <c:v>13.09401826369217</c:v>
                </c:pt>
                <c:pt idx="30">
                  <c:v>1.7485824658361149</c:v>
                </c:pt>
                <c:pt idx="31">
                  <c:v>1.1367856036172501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B6-48F8-82A1-5CFAD9239271}"/>
            </c:ext>
          </c:extLst>
        </c:ser>
        <c:ser>
          <c:idx val="5"/>
          <c:order val="5"/>
          <c:tx>
            <c:strRef>
              <c:f>RTC!$B$22</c:f>
              <c:strCache>
                <c:ptCount val="1"/>
                <c:pt idx="0">
                  <c:v>P(25% Po,θ 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RTC!$C$22:$AH$22</c:f>
              <c:numCache>
                <c:formatCode>General</c:formatCode>
                <c:ptCount val="32"/>
                <c:pt idx="0">
                  <c:v>3.276556267345907</c:v>
                </c:pt>
                <c:pt idx="1">
                  <c:v>12.975599110775763</c:v>
                </c:pt>
                <c:pt idx="2">
                  <c:v>28.710458299221624</c:v>
                </c:pt>
                <c:pt idx="3">
                  <c:v>49.853834651059692</c:v>
                </c:pt>
                <c:pt idx="4">
                  <c:v>75.56280847292453</c:v>
                </c:pt>
                <c:pt idx="5">
                  <c:v>104.81244410789679</c:v>
                </c:pt>
                <c:pt idx="6">
                  <c:v>136.43665088577288</c:v>
                </c:pt>
                <c:pt idx="7">
                  <c:v>169.17467147827435</c:v>
                </c:pt>
                <c:pt idx="8">
                  <c:v>201.7213443151762</c:v>
                </c:pt>
                <c:pt idx="9">
                  <c:v>232.77913625743653</c:v>
                </c:pt>
                <c:pt idx="10">
                  <c:v>261.1098711488475</c:v>
                </c:pt>
                <c:pt idx="11">
                  <c:v>285.58409199209223</c:v>
                </c:pt>
                <c:pt idx="12">
                  <c:v>305.22608883502073</c:v>
                </c:pt>
                <c:pt idx="13">
                  <c:v>319.25279724741068</c:v>
                </c:pt>
                <c:pt idx="14">
                  <c:v>327.10501662869819</c:v>
                </c:pt>
                <c:pt idx="15">
                  <c:v>328.46970377126252</c:v>
                </c:pt>
                <c:pt idx="16">
                  <c:v>323.29245290524887</c:v>
                </c:pt>
                <c:pt idx="17">
                  <c:v>311.77966468492542</c:v>
                </c:pt>
                <c:pt idx="18">
                  <c:v>294.39031764593227</c:v>
                </c:pt>
                <c:pt idx="19">
                  <c:v>271.81767017945623</c:v>
                </c:pt>
                <c:pt idx="20">
                  <c:v>244.96162250787745</c:v>
                </c:pt>
                <c:pt idx="21">
                  <c:v>214.89284050270271</c:v>
                </c:pt>
                <c:pt idx="22">
                  <c:v>182.81007161494963</c:v>
                </c:pt>
                <c:pt idx="23">
                  <c:v>149.99235459714097</c:v>
                </c:pt>
                <c:pt idx="24">
                  <c:v>117.74802826448222</c:v>
                </c:pt>
                <c:pt idx="25">
                  <c:v>87.362572155000507</c:v>
                </c:pt>
                <c:pt idx="26">
                  <c:v>60.047358516929435</c:v>
                </c:pt>
                <c:pt idx="27">
                  <c:v>36.891358719877729</c:v>
                </c:pt>
                <c:pt idx="28">
                  <c:v>18.817729402770706</c:v>
                </c:pt>
                <c:pt idx="29">
                  <c:v>6.5470091318460852</c:v>
                </c:pt>
                <c:pt idx="30">
                  <c:v>0.87429123291805744</c:v>
                </c:pt>
                <c:pt idx="31">
                  <c:v>0.56839280180862506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B6-48F8-82A1-5CFAD9239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769839"/>
        <c:axId val="1386757359"/>
      </c:scatterChart>
      <c:valAx>
        <c:axId val="1407978431"/>
        <c:scaling>
          <c:orientation val="minMax"/>
          <c:max val="3"/>
          <c:min val="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θ</a:t>
                </a:r>
                <a:r>
                  <a:rPr lang="en-US"/>
                  <a:t> [rad]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6511"/>
        <c:crosses val="autoZero"/>
        <c:crossBetween val="midCat"/>
      </c:valAx>
      <c:valAx>
        <c:axId val="1407976511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Required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8431"/>
        <c:crosses val="autoZero"/>
        <c:crossBetween val="midCat"/>
      </c:valAx>
      <c:valAx>
        <c:axId val="138675735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769839"/>
        <c:crosses val="max"/>
        <c:crossBetween val="midCat"/>
      </c:valAx>
      <c:valAx>
        <c:axId val="1386769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6757359"/>
        <c:crosses val="autoZero"/>
        <c:crossBetween val="midCat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7400784694515914"/>
          <c:y val="0.13638621197560691"/>
          <c:w val="0.21892062941150561"/>
          <c:h val="0.28872133856641191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Gain curve vs Minimum Required Gain for PFC regulation@Vin_min</a:t>
            </a:r>
            <a:endParaRPr lang="el-GR"/>
          </a:p>
        </c:rich>
      </c:tx>
      <c:layout>
        <c:manualLayout>
          <c:xMode val="edge"/>
          <c:yMode val="edge"/>
          <c:x val="0.16144385855423607"/>
          <c:y val="2.3272468193682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537278270281668"/>
          <c:y val="0.13621061702503653"/>
          <c:w val="0.82634951881014873"/>
          <c:h val="0.73685758765226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RTC!$B$28</c:f>
              <c:strCache>
                <c:ptCount val="1"/>
                <c:pt idx="0">
                  <c:v>M.OL(fn)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RTC!$C$28:$CG$28</c:f>
              <c:numCache>
                <c:formatCode>General</c:formatCode>
                <c:ptCount val="83"/>
                <c:pt idx="0">
                  <c:v>2.1818182512396718E-8</c:v>
                </c:pt>
                <c:pt idx="1">
                  <c:v>1.2886419367458453E-3</c:v>
                </c:pt>
                <c:pt idx="2">
                  <c:v>3.2957540508757933E-3</c:v>
                </c:pt>
                <c:pt idx="3">
                  <c:v>6.2466838217803949E-3</c:v>
                </c:pt>
                <c:pt idx="4">
                  <c:v>1.0165634844491057E-2</c:v>
                </c:pt>
                <c:pt idx="5">
                  <c:v>1.5085230808885637E-2</c:v>
                </c:pt>
                <c:pt idx="6">
                  <c:v>2.104720710419164E-2</c:v>
                </c:pt>
                <c:pt idx="7">
                  <c:v>2.8103319587713758E-2</c:v>
                </c:pt>
                <c:pt idx="8">
                  <c:v>3.6316508449383139E-2</c:v>
                </c:pt>
                <c:pt idx="9">
                  <c:v>4.5762367743434479E-2</c:v>
                </c:pt>
                <c:pt idx="10">
                  <c:v>5.6530987448607108E-2</c:v>
                </c:pt>
                <c:pt idx="11">
                  <c:v>6.8729256295102084E-2</c:v>
                </c:pt>
                <c:pt idx="12">
                  <c:v>8.2483742085161724E-2</c:v>
                </c:pt>
                <c:pt idx="13">
                  <c:v>9.7944304735298124E-2</c:v>
                </c:pt>
                <c:pt idx="14">
                  <c:v>0.11528864999952876</c:v>
                </c:pt>
                <c:pt idx="15">
                  <c:v>0.1347281050187448</c:v>
                </c:pt>
                <c:pt idx="16">
                  <c:v>0.15651499980883612</c:v>
                </c:pt>
                <c:pt idx="17">
                  <c:v>0.18095218575415503</c:v>
                </c:pt>
                <c:pt idx="18">
                  <c:v>0.20840543512238516</c:v>
                </c:pt>
                <c:pt idx="19">
                  <c:v>0.23931977930378859</c:v>
                </c:pt>
                <c:pt idx="20">
                  <c:v>0.27424131386312434</c:v>
                </c:pt>
                <c:pt idx="21">
                  <c:v>0.31384671772931005</c:v>
                </c:pt>
                <c:pt idx="22">
                  <c:v>0.3589838574142431</c:v>
                </c:pt>
                <c:pt idx="23">
                  <c:v>0.41072864448862639</c:v>
                </c:pt>
                <c:pt idx="24">
                  <c:v>0.47046626668653735</c:v>
                </c:pt>
                <c:pt idx="25">
                  <c:v>0.54000990781304037</c:v>
                </c:pt>
                <c:pt idx="26">
                  <c:v>0.62177881033586746</c:v>
                </c:pt>
                <c:pt idx="27">
                  <c:v>0.71907341857608231</c:v>
                </c:pt>
                <c:pt idx="28">
                  <c:v>0.83651551018079373</c:v>
                </c:pt>
                <c:pt idx="29">
                  <c:v>0.98078153994784389</c:v>
                </c:pt>
                <c:pt idx="30">
                  <c:v>1.1618855338834528</c:v>
                </c:pt>
                <c:pt idx="31">
                  <c:v>1.3955605407023011</c:v>
                </c:pt>
                <c:pt idx="32">
                  <c:v>1.70801881699095</c:v>
                </c:pt>
                <c:pt idx="33">
                  <c:v>2.1464163817304032</c:v>
                </c:pt>
                <c:pt idx="34">
                  <c:v>2.8049873938594398</c:v>
                </c:pt>
                <c:pt idx="35">
                  <c:v>3.9033273688464369</c:v>
                </c:pt>
                <c:pt idx="36">
                  <c:v>6.098718634915044</c:v>
                </c:pt>
                <c:pt idx="37">
                  <c:v>12.659566924581251</c:v>
                </c:pt>
                <c:pt idx="38">
                  <c:v>1921.5837087114464</c:v>
                </c:pt>
                <c:pt idx="39">
                  <c:v>42.249999999987104</c:v>
                </c:pt>
                <c:pt idx="40">
                  <c:v>10.581427390464974</c:v>
                </c:pt>
                <c:pt idx="41">
                  <c:v>6.2413366336631526</c:v>
                </c:pt>
                <c:pt idx="42">
                  <c:v>4.5187319884725161</c:v>
                </c:pt>
                <c:pt idx="43">
                  <c:v>3.5949449125080415</c:v>
                </c:pt>
                <c:pt idx="44">
                  <c:v>3.0192994996425648</c:v>
                </c:pt>
                <c:pt idx="45">
                  <c:v>2.6264591439688467</c:v>
                </c:pt>
                <c:pt idx="46">
                  <c:v>2.3414634146341284</c:v>
                </c:pt>
                <c:pt idx="47">
                  <c:v>2.1254008980115326</c:v>
                </c:pt>
                <c:pt idx="48">
                  <c:v>1.9560649474689491</c:v>
                </c:pt>
                <c:pt idx="49">
                  <c:v>1.8198585144012047</c:v>
                </c:pt>
                <c:pt idx="50">
                  <c:v>1.7079905491189553</c:v>
                </c:pt>
                <c:pt idx="51">
                  <c:v>1.6145251396647997</c:v>
                </c:pt>
                <c:pt idx="52">
                  <c:v>1.5353095649293769</c:v>
                </c:pt>
                <c:pt idx="53">
                  <c:v>1.4673515584189416</c:v>
                </c:pt>
                <c:pt idx="54">
                  <c:v>1.4084404999094342</c:v>
                </c:pt>
                <c:pt idx="55">
                  <c:v>1.35690789473684</c:v>
                </c:pt>
                <c:pt idx="56">
                  <c:v>1.3114708393594574</c:v>
                </c:pt>
                <c:pt idx="57">
                  <c:v>1.2711267605633787</c:v>
                </c:pt>
                <c:pt idx="58">
                  <c:v>1.2350808487203404</c:v>
                </c:pt>
                <c:pt idx="59">
                  <c:v>1.2026949211102145</c:v>
                </c:pt>
                <c:pt idx="60">
                  <c:v>1.1734506784011727</c:v>
                </c:pt>
                <c:pt idx="61">
                  <c:v>1.1469228398232809</c:v>
                </c:pt>
                <c:pt idx="62">
                  <c:v>1.1227591914225556</c:v>
                </c:pt>
                <c:pt idx="63">
                  <c:v>1.1006655574043258</c:v>
                </c:pt>
                <c:pt idx="64">
                  <c:v>1.080394333380958</c:v>
                </c:pt>
                <c:pt idx="65">
                  <c:v>1.0617356341095658</c:v>
                </c:pt>
                <c:pt idx="66">
                  <c:v>1.0445103857566764</c:v>
                </c:pt>
                <c:pt idx="67">
                  <c:v>1.0285648819980142</c:v>
                </c:pt>
                <c:pt idx="68">
                  <c:v>1.0137664544300213</c:v>
                </c:pt>
                <c:pt idx="69">
                  <c:v>1</c:v>
                </c:pt>
                <c:pt idx="70">
                  <c:v>0.96756638701644149</c:v>
                </c:pt>
                <c:pt idx="71">
                  <c:v>0.94029649207737387</c:v>
                </c:pt>
                <c:pt idx="72">
                  <c:v>0.9170912797089299</c:v>
                </c:pt>
                <c:pt idx="73">
                  <c:v>0.89713972557044763</c:v>
                </c:pt>
                <c:pt idx="74">
                  <c:v>0.87983058019429439</c:v>
                </c:pt>
                <c:pt idx="75">
                  <c:v>0.86469466359597535</c:v>
                </c:pt>
                <c:pt idx="76">
                  <c:v>0.85136604264766635</c:v>
                </c:pt>
                <c:pt idx="77">
                  <c:v>0.83955525874231718</c:v>
                </c:pt>
                <c:pt idx="78">
                  <c:v>0.82903045930975283</c:v>
                </c:pt>
                <c:pt idx="79">
                  <c:v>0.81960384055727298</c:v>
                </c:pt>
                <c:pt idx="80">
                  <c:v>0.81112173694104106</c:v>
                </c:pt>
                <c:pt idx="81">
                  <c:v>0.80345726326884537</c:v>
                </c:pt>
                <c:pt idx="82">
                  <c:v>0.7965047748976446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1A-4646-A881-51F4711768D8}"/>
            </c:ext>
          </c:extLst>
        </c:ser>
        <c:ser>
          <c:idx val="1"/>
          <c:order val="1"/>
          <c:tx>
            <c:strRef>
              <c:f>RTC!$B$47</c:f>
              <c:strCache>
                <c:ptCount val="1"/>
                <c:pt idx="0">
                  <c:v>M(fn,Po,π/2)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RTC!$C$47:$CG$47</c:f>
              <c:numCache>
                <c:formatCode>General</c:formatCode>
                <c:ptCount val="83"/>
                <c:pt idx="0">
                  <c:v>2.1818182382492675E-8</c:v>
                </c:pt>
                <c:pt idx="1">
                  <c:v>1.2881887010930794E-3</c:v>
                </c:pt>
                <c:pt idx="2">
                  <c:v>3.2927886442313385E-3</c:v>
                </c:pt>
                <c:pt idx="3">
                  <c:v>6.2360266346062031E-3</c:v>
                </c:pt>
                <c:pt idx="4">
                  <c:v>1.0137396704165301E-2</c:v>
                </c:pt>
                <c:pt idx="5">
                  <c:v>1.5023007895528954E-2</c:v>
                </c:pt>
                <c:pt idx="6">
                  <c:v>2.0925987778792478E-2</c:v>
                </c:pt>
                <c:pt idx="7">
                  <c:v>2.7887001276361342E-2</c:v>
                </c:pt>
                <c:pt idx="8">
                  <c:v>3.5954897539339017E-2</c:v>
                </c:pt>
                <c:pt idx="9">
                  <c:v>4.5187500817546217E-2</c:v>
                </c:pt>
                <c:pt idx="10">
                  <c:v>5.5652564835327163E-2</c:v>
                </c:pt>
                <c:pt idx="11">
                  <c:v>6.7428914152122668E-2</c:v>
                </c:pt>
                <c:pt idx="12">
                  <c:v>8.0607800331455051E-2</c:v>
                </c:pt>
                <c:pt idx="13">
                  <c:v>9.5294505365001059E-2</c:v>
                </c:pt>
                <c:pt idx="14">
                  <c:v>0.11161022945863958</c:v>
                </c:pt>
                <c:pt idx="15">
                  <c:v>0.12969430450041747</c:v>
                </c:pt>
                <c:pt idx="16">
                  <c:v>0.14970677740192706</c:v>
                </c:pt>
                <c:pt idx="17">
                  <c:v>0.17183140745740369</c:v>
                </c:pt>
                <c:pt idx="18">
                  <c:v>0.19627911619524036</c:v>
                </c:pt>
                <c:pt idx="19">
                  <c:v>0.22329191235764032</c:v>
                </c:pt>
                <c:pt idx="20">
                  <c:v>0.25314728109657647</c:v>
                </c:pt>
                <c:pt idx="21">
                  <c:v>0.28616296286546417</c:v>
                </c:pt>
                <c:pt idx="22">
                  <c:v>0.32270193381356715</c:v>
                </c:pt>
                <c:pt idx="23">
                  <c:v>0.36317720380577329</c:v>
                </c:pt>
                <c:pt idx="24">
                  <c:v>0.40805572039200749</c:v>
                </c:pt>
                <c:pt idx="25">
                  <c:v>0.45786013065995684</c:v>
                </c:pt>
                <c:pt idx="26">
                  <c:v>0.51316629609248432</c:v>
                </c:pt>
                <c:pt idx="27">
                  <c:v>0.57459312657902117</c:v>
                </c:pt>
                <c:pt idx="28">
                  <c:v>0.64277932160959372</c:v>
                </c:pt>
                <c:pt idx="29">
                  <c:v>0.71833884691119299</c:v>
                </c:pt>
                <c:pt idx="30">
                  <c:v>0.80178354597124124</c:v>
                </c:pt>
                <c:pt idx="31">
                  <c:v>0.89339801137383779</c:v>
                </c:pt>
                <c:pt idx="32">
                  <c:v>0.99305115057053139</c:v>
                </c:pt>
                <c:pt idx="33">
                  <c:v>1.0999361156437204</c:v>
                </c:pt>
                <c:pt idx="34">
                  <c:v>1.2122544795938535</c:v>
                </c:pt>
                <c:pt idx="35">
                  <c:v>1.3269116345880969</c:v>
                </c:pt>
                <c:pt idx="36">
                  <c:v>1.4393666612797296</c:v>
                </c:pt>
                <c:pt idx="37">
                  <c:v>1.5438437181055409</c:v>
                </c:pt>
                <c:pt idx="38">
                  <c:v>1.634075089047597</c:v>
                </c:pt>
                <c:pt idx="39">
                  <c:v>1.6593385553953328</c:v>
                </c:pt>
                <c:pt idx="40">
                  <c:v>1.7224809596753172</c:v>
                </c:pt>
                <c:pt idx="41">
                  <c:v>1.7617858065342098</c:v>
                </c:pt>
                <c:pt idx="42">
                  <c:v>1.7775007606476596</c:v>
                </c:pt>
                <c:pt idx="43">
                  <c:v>1.7723770936820213</c:v>
                </c:pt>
                <c:pt idx="44">
                  <c:v>1.7506688032071991</c:v>
                </c:pt>
                <c:pt idx="45">
                  <c:v>1.7170352094878036</c:v>
                </c:pt>
                <c:pt idx="46">
                  <c:v>1.6757354437264311</c:v>
                </c:pt>
                <c:pt idx="47">
                  <c:v>1.6302254633798372</c:v>
                </c:pt>
                <c:pt idx="48">
                  <c:v>1.5830741957458498</c:v>
                </c:pt>
                <c:pt idx="49">
                  <c:v>1.5360596375513149</c:v>
                </c:pt>
                <c:pt idx="50">
                  <c:v>1.4903324554146884</c:v>
                </c:pt>
                <c:pt idx="51">
                  <c:v>1.446581713956461</c:v>
                </c:pt>
                <c:pt idx="52">
                  <c:v>1.4051745142564538</c:v>
                </c:pt>
                <c:pt idx="53">
                  <c:v>1.3662628198799427</c:v>
                </c:pt>
                <c:pt idx="54">
                  <c:v>1.329860503810347</c:v>
                </c:pt>
                <c:pt idx="55">
                  <c:v>1.2958967576600455</c:v>
                </c:pt>
                <c:pt idx="56">
                  <c:v>1.2642520414530216</c:v>
                </c:pt>
                <c:pt idx="57">
                  <c:v>1.2347816882910965</c:v>
                </c:pt>
                <c:pt idx="58">
                  <c:v>1.2073310266874606</c:v>
                </c:pt>
                <c:pt idx="59">
                  <c:v>1.1817447922027622</c:v>
                </c:pt>
                <c:pt idx="60">
                  <c:v>1.1578727557635651</c:v>
                </c:pt>
                <c:pt idx="61">
                  <c:v>1.1355728820271946</c:v>
                </c:pt>
                <c:pt idx="62">
                  <c:v>1.1147129003379874</c:v>
                </c:pt>
                <c:pt idx="63">
                  <c:v>1.0951708751382412</c:v>
                </c:pt>
                <c:pt idx="64">
                  <c:v>1.0768351626045636</c:v>
                </c:pt>
                <c:pt idx="65">
                  <c:v>1.0596040061373857</c:v>
                </c:pt>
                <c:pt idx="66">
                  <c:v>1.0433849339971508</c:v>
                </c:pt>
                <c:pt idx="67">
                  <c:v>1.0280940632015909</c:v>
                </c:pt>
                <c:pt idx="68">
                  <c:v>1.0136553747908899</c:v>
                </c:pt>
                <c:pt idx="69">
                  <c:v>1</c:v>
                </c:pt>
                <c:pt idx="70">
                  <c:v>0.96691322680906977</c:v>
                </c:pt>
                <c:pt idx="71">
                  <c:v>0.93798852959219836</c:v>
                </c:pt>
                <c:pt idx="72">
                  <c:v>0.91245116941174087</c:v>
                </c:pt>
                <c:pt idx="73">
                  <c:v>0.88969658878492341</c:v>
                </c:pt>
                <c:pt idx="74">
                  <c:v>0.86924871266921189</c:v>
                </c:pt>
                <c:pt idx="75">
                  <c:v>0.85072914348639261</c:v>
                </c:pt>
                <c:pt idx="76">
                  <c:v>0.83383437970660179</c:v>
                </c:pt>
                <c:pt idx="77">
                  <c:v>0.81831887609351994</c:v>
                </c:pt>
                <c:pt idx="78">
                  <c:v>0.80398235120407913</c:v>
                </c:pt>
                <c:pt idx="79">
                  <c:v>0.7906601946781564</c:v>
                </c:pt>
                <c:pt idx="80">
                  <c:v>0.77821615163793834</c:v>
                </c:pt>
                <c:pt idx="81">
                  <c:v>0.76653669311334505</c:v>
                </c:pt>
                <c:pt idx="82">
                  <c:v>0.75552664554189064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1A-4646-A881-51F4711768D8}"/>
            </c:ext>
          </c:extLst>
        </c:ser>
        <c:ser>
          <c:idx val="2"/>
          <c:order val="2"/>
          <c:tx>
            <c:strRef>
              <c:f>RTC!$B$49</c:f>
              <c:strCache>
                <c:ptCount val="1"/>
                <c:pt idx="0">
                  <c:v>M(fn,Po,π/3)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RTC!$C$49:$CG$49</c:f>
              <c:numCache>
                <c:formatCode>General</c:formatCode>
                <c:ptCount val="83"/>
                <c:pt idx="0">
                  <c:v>2.1818182439325691E-8</c:v>
                </c:pt>
                <c:pt idx="1">
                  <c:v>1.288386932838223E-3</c:v>
                </c:pt>
                <c:pt idx="2">
                  <c:v>3.294085024357045E-3</c:v>
                </c:pt>
                <c:pt idx="3">
                  <c:v>6.2406824378399874E-3</c:v>
                </c:pt>
                <c:pt idx="4">
                  <c:v>1.0149721903320651E-2</c:v>
                </c:pt>
                <c:pt idx="5">
                  <c:v>1.5050135523851146E-2</c:v>
                </c:pt>
                <c:pt idx="6">
                  <c:v>2.0978762930202923E-2</c:v>
                </c:pt>
                <c:pt idx="7">
                  <c:v>2.7981024024538607E-2</c:v>
                </c:pt>
                <c:pt idx="8">
                  <c:v>3.6111767932241016E-2</c:v>
                </c:pt>
                <c:pt idx="9">
                  <c:v>4.5436326096875805E-2</c:v>
                </c:pt>
                <c:pt idx="10">
                  <c:v>5.6031805097773321E-2</c:v>
                </c:pt>
                <c:pt idx="11">
                  <c:v>6.7988664131966317E-2</c:v>
                </c:pt>
                <c:pt idx="12">
                  <c:v>8.1412633661487821E-2</c:v>
                </c:pt>
                <c:pt idx="13">
                  <c:v>9.6427046070027292E-2</c:v>
                </c:pt>
                <c:pt idx="14">
                  <c:v>0.11317566700622338</c:v>
                </c:pt>
                <c:pt idx="15">
                  <c:v>0.13182613823889974</c:v>
                </c:pt>
                <c:pt idx="16">
                  <c:v>0.15257417021874703</c:v>
                </c:pt>
                <c:pt idx="17">
                  <c:v>0.17564865601082363</c:v>
                </c:pt>
                <c:pt idx="18">
                  <c:v>0.20131791842768321</c:v>
                </c:pt>
                <c:pt idx="19">
                  <c:v>0.22989734881129481</c:v>
                </c:pt>
                <c:pt idx="20">
                  <c:v>0.26175874677386279</c:v>
                </c:pt>
                <c:pt idx="21">
                  <c:v>0.29734171889440625</c:v>
                </c:pt>
                <c:pt idx="22">
                  <c:v>0.33716752587048926</c:v>
                </c:pt>
                <c:pt idx="23">
                  <c:v>0.38185574987982207</c:v>
                </c:pt>
                <c:pt idx="24">
                  <c:v>0.4321440215917321</c:v>
                </c:pt>
                <c:pt idx="25">
                  <c:v>0.48891067008148426</c:v>
                </c:pt>
                <c:pt idx="26">
                  <c:v>0.55319928820362751</c:v>
                </c:pt>
                <c:pt idx="27">
                  <c:v>0.62624236450510695</c:v>
                </c:pt>
                <c:pt idx="28">
                  <c:v>0.70947743818119835</c:v>
                </c:pt>
                <c:pt idx="29">
                  <c:v>0.80454211618310545</c:v>
                </c:pt>
                <c:pt idx="30">
                  <c:v>0.91322115987396457</c:v>
                </c:pt>
                <c:pt idx="31">
                  <c:v>1.0372960664446651</c:v>
                </c:pt>
                <c:pt idx="32">
                  <c:v>1.1782121374140366</c:v>
                </c:pt>
                <c:pt idx="33">
                  <c:v>1.3364349780829285</c:v>
                </c:pt>
                <c:pt idx="34">
                  <c:v>1.5103522672564342</c:v>
                </c:pt>
                <c:pt idx="35">
                  <c:v>1.6946933621753784</c:v>
                </c:pt>
                <c:pt idx="36">
                  <c:v>1.8788872930725196</c:v>
                </c:pt>
                <c:pt idx="37">
                  <c:v>2.0466553898913227</c:v>
                </c:pt>
                <c:pt idx="38">
                  <c:v>2.1787661726775815</c:v>
                </c:pt>
                <c:pt idx="39">
                  <c:v>2.2111254628172508</c:v>
                </c:pt>
                <c:pt idx="40">
                  <c:v>2.2733341619235317</c:v>
                </c:pt>
                <c:pt idx="41">
                  <c:v>2.2794758156576145</c:v>
                </c:pt>
                <c:pt idx="42">
                  <c:v>2.2390917769355321</c:v>
                </c:pt>
                <c:pt idx="43">
                  <c:v>2.1671764851446023</c:v>
                </c:pt>
                <c:pt idx="44">
                  <c:v>2.0782664827564985</c:v>
                </c:pt>
                <c:pt idx="45">
                  <c:v>1.9833491584035789</c:v>
                </c:pt>
                <c:pt idx="46">
                  <c:v>1.8894370266624958</c:v>
                </c:pt>
                <c:pt idx="47">
                  <c:v>1.8004036122547353</c:v>
                </c:pt>
                <c:pt idx="48">
                  <c:v>1.7180362951962087</c:v>
                </c:pt>
                <c:pt idx="49">
                  <c:v>1.6428800535467103</c:v>
                </c:pt>
                <c:pt idx="50">
                  <c:v>1.5748033751254678</c:v>
                </c:pt>
                <c:pt idx="51">
                  <c:v>1.5133428875947135</c:v>
                </c:pt>
                <c:pt idx="52">
                  <c:v>1.4579001918992971</c:v>
                </c:pt>
                <c:pt idx="53">
                  <c:v>1.4078482374057375</c:v>
                </c:pt>
                <c:pt idx="54">
                  <c:v>1.3625851213657625</c:v>
                </c:pt>
                <c:pt idx="55">
                  <c:v>1.3215584444011077</c:v>
                </c:pt>
                <c:pt idx="56">
                  <c:v>1.2842737446429706</c:v>
                </c:pt>
                <c:pt idx="57">
                  <c:v>1.2502946995621886</c:v>
                </c:pt>
                <c:pt idx="58">
                  <c:v>1.2192393728204127</c:v>
                </c:pt>
                <c:pt idx="59">
                  <c:v>1.1907748312749207</c:v>
                </c:pt>
                <c:pt idx="60">
                  <c:v>1.1646113567059417</c:v>
                </c:pt>
                <c:pt idx="61">
                  <c:v>1.140496864502047</c:v>
                </c:pt>
                <c:pt idx="62">
                  <c:v>1.1182118061628268</c:v>
                </c:pt>
                <c:pt idx="63">
                  <c:v>1.0975646529978911</c:v>
                </c:pt>
                <c:pt idx="64">
                  <c:v>1.0783879659759421</c:v>
                </c:pt>
                <c:pt idx="65">
                  <c:v>1.0605350123336386</c:v>
                </c:pt>
                <c:pt idx="66">
                  <c:v>1.0438768713069297</c:v>
                </c:pt>
                <c:pt idx="67">
                  <c:v>1.0282999668555644</c:v>
                </c:pt>
                <c:pt idx="68">
                  <c:v>1.0137039676399553</c:v>
                </c:pt>
                <c:pt idx="69">
                  <c:v>1</c:v>
                </c:pt>
                <c:pt idx="70">
                  <c:v>0.96719882159524373</c:v>
                </c:pt>
                <c:pt idx="71">
                  <c:v>0.93899617000083535</c:v>
                </c:pt>
                <c:pt idx="72">
                  <c:v>0.91447253396452466</c:v>
                </c:pt>
                <c:pt idx="73">
                  <c:v>0.8929300910335991</c:v>
                </c:pt>
                <c:pt idx="74">
                  <c:v>0.87383107550355499</c:v>
                </c:pt>
                <c:pt idx="75">
                  <c:v>0.85675526471749119</c:v>
                </c:pt>
                <c:pt idx="76">
                  <c:v>0.84137012873404282</c:v>
                </c:pt>
                <c:pt idx="77">
                  <c:v>0.82740951576527788</c:v>
                </c:pt>
                <c:pt idx="78">
                  <c:v>0.81465819096376568</c:v>
                </c:pt>
                <c:pt idx="79">
                  <c:v>0.80294045572863604</c:v>
                </c:pt>
                <c:pt idx="80">
                  <c:v>0.79211165619735802</c:v>
                </c:pt>
                <c:pt idx="81">
                  <c:v>0.78205176741559146</c:v>
                </c:pt>
                <c:pt idx="82">
                  <c:v>0.77266048914876062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1A-4646-A881-51F4711768D8}"/>
            </c:ext>
          </c:extLst>
        </c:ser>
        <c:ser>
          <c:idx val="3"/>
          <c:order val="3"/>
          <c:tx>
            <c:strRef>
              <c:f>RTC!$B$50</c:f>
              <c:strCache>
                <c:ptCount val="1"/>
                <c:pt idx="0">
                  <c:v>M(fn,Po,π/4)</c:v>
                </c:pt>
              </c:strCache>
            </c:strRef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RTC!$C$50:$CG$50</c:f>
              <c:numCache>
                <c:formatCode>General</c:formatCode>
                <c:ptCount val="83"/>
                <c:pt idx="0">
                  <c:v>2.1818182479920704E-8</c:v>
                </c:pt>
                <c:pt idx="1">
                  <c:v>1.2885285829841006E-3</c:v>
                </c:pt>
                <c:pt idx="2">
                  <c:v>3.2950119481721194E-3</c:v>
                </c:pt>
                <c:pt idx="3">
                  <c:v>6.2440144033623097E-3</c:v>
                </c:pt>
                <c:pt idx="4">
                  <c:v>1.0158553191859945E-2</c:v>
                </c:pt>
                <c:pt idx="5">
                  <c:v>1.5069602622699301E-2</c:v>
                </c:pt>
                <c:pt idx="6">
                  <c:v>2.1016704876682134E-2</c:v>
                </c:pt>
                <c:pt idx="7">
                  <c:v>2.8048768388947723E-2</c:v>
                </c:pt>
                <c:pt idx="8">
                  <c:v>3.6225083729408088E-2</c:v>
                </c:pt>
                <c:pt idx="9">
                  <c:v>4.5616596356075428E-2</c:v>
                </c:pt>
                <c:pt idx="10">
                  <c:v>5.6307487501055131E-2</c:v>
                </c:pt>
                <c:pt idx="11">
                  <c:v>6.83971296301875E-2</c:v>
                </c:pt>
                <c:pt idx="12">
                  <c:v>8.2002502564154742E-2</c:v>
                </c:pt>
                <c:pt idx="13">
                  <c:v>9.7261182059277002E-2</c:v>
                </c:pt>
                <c:pt idx="14">
                  <c:v>0.11433504662530793</c:v>
                </c:pt>
                <c:pt idx="15">
                  <c:v>0.13341489367348136</c:v>
                </c:pt>
                <c:pt idx="16">
                  <c:v>0.15472621704054584</c:v>
                </c:pt>
                <c:pt idx="17">
                  <c:v>0.17853648058534624</c:v>
                </c:pt>
                <c:pt idx="18">
                  <c:v>0.20516433548851423</c:v>
                </c:pt>
                <c:pt idx="19">
                  <c:v>0.23499138428974772</c:v>
                </c:pt>
                <c:pt idx="20">
                  <c:v>0.26847730985236462</c:v>
                </c:pt>
                <c:pt idx="21">
                  <c:v>0.30617948669159406</c:v>
                </c:pt>
                <c:pt idx="22">
                  <c:v>0.34877860915110864</c:v>
                </c:pt>
                <c:pt idx="23">
                  <c:v>0.39711245078414564</c:v>
                </c:pt>
                <c:pt idx="24">
                  <c:v>0.45222066752110879</c:v>
                </c:pt>
                <c:pt idx="25">
                  <c:v>0.51540462938092035</c:v>
                </c:pt>
                <c:pt idx="26">
                  <c:v>0.58830762840615813</c:v>
                </c:pt>
                <c:pt idx="27">
                  <c:v>0.67302232488870162</c:v>
                </c:pt>
                <c:pt idx="28">
                  <c:v>0.77223333712321429</c:v>
                </c:pt>
                <c:pt idx="29">
                  <c:v>0.88940146434470002</c:v>
                </c:pt>
                <c:pt idx="30">
                  <c:v>1.0289864824494521</c:v>
                </c:pt>
                <c:pt idx="31">
                  <c:v>1.1966724314094623</c:v>
                </c:pt>
                <c:pt idx="32">
                  <c:v>1.3994632574174968</c:v>
                </c:pt>
                <c:pt idx="33">
                  <c:v>1.6452628496952006</c:v>
                </c:pt>
                <c:pt idx="34">
                  <c:v>1.9409529095430136</c:v>
                </c:pt>
                <c:pt idx="35">
                  <c:v>2.286856711332343</c:v>
                </c:pt>
                <c:pt idx="36">
                  <c:v>2.664689739148864</c:v>
                </c:pt>
                <c:pt idx="37">
                  <c:v>3.0210297534050943</c:v>
                </c:pt>
                <c:pt idx="38">
                  <c:v>3.2681466330811526</c:v>
                </c:pt>
                <c:pt idx="39">
                  <c:v>3.3110252196145522</c:v>
                </c:pt>
                <c:pt idx="40">
                  <c:v>3.3156909367168934</c:v>
                </c:pt>
                <c:pt idx="41">
                  <c:v>3.165485129035889</c:v>
                </c:pt>
                <c:pt idx="42">
                  <c:v>2.9379147301897302</c:v>
                </c:pt>
                <c:pt idx="43">
                  <c:v>2.6956469422014004</c:v>
                </c:pt>
                <c:pt idx="44">
                  <c:v>2.4705166769883413</c:v>
                </c:pt>
                <c:pt idx="45">
                  <c:v>2.2731978578150067</c:v>
                </c:pt>
                <c:pt idx="46">
                  <c:v>2.1043137440172504</c:v>
                </c:pt>
                <c:pt idx="47">
                  <c:v>1.9607997258777867</c:v>
                </c:pt>
                <c:pt idx="48">
                  <c:v>1.8387414801727384</c:v>
                </c:pt>
                <c:pt idx="49">
                  <c:v>1.7344475901781762</c:v>
                </c:pt>
                <c:pt idx="50">
                  <c:v>1.6447671953798582</c:v>
                </c:pt>
                <c:pt idx="51">
                  <c:v>1.5671176092543677</c:v>
                </c:pt>
                <c:pt idx="52">
                  <c:v>1.4994159312519777</c:v>
                </c:pt>
                <c:pt idx="53">
                  <c:v>1.4399901776491046</c:v>
                </c:pt>
                <c:pt idx="54">
                  <c:v>1.3874966034904137</c:v>
                </c:pt>
                <c:pt idx="55">
                  <c:v>1.3408506390314692</c:v>
                </c:pt>
                <c:pt idx="56">
                  <c:v>1.2991717638123261</c:v>
                </c:pt>
                <c:pt idx="57">
                  <c:v>1.2617403838170929</c:v>
                </c:pt>
                <c:pt idx="58">
                  <c:v>1.2279643637936826</c:v>
                </c:pt>
                <c:pt idx="59">
                  <c:v>1.1973530893088902</c:v>
                </c:pt>
                <c:pt idx="60">
                  <c:v>1.1694973196907215</c:v>
                </c:pt>
                <c:pt idx="61">
                  <c:v>1.1440534718277999</c:v>
                </c:pt>
                <c:pt idx="62">
                  <c:v>1.1207312935183062</c:v>
                </c:pt>
                <c:pt idx="63">
                  <c:v>1.0992841366401696</c:v>
                </c:pt>
                <c:pt idx="64">
                  <c:v>1.0795012330280616</c:v>
                </c:pt>
                <c:pt idx="65">
                  <c:v>1.0612015212514392</c:v>
                </c:pt>
                <c:pt idx="66">
                  <c:v>1.0442286814174895</c:v>
                </c:pt>
                <c:pt idx="67">
                  <c:v>1.028447116660097</c:v>
                </c:pt>
                <c:pt idx="68">
                  <c:v>1.0137386810967635</c:v>
                </c:pt>
                <c:pt idx="69">
                  <c:v>1</c:v>
                </c:pt>
                <c:pt idx="70">
                  <c:v>0.96740297287939647</c:v>
                </c:pt>
                <c:pt idx="71">
                  <c:v>0.9397179046098656</c:v>
                </c:pt>
                <c:pt idx="72">
                  <c:v>0.91592461846307416</c:v>
                </c:pt>
                <c:pt idx="73">
                  <c:v>0.89526144065932423</c:v>
                </c:pt>
                <c:pt idx="74">
                  <c:v>0.87714892036287673</c:v>
                </c:pt>
                <c:pt idx="75">
                  <c:v>0.86113889543855549</c:v>
                </c:pt>
                <c:pt idx="76">
                  <c:v>0.84687964305359276</c:v>
                </c:pt>
                <c:pt idx="77">
                  <c:v>0.83409151190731656</c:v>
                </c:pt>
                <c:pt idx="78">
                  <c:v>0.82254954889244947</c:v>
                </c:pt>
                <c:pt idx="79">
                  <c:v>0.81207089395729926</c:v>
                </c:pt>
                <c:pt idx="80">
                  <c:v>0.80250548884949624</c:v>
                </c:pt>
                <c:pt idx="81">
                  <c:v>0.79372912964468822</c:v>
                </c:pt>
                <c:pt idx="82">
                  <c:v>0.78563820355372038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61A-4646-A881-51F4711768D8}"/>
            </c:ext>
          </c:extLst>
        </c:ser>
        <c:ser>
          <c:idx val="4"/>
          <c:order val="4"/>
          <c:tx>
            <c:strRef>
              <c:f>RTC!$B$53</c:f>
              <c:strCache>
                <c:ptCount val="1"/>
                <c:pt idx="0">
                  <c:v>Mreq(Vin_min, Vout,π/2 )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RTC!$C$53:$CG$53</c:f>
              <c:numCache>
                <c:formatCode>General</c:formatCode>
                <c:ptCount val="83"/>
                <c:pt idx="0">
                  <c:v>1.5209591835918568</c:v>
                </c:pt>
                <c:pt idx="1">
                  <c:v>1.5209591835918568</c:v>
                </c:pt>
                <c:pt idx="2">
                  <c:v>1.5209591835918568</c:v>
                </c:pt>
                <c:pt idx="3">
                  <c:v>1.5209591835918568</c:v>
                </c:pt>
                <c:pt idx="4">
                  <c:v>1.5209591835918568</c:v>
                </c:pt>
                <c:pt idx="5">
                  <c:v>1.5209591835918568</c:v>
                </c:pt>
                <c:pt idx="6">
                  <c:v>1.5209591835918568</c:v>
                </c:pt>
                <c:pt idx="7">
                  <c:v>1.5209591835918568</c:v>
                </c:pt>
                <c:pt idx="8">
                  <c:v>1.5209591835918568</c:v>
                </c:pt>
                <c:pt idx="9">
                  <c:v>1.5209591835918568</c:v>
                </c:pt>
                <c:pt idx="10">
                  <c:v>1.5209591835918568</c:v>
                </c:pt>
                <c:pt idx="11">
                  <c:v>1.5209591835918568</c:v>
                </c:pt>
                <c:pt idx="12">
                  <c:v>1.5209591835918568</c:v>
                </c:pt>
                <c:pt idx="13">
                  <c:v>1.5209591835918568</c:v>
                </c:pt>
                <c:pt idx="14">
                  <c:v>1.5209591835918568</c:v>
                </c:pt>
                <c:pt idx="15">
                  <c:v>1.5209591835918568</c:v>
                </c:pt>
                <c:pt idx="16">
                  <c:v>1.5209591835918568</c:v>
                </c:pt>
                <c:pt idx="17">
                  <c:v>1.5209591835918568</c:v>
                </c:pt>
                <c:pt idx="18">
                  <c:v>1.5209591835918568</c:v>
                </c:pt>
                <c:pt idx="19">
                  <c:v>1.5209591835918568</c:v>
                </c:pt>
                <c:pt idx="20">
                  <c:v>1.5209591835918568</c:v>
                </c:pt>
                <c:pt idx="21">
                  <c:v>1.5209591835918568</c:v>
                </c:pt>
                <c:pt idx="22">
                  <c:v>1.5209591835918568</c:v>
                </c:pt>
                <c:pt idx="23">
                  <c:v>1.5209591835918568</c:v>
                </c:pt>
                <c:pt idx="24">
                  <c:v>1.5209591835918568</c:v>
                </c:pt>
                <c:pt idx="25">
                  <c:v>1.5209591835918568</c:v>
                </c:pt>
                <c:pt idx="26">
                  <c:v>1.5209591835918568</c:v>
                </c:pt>
                <c:pt idx="27">
                  <c:v>1.5209591835918568</c:v>
                </c:pt>
                <c:pt idx="28">
                  <c:v>1.5209591835918568</c:v>
                </c:pt>
                <c:pt idx="29">
                  <c:v>1.5209591835918568</c:v>
                </c:pt>
                <c:pt idx="30">
                  <c:v>1.5209591835918568</c:v>
                </c:pt>
                <c:pt idx="31">
                  <c:v>1.5209591835918568</c:v>
                </c:pt>
                <c:pt idx="32">
                  <c:v>1.5209591835918568</c:v>
                </c:pt>
                <c:pt idx="33">
                  <c:v>1.5209591835918568</c:v>
                </c:pt>
                <c:pt idx="34">
                  <c:v>1.5209591835918568</c:v>
                </c:pt>
                <c:pt idx="35">
                  <c:v>1.5209591835918568</c:v>
                </c:pt>
                <c:pt idx="36">
                  <c:v>1.5209591835918568</c:v>
                </c:pt>
                <c:pt idx="37">
                  <c:v>1.5209591835918568</c:v>
                </c:pt>
                <c:pt idx="38">
                  <c:v>1.5209591835918568</c:v>
                </c:pt>
                <c:pt idx="39">
                  <c:v>1.5209591835918568</c:v>
                </c:pt>
                <c:pt idx="40">
                  <c:v>1.5209591835918568</c:v>
                </c:pt>
                <c:pt idx="41">
                  <c:v>1.5209591835918568</c:v>
                </c:pt>
                <c:pt idx="42">
                  <c:v>1.5209591835918568</c:v>
                </c:pt>
                <c:pt idx="43">
                  <c:v>1.5209591835918568</c:v>
                </c:pt>
                <c:pt idx="44">
                  <c:v>1.5209591835918568</c:v>
                </c:pt>
                <c:pt idx="45">
                  <c:v>1.5209591835918568</c:v>
                </c:pt>
                <c:pt idx="46">
                  <c:v>1.5209591835918568</c:v>
                </c:pt>
                <c:pt idx="47">
                  <c:v>1.5209591835918568</c:v>
                </c:pt>
                <c:pt idx="48">
                  <c:v>1.5209591835918568</c:v>
                </c:pt>
                <c:pt idx="49">
                  <c:v>1.5209591835918568</c:v>
                </c:pt>
                <c:pt idx="50">
                  <c:v>1.5209591835918568</c:v>
                </c:pt>
                <c:pt idx="51">
                  <c:v>1.5209591835918568</c:v>
                </c:pt>
                <c:pt idx="52">
                  <c:v>1.5209591835918568</c:v>
                </c:pt>
                <c:pt idx="53">
                  <c:v>1.5209591835918568</c:v>
                </c:pt>
                <c:pt idx="54">
                  <c:v>1.5209591835918568</c:v>
                </c:pt>
                <c:pt idx="55">
                  <c:v>1.5209591835918568</c:v>
                </c:pt>
                <c:pt idx="56">
                  <c:v>1.5209591835918568</c:v>
                </c:pt>
                <c:pt idx="57">
                  <c:v>1.5209591835918568</c:v>
                </c:pt>
                <c:pt idx="58">
                  <c:v>1.5209591835918568</c:v>
                </c:pt>
                <c:pt idx="59">
                  <c:v>1.5209591835918568</c:v>
                </c:pt>
                <c:pt idx="60">
                  <c:v>1.5209591835918568</c:v>
                </c:pt>
                <c:pt idx="61">
                  <c:v>1.5209591835918568</c:v>
                </c:pt>
                <c:pt idx="62">
                  <c:v>1.5209591835918568</c:v>
                </c:pt>
                <c:pt idx="63">
                  <c:v>1.5209591835918568</c:v>
                </c:pt>
                <c:pt idx="64">
                  <c:v>1.5209591835918568</c:v>
                </c:pt>
                <c:pt idx="65">
                  <c:v>1.5209591835918568</c:v>
                </c:pt>
                <c:pt idx="66">
                  <c:v>1.5209591835918568</c:v>
                </c:pt>
                <c:pt idx="67">
                  <c:v>1.5209591835918568</c:v>
                </c:pt>
                <c:pt idx="68">
                  <c:v>1.5209591835918568</c:v>
                </c:pt>
                <c:pt idx="69">
                  <c:v>1.5209591835918568</c:v>
                </c:pt>
                <c:pt idx="70">
                  <c:v>1.5209591835918568</c:v>
                </c:pt>
                <c:pt idx="71">
                  <c:v>1.5209591835918568</c:v>
                </c:pt>
                <c:pt idx="72">
                  <c:v>1.5209591835918568</c:v>
                </c:pt>
                <c:pt idx="73">
                  <c:v>1.5209591835918568</c:v>
                </c:pt>
                <c:pt idx="74">
                  <c:v>1.5209591835918568</c:v>
                </c:pt>
                <c:pt idx="75">
                  <c:v>1.5209591835918568</c:v>
                </c:pt>
                <c:pt idx="76">
                  <c:v>1.5209591835918568</c:v>
                </c:pt>
                <c:pt idx="77">
                  <c:v>1.5209591835918568</c:v>
                </c:pt>
                <c:pt idx="78">
                  <c:v>1.5209591835918568</c:v>
                </c:pt>
                <c:pt idx="79">
                  <c:v>1.5209591835918568</c:v>
                </c:pt>
                <c:pt idx="80">
                  <c:v>1.5209591835918568</c:v>
                </c:pt>
                <c:pt idx="81">
                  <c:v>1.5209591835918568</c:v>
                </c:pt>
                <c:pt idx="82">
                  <c:v>1.5209591835918568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61A-4646-A881-51F4711768D8}"/>
            </c:ext>
          </c:extLst>
        </c:ser>
        <c:ser>
          <c:idx val="5"/>
          <c:order val="5"/>
          <c:tx>
            <c:strRef>
              <c:f>RTC!$B$55</c:f>
              <c:strCache>
                <c:ptCount val="1"/>
                <c:pt idx="0">
                  <c:v>Mreq(Vin_min, Vout,π/3 )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RTC!$C$55:$CG$55</c:f>
              <c:numCache>
                <c:formatCode>General</c:formatCode>
                <c:ptCount val="83"/>
                <c:pt idx="0">
                  <c:v>1.7562523881463841</c:v>
                </c:pt>
                <c:pt idx="1">
                  <c:v>1.7562523881463841</c:v>
                </c:pt>
                <c:pt idx="2">
                  <c:v>1.7562523881463841</c:v>
                </c:pt>
                <c:pt idx="3">
                  <c:v>1.7562523881463841</c:v>
                </c:pt>
                <c:pt idx="4">
                  <c:v>1.7562523881463841</c:v>
                </c:pt>
                <c:pt idx="5">
                  <c:v>1.7562523881463841</c:v>
                </c:pt>
                <c:pt idx="6">
                  <c:v>1.7562523881463841</c:v>
                </c:pt>
                <c:pt idx="7">
                  <c:v>1.7562523881463841</c:v>
                </c:pt>
                <c:pt idx="8">
                  <c:v>1.7562523881463841</c:v>
                </c:pt>
                <c:pt idx="9">
                  <c:v>1.7562523881463841</c:v>
                </c:pt>
                <c:pt idx="10">
                  <c:v>1.7562523881463841</c:v>
                </c:pt>
                <c:pt idx="11">
                  <c:v>1.7562523881463841</c:v>
                </c:pt>
                <c:pt idx="12">
                  <c:v>1.7562523881463841</c:v>
                </c:pt>
                <c:pt idx="13">
                  <c:v>1.7562523881463841</c:v>
                </c:pt>
                <c:pt idx="14">
                  <c:v>1.7562523881463841</c:v>
                </c:pt>
                <c:pt idx="15">
                  <c:v>1.7562523881463841</c:v>
                </c:pt>
                <c:pt idx="16">
                  <c:v>1.7562523881463841</c:v>
                </c:pt>
                <c:pt idx="17">
                  <c:v>1.7562523881463841</c:v>
                </c:pt>
                <c:pt idx="18">
                  <c:v>1.7562523881463841</c:v>
                </c:pt>
                <c:pt idx="19">
                  <c:v>1.7562523881463841</c:v>
                </c:pt>
                <c:pt idx="20">
                  <c:v>1.7562523881463841</c:v>
                </c:pt>
                <c:pt idx="21">
                  <c:v>1.7562523881463841</c:v>
                </c:pt>
                <c:pt idx="22">
                  <c:v>1.7562523881463841</c:v>
                </c:pt>
                <c:pt idx="23">
                  <c:v>1.7562523881463841</c:v>
                </c:pt>
                <c:pt idx="24">
                  <c:v>1.7562523881463841</c:v>
                </c:pt>
                <c:pt idx="25">
                  <c:v>1.7562523881463841</c:v>
                </c:pt>
                <c:pt idx="26">
                  <c:v>1.7562523881463841</c:v>
                </c:pt>
                <c:pt idx="27">
                  <c:v>1.7562523881463841</c:v>
                </c:pt>
                <c:pt idx="28">
                  <c:v>1.7562523881463841</c:v>
                </c:pt>
                <c:pt idx="29">
                  <c:v>1.7562523881463841</c:v>
                </c:pt>
                <c:pt idx="30">
                  <c:v>1.7562523881463841</c:v>
                </c:pt>
                <c:pt idx="31">
                  <c:v>1.7562523881463841</c:v>
                </c:pt>
                <c:pt idx="32">
                  <c:v>1.7562523881463841</c:v>
                </c:pt>
                <c:pt idx="33">
                  <c:v>1.7562523881463841</c:v>
                </c:pt>
                <c:pt idx="34">
                  <c:v>1.7562523881463841</c:v>
                </c:pt>
                <c:pt idx="35">
                  <c:v>1.7562523881463841</c:v>
                </c:pt>
                <c:pt idx="36">
                  <c:v>1.7562523881463841</c:v>
                </c:pt>
                <c:pt idx="37">
                  <c:v>1.7562523881463841</c:v>
                </c:pt>
                <c:pt idx="38">
                  <c:v>1.7562523881463841</c:v>
                </c:pt>
                <c:pt idx="39">
                  <c:v>1.7562523881463841</c:v>
                </c:pt>
                <c:pt idx="40">
                  <c:v>1.7562523881463841</c:v>
                </c:pt>
                <c:pt idx="41">
                  <c:v>1.7562523881463841</c:v>
                </c:pt>
                <c:pt idx="42">
                  <c:v>1.7562523881463841</c:v>
                </c:pt>
                <c:pt idx="43">
                  <c:v>1.7562523881463841</c:v>
                </c:pt>
                <c:pt idx="44">
                  <c:v>1.7562523881463841</c:v>
                </c:pt>
                <c:pt idx="45">
                  <c:v>1.7562523881463841</c:v>
                </c:pt>
                <c:pt idx="46">
                  <c:v>1.7562523881463841</c:v>
                </c:pt>
                <c:pt idx="47">
                  <c:v>1.7562523881463841</c:v>
                </c:pt>
                <c:pt idx="48">
                  <c:v>1.7562523881463841</c:v>
                </c:pt>
                <c:pt idx="49">
                  <c:v>1.7562523881463841</c:v>
                </c:pt>
                <c:pt idx="50">
                  <c:v>1.7562523881463841</c:v>
                </c:pt>
                <c:pt idx="51">
                  <c:v>1.7562523881463841</c:v>
                </c:pt>
                <c:pt idx="52">
                  <c:v>1.7562523881463841</c:v>
                </c:pt>
                <c:pt idx="53">
                  <c:v>1.7562523881463841</c:v>
                </c:pt>
                <c:pt idx="54">
                  <c:v>1.7562523881463841</c:v>
                </c:pt>
                <c:pt idx="55">
                  <c:v>1.7562523881463841</c:v>
                </c:pt>
                <c:pt idx="56">
                  <c:v>1.7562523881463841</c:v>
                </c:pt>
                <c:pt idx="57">
                  <c:v>1.7562523881463841</c:v>
                </c:pt>
                <c:pt idx="58">
                  <c:v>1.7562523881463841</c:v>
                </c:pt>
                <c:pt idx="59">
                  <c:v>1.7562523881463841</c:v>
                </c:pt>
                <c:pt idx="60">
                  <c:v>1.7562523881463841</c:v>
                </c:pt>
                <c:pt idx="61">
                  <c:v>1.7562523881463841</c:v>
                </c:pt>
                <c:pt idx="62">
                  <c:v>1.7562523881463841</c:v>
                </c:pt>
                <c:pt idx="63">
                  <c:v>1.7562523881463841</c:v>
                </c:pt>
                <c:pt idx="64">
                  <c:v>1.7562523881463841</c:v>
                </c:pt>
                <c:pt idx="65">
                  <c:v>1.7562523881463841</c:v>
                </c:pt>
                <c:pt idx="66">
                  <c:v>1.7562523881463841</c:v>
                </c:pt>
                <c:pt idx="67">
                  <c:v>1.7562523881463841</c:v>
                </c:pt>
                <c:pt idx="68">
                  <c:v>1.7562523881463841</c:v>
                </c:pt>
                <c:pt idx="69">
                  <c:v>1.7562523881463841</c:v>
                </c:pt>
                <c:pt idx="70">
                  <c:v>1.7562523881463841</c:v>
                </c:pt>
                <c:pt idx="71">
                  <c:v>1.7562523881463841</c:v>
                </c:pt>
                <c:pt idx="72">
                  <c:v>1.7562523881463841</c:v>
                </c:pt>
                <c:pt idx="73">
                  <c:v>1.7562523881463841</c:v>
                </c:pt>
                <c:pt idx="74">
                  <c:v>1.7562523881463841</c:v>
                </c:pt>
                <c:pt idx="75">
                  <c:v>1.7562523881463841</c:v>
                </c:pt>
                <c:pt idx="76">
                  <c:v>1.7562523881463841</c:v>
                </c:pt>
                <c:pt idx="77">
                  <c:v>1.7562523881463841</c:v>
                </c:pt>
                <c:pt idx="78">
                  <c:v>1.7562523881463841</c:v>
                </c:pt>
                <c:pt idx="79">
                  <c:v>1.7562523881463841</c:v>
                </c:pt>
                <c:pt idx="80">
                  <c:v>1.7562523881463841</c:v>
                </c:pt>
                <c:pt idx="81">
                  <c:v>1.7562523881463841</c:v>
                </c:pt>
                <c:pt idx="82">
                  <c:v>1.7562523881463841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61A-4646-A881-51F4711768D8}"/>
            </c:ext>
          </c:extLst>
        </c:ser>
        <c:ser>
          <c:idx val="6"/>
          <c:order val="6"/>
          <c:tx>
            <c:strRef>
              <c:f>RTC!$B$56</c:f>
              <c:strCache>
                <c:ptCount val="1"/>
                <c:pt idx="0">
                  <c:v>Mreq(Vin_min, Vout,π/4 )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RTC!$C$56:$CG$56</c:f>
              <c:numCache>
                <c:formatCode>General</c:formatCode>
                <c:ptCount val="83"/>
                <c:pt idx="0">
                  <c:v>2.1509611052515143</c:v>
                </c:pt>
                <c:pt idx="1">
                  <c:v>2.1509611052515143</c:v>
                </c:pt>
                <c:pt idx="2">
                  <c:v>2.1509611052515143</c:v>
                </c:pt>
                <c:pt idx="3">
                  <c:v>2.1509611052515143</c:v>
                </c:pt>
                <c:pt idx="4">
                  <c:v>2.1509611052515143</c:v>
                </c:pt>
                <c:pt idx="5">
                  <c:v>2.1509611052515143</c:v>
                </c:pt>
                <c:pt idx="6">
                  <c:v>2.1509611052515143</c:v>
                </c:pt>
                <c:pt idx="7">
                  <c:v>2.1509611052515143</c:v>
                </c:pt>
                <c:pt idx="8">
                  <c:v>2.1509611052515143</c:v>
                </c:pt>
                <c:pt idx="9">
                  <c:v>2.1509611052515143</c:v>
                </c:pt>
                <c:pt idx="10">
                  <c:v>2.1509611052515143</c:v>
                </c:pt>
                <c:pt idx="11">
                  <c:v>2.1509611052515143</c:v>
                </c:pt>
                <c:pt idx="12">
                  <c:v>2.1509611052515143</c:v>
                </c:pt>
                <c:pt idx="13">
                  <c:v>2.1509611052515143</c:v>
                </c:pt>
                <c:pt idx="14">
                  <c:v>2.1509611052515143</c:v>
                </c:pt>
                <c:pt idx="15">
                  <c:v>2.1509611052515143</c:v>
                </c:pt>
                <c:pt idx="16">
                  <c:v>2.1509611052515143</c:v>
                </c:pt>
                <c:pt idx="17">
                  <c:v>2.1509611052515143</c:v>
                </c:pt>
                <c:pt idx="18">
                  <c:v>2.1509611052515143</c:v>
                </c:pt>
                <c:pt idx="19">
                  <c:v>2.1509611052515143</c:v>
                </c:pt>
                <c:pt idx="20">
                  <c:v>2.1509611052515143</c:v>
                </c:pt>
                <c:pt idx="21">
                  <c:v>2.1509611052515143</c:v>
                </c:pt>
                <c:pt idx="22">
                  <c:v>2.1509611052515143</c:v>
                </c:pt>
                <c:pt idx="23">
                  <c:v>2.1509611052515143</c:v>
                </c:pt>
                <c:pt idx="24">
                  <c:v>2.1509611052515143</c:v>
                </c:pt>
                <c:pt idx="25">
                  <c:v>2.1509611052515143</c:v>
                </c:pt>
                <c:pt idx="26">
                  <c:v>2.1509611052515143</c:v>
                </c:pt>
                <c:pt idx="27">
                  <c:v>2.1509611052515143</c:v>
                </c:pt>
                <c:pt idx="28">
                  <c:v>2.1509611052515143</c:v>
                </c:pt>
                <c:pt idx="29">
                  <c:v>2.1509611052515143</c:v>
                </c:pt>
                <c:pt idx="30">
                  <c:v>2.1509611052515143</c:v>
                </c:pt>
                <c:pt idx="31">
                  <c:v>2.1509611052515143</c:v>
                </c:pt>
                <c:pt idx="32">
                  <c:v>2.1509611052515143</c:v>
                </c:pt>
                <c:pt idx="33">
                  <c:v>2.1509611052515143</c:v>
                </c:pt>
                <c:pt idx="34">
                  <c:v>2.1509611052515143</c:v>
                </c:pt>
                <c:pt idx="35">
                  <c:v>2.1509611052515143</c:v>
                </c:pt>
                <c:pt idx="36">
                  <c:v>2.1509611052515143</c:v>
                </c:pt>
                <c:pt idx="37">
                  <c:v>2.1509611052515143</c:v>
                </c:pt>
                <c:pt idx="38">
                  <c:v>2.1509611052515143</c:v>
                </c:pt>
                <c:pt idx="39">
                  <c:v>2.1509611052515143</c:v>
                </c:pt>
                <c:pt idx="40">
                  <c:v>2.1509611052515143</c:v>
                </c:pt>
                <c:pt idx="41">
                  <c:v>2.1509611052515143</c:v>
                </c:pt>
                <c:pt idx="42">
                  <c:v>2.1509611052515143</c:v>
                </c:pt>
                <c:pt idx="43">
                  <c:v>2.1509611052515143</c:v>
                </c:pt>
                <c:pt idx="44">
                  <c:v>2.1509611052515143</c:v>
                </c:pt>
                <c:pt idx="45">
                  <c:v>2.1509611052515143</c:v>
                </c:pt>
                <c:pt idx="46">
                  <c:v>2.1509611052515143</c:v>
                </c:pt>
                <c:pt idx="47">
                  <c:v>2.1509611052515143</c:v>
                </c:pt>
                <c:pt idx="48">
                  <c:v>2.1509611052515143</c:v>
                </c:pt>
                <c:pt idx="49">
                  <c:v>2.1509611052515143</c:v>
                </c:pt>
                <c:pt idx="50">
                  <c:v>2.1509611052515143</c:v>
                </c:pt>
                <c:pt idx="51">
                  <c:v>2.1509611052515143</c:v>
                </c:pt>
                <c:pt idx="52">
                  <c:v>2.1509611052515143</c:v>
                </c:pt>
                <c:pt idx="53">
                  <c:v>2.1509611052515143</c:v>
                </c:pt>
                <c:pt idx="54">
                  <c:v>2.1509611052515143</c:v>
                </c:pt>
                <c:pt idx="55">
                  <c:v>2.1509611052515143</c:v>
                </c:pt>
                <c:pt idx="56">
                  <c:v>2.1509611052515143</c:v>
                </c:pt>
                <c:pt idx="57">
                  <c:v>2.1509611052515143</c:v>
                </c:pt>
                <c:pt idx="58">
                  <c:v>2.1509611052515143</c:v>
                </c:pt>
                <c:pt idx="59">
                  <c:v>2.1509611052515143</c:v>
                </c:pt>
                <c:pt idx="60">
                  <c:v>2.1509611052515143</c:v>
                </c:pt>
                <c:pt idx="61">
                  <c:v>2.1509611052515143</c:v>
                </c:pt>
                <c:pt idx="62">
                  <c:v>2.1509611052515143</c:v>
                </c:pt>
                <c:pt idx="63">
                  <c:v>2.1509611052515143</c:v>
                </c:pt>
                <c:pt idx="64">
                  <c:v>2.1509611052515143</c:v>
                </c:pt>
                <c:pt idx="65">
                  <c:v>2.1509611052515143</c:v>
                </c:pt>
                <c:pt idx="66">
                  <c:v>2.1509611052515143</c:v>
                </c:pt>
                <c:pt idx="67">
                  <c:v>2.1509611052515143</c:v>
                </c:pt>
                <c:pt idx="68">
                  <c:v>2.1509611052515143</c:v>
                </c:pt>
                <c:pt idx="69">
                  <c:v>2.1509611052515143</c:v>
                </c:pt>
                <c:pt idx="70">
                  <c:v>2.1509611052515143</c:v>
                </c:pt>
                <c:pt idx="71">
                  <c:v>2.1509611052515143</c:v>
                </c:pt>
                <c:pt idx="72">
                  <c:v>2.1509611052515143</c:v>
                </c:pt>
                <c:pt idx="73">
                  <c:v>2.1509611052515143</c:v>
                </c:pt>
                <c:pt idx="74">
                  <c:v>2.1509611052515143</c:v>
                </c:pt>
                <c:pt idx="75">
                  <c:v>2.1509611052515143</c:v>
                </c:pt>
                <c:pt idx="76">
                  <c:v>2.1509611052515143</c:v>
                </c:pt>
                <c:pt idx="77">
                  <c:v>2.1509611052515143</c:v>
                </c:pt>
                <c:pt idx="78">
                  <c:v>2.1509611052515143</c:v>
                </c:pt>
                <c:pt idx="79">
                  <c:v>2.1509611052515143</c:v>
                </c:pt>
                <c:pt idx="80">
                  <c:v>2.1509611052515143</c:v>
                </c:pt>
                <c:pt idx="81">
                  <c:v>2.1509611052515143</c:v>
                </c:pt>
                <c:pt idx="82">
                  <c:v>2.1509611052515143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61A-4646-A881-51F4711768D8}"/>
            </c:ext>
          </c:extLst>
        </c:ser>
        <c:ser>
          <c:idx val="7"/>
          <c:order val="7"/>
          <c:tx>
            <c:strRef>
              <c:f>RTC!$B$29</c:f>
              <c:strCache>
                <c:ptCount val="1"/>
                <c:pt idx="0">
                  <c:v>M.Z(fn)</c:v>
                </c:pt>
              </c:strCache>
            </c:strRef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RTC!$C$29:$CG$29</c:f>
              <c:numCache>
                <c:formatCode>General</c:formatCode>
                <c:ptCount val="8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1921.5837087114464</c:v>
                </c:pt>
                <c:pt idx="39">
                  <c:v>6.499999999999007</c:v>
                </c:pt>
                <c:pt idx="40">
                  <c:v>3.2529106029008803</c:v>
                </c:pt>
                <c:pt idx="41">
                  <c:v>2.4982667258847973</c:v>
                </c:pt>
                <c:pt idx="42">
                  <c:v>2.1257309304031207</c:v>
                </c:pt>
                <c:pt idx="43">
                  <c:v>1.8960339956097945</c:v>
                </c:pt>
                <c:pt idx="44">
                  <c:v>1.7376131616797115</c:v>
                </c:pt>
                <c:pt idx="45">
                  <c:v>1.6206354136476369</c:v>
                </c:pt>
                <c:pt idx="46">
                  <c:v>1.5301841113520063</c:v>
                </c:pt>
                <c:pt idx="47">
                  <c:v>1.4578754741100259</c:v>
                </c:pt>
                <c:pt idx="48">
                  <c:v>1.3985939180008431</c:v>
                </c:pt>
                <c:pt idx="49">
                  <c:v>1.3490213172523273</c:v>
                </c:pt>
                <c:pt idx="50">
                  <c:v>1.3069011244615849</c:v>
                </c:pt>
                <c:pt idx="51">
                  <c:v>1.2706396576782892</c:v>
                </c:pt>
                <c:pt idx="52">
                  <c:v>1.2390760932765092</c:v>
                </c:pt>
                <c:pt idx="53">
                  <c:v>1.2113428740117067</c:v>
                </c:pt>
                <c:pt idx="54">
                  <c:v>1.1867773590313537</c:v>
                </c:pt>
                <c:pt idx="55">
                  <c:v>1.1648638953701158</c:v>
                </c:pt>
                <c:pt idx="56">
                  <c:v>1.1451946731274369</c:v>
                </c:pt>
                <c:pt idx="57">
                  <c:v>1.1274425752841599</c:v>
                </c:pt>
                <c:pt idx="58">
                  <c:v>1.1113419135083229</c:v>
                </c:pt>
                <c:pt idx="59">
                  <c:v>1.0966744827478272</c:v>
                </c:pt>
                <c:pt idx="60">
                  <c:v>1.0832592849365161</c:v>
                </c:pt>
                <c:pt idx="61">
                  <c:v>1.0709448350980926</c:v>
                </c:pt>
                <c:pt idx="62">
                  <c:v>1.0596033179556184</c:v>
                </c:pt>
                <c:pt idx="63">
                  <c:v>1.0491260922331147</c:v>
                </c:pt>
                <c:pt idx="64">
                  <c:v>1.0394201909627108</c:v>
                </c:pt>
                <c:pt idx="65">
                  <c:v>1.0304055677788071</c:v>
                </c:pt>
                <c:pt idx="66">
                  <c:v>1.022012908801389</c:v>
                </c:pt>
                <c:pt idx="67">
                  <c:v>1.0141818781648655</c:v>
                </c:pt>
                <c:pt idx="68">
                  <c:v>1.0068596994765564</c:v>
                </c:pt>
                <c:pt idx="69">
                  <c:v>1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61A-4646-A881-51F4711768D8}"/>
            </c:ext>
          </c:extLst>
        </c:ser>
        <c:ser>
          <c:idx val="8"/>
          <c:order val="8"/>
          <c:tx>
            <c:strRef>
              <c:f>RTC!$B$31</c:f>
              <c:strCache>
                <c:ptCount val="1"/>
                <c:pt idx="0">
                  <c:v>Minf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RTC!$C$31:$CG$31</c:f>
              <c:numCache>
                <c:formatCode>General</c:formatCode>
                <c:ptCount val="83"/>
                <c:pt idx="0">
                  <c:v>0.68571428571428572</c:v>
                </c:pt>
                <c:pt idx="1">
                  <c:v>0.68571428571428572</c:v>
                </c:pt>
                <c:pt idx="2">
                  <c:v>0.68571428571428572</c:v>
                </c:pt>
                <c:pt idx="3">
                  <c:v>0.68571428571428572</c:v>
                </c:pt>
                <c:pt idx="4">
                  <c:v>0.68571428571428572</c:v>
                </c:pt>
                <c:pt idx="5">
                  <c:v>0.68571428571428572</c:v>
                </c:pt>
                <c:pt idx="6">
                  <c:v>0.68571428571428572</c:v>
                </c:pt>
                <c:pt idx="7">
                  <c:v>0.68571428571428572</c:v>
                </c:pt>
                <c:pt idx="8">
                  <c:v>0.68571428571428572</c:v>
                </c:pt>
                <c:pt idx="9">
                  <c:v>0.68571428571428572</c:v>
                </c:pt>
                <c:pt idx="10">
                  <c:v>0.68571428571428572</c:v>
                </c:pt>
                <c:pt idx="11">
                  <c:v>0.68571428571428572</c:v>
                </c:pt>
                <c:pt idx="12">
                  <c:v>0.68571428571428572</c:v>
                </c:pt>
                <c:pt idx="13">
                  <c:v>0.68571428571428572</c:v>
                </c:pt>
                <c:pt idx="14">
                  <c:v>0.68571428571428572</c:v>
                </c:pt>
                <c:pt idx="15">
                  <c:v>0.68571428571428572</c:v>
                </c:pt>
                <c:pt idx="16">
                  <c:v>0.68571428571428572</c:v>
                </c:pt>
                <c:pt idx="17">
                  <c:v>0.68571428571428572</c:v>
                </c:pt>
                <c:pt idx="18">
                  <c:v>0.68571428571428572</c:v>
                </c:pt>
                <c:pt idx="19">
                  <c:v>0.68571428571428572</c:v>
                </c:pt>
                <c:pt idx="20">
                  <c:v>0.68571428571428572</c:v>
                </c:pt>
                <c:pt idx="21">
                  <c:v>0.68571428571428572</c:v>
                </c:pt>
                <c:pt idx="22">
                  <c:v>0.68571428571428572</c:v>
                </c:pt>
                <c:pt idx="23">
                  <c:v>0.68571428571428572</c:v>
                </c:pt>
                <c:pt idx="24">
                  <c:v>0.68571428571428572</c:v>
                </c:pt>
                <c:pt idx="25">
                  <c:v>0.68571428571428572</c:v>
                </c:pt>
                <c:pt idx="26">
                  <c:v>0.68571428571428572</c:v>
                </c:pt>
                <c:pt idx="27">
                  <c:v>0.68571428571428572</c:v>
                </c:pt>
                <c:pt idx="28">
                  <c:v>0.68571428571428572</c:v>
                </c:pt>
                <c:pt idx="29">
                  <c:v>0.68571428571428572</c:v>
                </c:pt>
                <c:pt idx="30">
                  <c:v>0.68571428571428572</c:v>
                </c:pt>
                <c:pt idx="31">
                  <c:v>0.68571428571428572</c:v>
                </c:pt>
                <c:pt idx="32">
                  <c:v>0.68571428571428572</c:v>
                </c:pt>
                <c:pt idx="33">
                  <c:v>0.68571428571428572</c:v>
                </c:pt>
                <c:pt idx="34">
                  <c:v>0.68571428571428572</c:v>
                </c:pt>
                <c:pt idx="35">
                  <c:v>0.68571428571428572</c:v>
                </c:pt>
                <c:pt idx="36">
                  <c:v>0.68571428571428572</c:v>
                </c:pt>
                <c:pt idx="37">
                  <c:v>0.68571428571428572</c:v>
                </c:pt>
                <c:pt idx="38">
                  <c:v>0.68571428571428572</c:v>
                </c:pt>
                <c:pt idx="39">
                  <c:v>0.68571428571428572</c:v>
                </c:pt>
                <c:pt idx="40">
                  <c:v>0.68571428571428572</c:v>
                </c:pt>
                <c:pt idx="41">
                  <c:v>0.68571428571428572</c:v>
                </c:pt>
                <c:pt idx="42">
                  <c:v>0.68571428571428572</c:v>
                </c:pt>
                <c:pt idx="43">
                  <c:v>0.68571428571428572</c:v>
                </c:pt>
                <c:pt idx="44">
                  <c:v>0.68571428571428572</c:v>
                </c:pt>
                <c:pt idx="45">
                  <c:v>0.68571428571428572</c:v>
                </c:pt>
                <c:pt idx="46">
                  <c:v>0.68571428571428572</c:v>
                </c:pt>
                <c:pt idx="47">
                  <c:v>0.68571428571428572</c:v>
                </c:pt>
                <c:pt idx="48">
                  <c:v>0.68571428571428572</c:v>
                </c:pt>
                <c:pt idx="49">
                  <c:v>0.68571428571428572</c:v>
                </c:pt>
                <c:pt idx="50">
                  <c:v>0.68571428571428572</c:v>
                </c:pt>
                <c:pt idx="51">
                  <c:v>0.68571428571428572</c:v>
                </c:pt>
                <c:pt idx="52">
                  <c:v>0.68571428571428572</c:v>
                </c:pt>
                <c:pt idx="53">
                  <c:v>0.68571428571428572</c:v>
                </c:pt>
                <c:pt idx="54">
                  <c:v>0.68571428571428572</c:v>
                </c:pt>
                <c:pt idx="55">
                  <c:v>0.68571428571428572</c:v>
                </c:pt>
                <c:pt idx="56">
                  <c:v>0.68571428571428572</c:v>
                </c:pt>
                <c:pt idx="57">
                  <c:v>0.68571428571428572</c:v>
                </c:pt>
                <c:pt idx="58">
                  <c:v>0.68571428571428572</c:v>
                </c:pt>
                <c:pt idx="59">
                  <c:v>0.68571428571428572</c:v>
                </c:pt>
                <c:pt idx="60">
                  <c:v>0.68571428571428572</c:v>
                </c:pt>
                <c:pt idx="61">
                  <c:v>0.68571428571428572</c:v>
                </c:pt>
                <c:pt idx="62">
                  <c:v>0.68571428571428572</c:v>
                </c:pt>
                <c:pt idx="63">
                  <c:v>0.68571428571428572</c:v>
                </c:pt>
                <c:pt idx="64">
                  <c:v>0.68571428571428572</c:v>
                </c:pt>
                <c:pt idx="65">
                  <c:v>0.68571428571428572</c:v>
                </c:pt>
                <c:pt idx="66">
                  <c:v>0.68571428571428572</c:v>
                </c:pt>
                <c:pt idx="67">
                  <c:v>0.68571428571428572</c:v>
                </c:pt>
                <c:pt idx="68">
                  <c:v>0.68571428571428572</c:v>
                </c:pt>
                <c:pt idx="69">
                  <c:v>0.68571428571428572</c:v>
                </c:pt>
                <c:pt idx="70">
                  <c:v>0.68571428571428572</c:v>
                </c:pt>
                <c:pt idx="71">
                  <c:v>0.68571428571428572</c:v>
                </c:pt>
                <c:pt idx="72">
                  <c:v>0.68571428571428572</c:v>
                </c:pt>
                <c:pt idx="73">
                  <c:v>0.68571428571428572</c:v>
                </c:pt>
                <c:pt idx="74">
                  <c:v>0.68571428571428572</c:v>
                </c:pt>
                <c:pt idx="75">
                  <c:v>0.68571428571428572</c:v>
                </c:pt>
                <c:pt idx="76">
                  <c:v>0.68571428571428572</c:v>
                </c:pt>
                <c:pt idx="77">
                  <c:v>0.68571428571428572</c:v>
                </c:pt>
                <c:pt idx="78">
                  <c:v>0.68571428571428572</c:v>
                </c:pt>
                <c:pt idx="79">
                  <c:v>0.68571428571428572</c:v>
                </c:pt>
                <c:pt idx="80">
                  <c:v>0.68571428571428572</c:v>
                </c:pt>
                <c:pt idx="81">
                  <c:v>0.68571428571428572</c:v>
                </c:pt>
                <c:pt idx="82">
                  <c:v>0.68571428571428572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D4-4AD0-8745-0D041B6F6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431"/>
        <c:axId val="1407976511"/>
      </c:scatterChart>
      <c:valAx>
        <c:axId val="1407978431"/>
        <c:scaling>
          <c:orientation val="minMax"/>
          <c:max val="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fn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6511"/>
        <c:crosses val="autoZero"/>
        <c:crossBetween val="midCat"/>
        <c:majorUnit val="1"/>
        <c:minorUnit val="1"/>
      </c:valAx>
      <c:valAx>
        <c:axId val="1407976511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Required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8431"/>
        <c:crosses val="autoZero"/>
        <c:crossBetween val="midCat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6262255164426376"/>
          <c:y val="0.15736422940758721"/>
          <c:w val="0.26495251318218788"/>
          <c:h val="0.4208068832675885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Gain curve vs Minimum Required Gain for PFC </a:t>
            </a:r>
            <a:r>
              <a:rPr lang="en-US" sz="1400"/>
              <a:t>regulation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@Vin_min</a:t>
            </a:r>
            <a:endParaRPr lang="el-GR" sz="1400"/>
          </a:p>
        </c:rich>
      </c:tx>
      <c:layout>
        <c:manualLayout>
          <c:xMode val="edge"/>
          <c:yMode val="edge"/>
          <c:x val="0.16144385855423607"/>
          <c:y val="2.3272468193682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537278270281668"/>
          <c:y val="0.14180179759007025"/>
          <c:w val="0.82634951881014873"/>
          <c:h val="0.73685758765226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RTC!$B$28</c:f>
              <c:strCache>
                <c:ptCount val="1"/>
                <c:pt idx="0">
                  <c:v>M.OL(fn)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RTC!$C$28:$CG$28</c:f>
              <c:numCache>
                <c:formatCode>General</c:formatCode>
                <c:ptCount val="83"/>
                <c:pt idx="0">
                  <c:v>2.1818182512396718E-8</c:v>
                </c:pt>
                <c:pt idx="1">
                  <c:v>1.2886419367458453E-3</c:v>
                </c:pt>
                <c:pt idx="2">
                  <c:v>3.2957540508757933E-3</c:v>
                </c:pt>
                <c:pt idx="3">
                  <c:v>6.2466838217803949E-3</c:v>
                </c:pt>
                <c:pt idx="4">
                  <c:v>1.0165634844491057E-2</c:v>
                </c:pt>
                <c:pt idx="5">
                  <c:v>1.5085230808885637E-2</c:v>
                </c:pt>
                <c:pt idx="6">
                  <c:v>2.104720710419164E-2</c:v>
                </c:pt>
                <c:pt idx="7">
                  <c:v>2.8103319587713758E-2</c:v>
                </c:pt>
                <c:pt idx="8">
                  <c:v>3.6316508449383139E-2</c:v>
                </c:pt>
                <c:pt idx="9">
                  <c:v>4.5762367743434479E-2</c:v>
                </c:pt>
                <c:pt idx="10">
                  <c:v>5.6530987448607108E-2</c:v>
                </c:pt>
                <c:pt idx="11">
                  <c:v>6.8729256295102084E-2</c:v>
                </c:pt>
                <c:pt idx="12">
                  <c:v>8.2483742085161724E-2</c:v>
                </c:pt>
                <c:pt idx="13">
                  <c:v>9.7944304735298124E-2</c:v>
                </c:pt>
                <c:pt idx="14">
                  <c:v>0.11528864999952876</c:v>
                </c:pt>
                <c:pt idx="15">
                  <c:v>0.1347281050187448</c:v>
                </c:pt>
                <c:pt idx="16">
                  <c:v>0.15651499980883612</c:v>
                </c:pt>
                <c:pt idx="17">
                  <c:v>0.18095218575415503</c:v>
                </c:pt>
                <c:pt idx="18">
                  <c:v>0.20840543512238516</c:v>
                </c:pt>
                <c:pt idx="19">
                  <c:v>0.23931977930378859</c:v>
                </c:pt>
                <c:pt idx="20">
                  <c:v>0.27424131386312434</c:v>
                </c:pt>
                <c:pt idx="21">
                  <c:v>0.31384671772931005</c:v>
                </c:pt>
                <c:pt idx="22">
                  <c:v>0.3589838574142431</c:v>
                </c:pt>
                <c:pt idx="23">
                  <c:v>0.41072864448862639</c:v>
                </c:pt>
                <c:pt idx="24">
                  <c:v>0.47046626668653735</c:v>
                </c:pt>
                <c:pt idx="25">
                  <c:v>0.54000990781304037</c:v>
                </c:pt>
                <c:pt idx="26">
                  <c:v>0.62177881033586746</c:v>
                </c:pt>
                <c:pt idx="27">
                  <c:v>0.71907341857608231</c:v>
                </c:pt>
                <c:pt idx="28">
                  <c:v>0.83651551018079373</c:v>
                </c:pt>
                <c:pt idx="29">
                  <c:v>0.98078153994784389</c:v>
                </c:pt>
                <c:pt idx="30">
                  <c:v>1.1618855338834528</c:v>
                </c:pt>
                <c:pt idx="31">
                  <c:v>1.3955605407023011</c:v>
                </c:pt>
                <c:pt idx="32">
                  <c:v>1.70801881699095</c:v>
                </c:pt>
                <c:pt idx="33">
                  <c:v>2.1464163817304032</c:v>
                </c:pt>
                <c:pt idx="34">
                  <c:v>2.8049873938594398</c:v>
                </c:pt>
                <c:pt idx="35">
                  <c:v>3.9033273688464369</c:v>
                </c:pt>
                <c:pt idx="36">
                  <c:v>6.098718634915044</c:v>
                </c:pt>
                <c:pt idx="37">
                  <c:v>12.659566924581251</c:v>
                </c:pt>
                <c:pt idx="38">
                  <c:v>1921.5837087114464</c:v>
                </c:pt>
                <c:pt idx="39">
                  <c:v>42.249999999987104</c:v>
                </c:pt>
                <c:pt idx="40">
                  <c:v>10.581427390464974</c:v>
                </c:pt>
                <c:pt idx="41">
                  <c:v>6.2413366336631526</c:v>
                </c:pt>
                <c:pt idx="42">
                  <c:v>4.5187319884725161</c:v>
                </c:pt>
                <c:pt idx="43">
                  <c:v>3.5949449125080415</c:v>
                </c:pt>
                <c:pt idx="44">
                  <c:v>3.0192994996425648</c:v>
                </c:pt>
                <c:pt idx="45">
                  <c:v>2.6264591439688467</c:v>
                </c:pt>
                <c:pt idx="46">
                  <c:v>2.3414634146341284</c:v>
                </c:pt>
                <c:pt idx="47">
                  <c:v>2.1254008980115326</c:v>
                </c:pt>
                <c:pt idx="48">
                  <c:v>1.9560649474689491</c:v>
                </c:pt>
                <c:pt idx="49">
                  <c:v>1.8198585144012047</c:v>
                </c:pt>
                <c:pt idx="50">
                  <c:v>1.7079905491189553</c:v>
                </c:pt>
                <c:pt idx="51">
                  <c:v>1.6145251396647997</c:v>
                </c:pt>
                <c:pt idx="52">
                  <c:v>1.5353095649293769</c:v>
                </c:pt>
                <c:pt idx="53">
                  <c:v>1.4673515584189416</c:v>
                </c:pt>
                <c:pt idx="54">
                  <c:v>1.4084404999094342</c:v>
                </c:pt>
                <c:pt idx="55">
                  <c:v>1.35690789473684</c:v>
                </c:pt>
                <c:pt idx="56">
                  <c:v>1.3114708393594574</c:v>
                </c:pt>
                <c:pt idx="57">
                  <c:v>1.2711267605633787</c:v>
                </c:pt>
                <c:pt idx="58">
                  <c:v>1.2350808487203404</c:v>
                </c:pt>
                <c:pt idx="59">
                  <c:v>1.2026949211102145</c:v>
                </c:pt>
                <c:pt idx="60">
                  <c:v>1.1734506784011727</c:v>
                </c:pt>
                <c:pt idx="61">
                  <c:v>1.1469228398232809</c:v>
                </c:pt>
                <c:pt idx="62">
                  <c:v>1.1227591914225556</c:v>
                </c:pt>
                <c:pt idx="63">
                  <c:v>1.1006655574043258</c:v>
                </c:pt>
                <c:pt idx="64">
                  <c:v>1.080394333380958</c:v>
                </c:pt>
                <c:pt idx="65">
                  <c:v>1.0617356341095658</c:v>
                </c:pt>
                <c:pt idx="66">
                  <c:v>1.0445103857566764</c:v>
                </c:pt>
                <c:pt idx="67">
                  <c:v>1.0285648819980142</c:v>
                </c:pt>
                <c:pt idx="68">
                  <c:v>1.0137664544300213</c:v>
                </c:pt>
                <c:pt idx="69">
                  <c:v>1</c:v>
                </c:pt>
                <c:pt idx="70">
                  <c:v>0.96756638701644149</c:v>
                </c:pt>
                <c:pt idx="71">
                  <c:v>0.94029649207737387</c:v>
                </c:pt>
                <c:pt idx="72">
                  <c:v>0.9170912797089299</c:v>
                </c:pt>
                <c:pt idx="73">
                  <c:v>0.89713972557044763</c:v>
                </c:pt>
                <c:pt idx="74">
                  <c:v>0.87983058019429439</c:v>
                </c:pt>
                <c:pt idx="75">
                  <c:v>0.86469466359597535</c:v>
                </c:pt>
                <c:pt idx="76">
                  <c:v>0.85136604264766635</c:v>
                </c:pt>
                <c:pt idx="77">
                  <c:v>0.83955525874231718</c:v>
                </c:pt>
                <c:pt idx="78">
                  <c:v>0.82903045930975283</c:v>
                </c:pt>
                <c:pt idx="79">
                  <c:v>0.81960384055727298</c:v>
                </c:pt>
                <c:pt idx="80">
                  <c:v>0.81112173694104106</c:v>
                </c:pt>
                <c:pt idx="81">
                  <c:v>0.80345726326884537</c:v>
                </c:pt>
                <c:pt idx="82">
                  <c:v>0.7965047748976446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6F-4634-AB49-914D40E72554}"/>
            </c:ext>
          </c:extLst>
        </c:ser>
        <c:ser>
          <c:idx val="1"/>
          <c:order val="1"/>
          <c:tx>
            <c:strRef>
              <c:f>RTC!$B$47</c:f>
              <c:strCache>
                <c:ptCount val="1"/>
                <c:pt idx="0">
                  <c:v>M(fn,Po,π/2)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RTC!$C$47:$CG$47</c:f>
              <c:numCache>
                <c:formatCode>General</c:formatCode>
                <c:ptCount val="83"/>
                <c:pt idx="0">
                  <c:v>2.1818182382492675E-8</c:v>
                </c:pt>
                <c:pt idx="1">
                  <c:v>1.2881887010930794E-3</c:v>
                </c:pt>
                <c:pt idx="2">
                  <c:v>3.2927886442313385E-3</c:v>
                </c:pt>
                <c:pt idx="3">
                  <c:v>6.2360266346062031E-3</c:v>
                </c:pt>
                <c:pt idx="4">
                  <c:v>1.0137396704165301E-2</c:v>
                </c:pt>
                <c:pt idx="5">
                  <c:v>1.5023007895528954E-2</c:v>
                </c:pt>
                <c:pt idx="6">
                  <c:v>2.0925987778792478E-2</c:v>
                </c:pt>
                <c:pt idx="7">
                  <c:v>2.7887001276361342E-2</c:v>
                </c:pt>
                <c:pt idx="8">
                  <c:v>3.5954897539339017E-2</c:v>
                </c:pt>
                <c:pt idx="9">
                  <c:v>4.5187500817546217E-2</c:v>
                </c:pt>
                <c:pt idx="10">
                  <c:v>5.5652564835327163E-2</c:v>
                </c:pt>
                <c:pt idx="11">
                  <c:v>6.7428914152122668E-2</c:v>
                </c:pt>
                <c:pt idx="12">
                  <c:v>8.0607800331455051E-2</c:v>
                </c:pt>
                <c:pt idx="13">
                  <c:v>9.5294505365001059E-2</c:v>
                </c:pt>
                <c:pt idx="14">
                  <c:v>0.11161022945863958</c:v>
                </c:pt>
                <c:pt idx="15">
                  <c:v>0.12969430450041747</c:v>
                </c:pt>
                <c:pt idx="16">
                  <c:v>0.14970677740192706</c:v>
                </c:pt>
                <c:pt idx="17">
                  <c:v>0.17183140745740369</c:v>
                </c:pt>
                <c:pt idx="18">
                  <c:v>0.19627911619524036</c:v>
                </c:pt>
                <c:pt idx="19">
                  <c:v>0.22329191235764032</c:v>
                </c:pt>
                <c:pt idx="20">
                  <c:v>0.25314728109657647</c:v>
                </c:pt>
                <c:pt idx="21">
                  <c:v>0.28616296286546417</c:v>
                </c:pt>
                <c:pt idx="22">
                  <c:v>0.32270193381356715</c:v>
                </c:pt>
                <c:pt idx="23">
                  <c:v>0.36317720380577329</c:v>
                </c:pt>
                <c:pt idx="24">
                  <c:v>0.40805572039200749</c:v>
                </c:pt>
                <c:pt idx="25">
                  <c:v>0.45786013065995684</c:v>
                </c:pt>
                <c:pt idx="26">
                  <c:v>0.51316629609248432</c:v>
                </c:pt>
                <c:pt idx="27">
                  <c:v>0.57459312657902117</c:v>
                </c:pt>
                <c:pt idx="28">
                  <c:v>0.64277932160959372</c:v>
                </c:pt>
                <c:pt idx="29">
                  <c:v>0.71833884691119299</c:v>
                </c:pt>
                <c:pt idx="30">
                  <c:v>0.80178354597124124</c:v>
                </c:pt>
                <c:pt idx="31">
                  <c:v>0.89339801137383779</c:v>
                </c:pt>
                <c:pt idx="32">
                  <c:v>0.99305115057053139</c:v>
                </c:pt>
                <c:pt idx="33">
                  <c:v>1.0999361156437204</c:v>
                </c:pt>
                <c:pt idx="34">
                  <c:v>1.2122544795938535</c:v>
                </c:pt>
                <c:pt idx="35">
                  <c:v>1.3269116345880969</c:v>
                </c:pt>
                <c:pt idx="36">
                  <c:v>1.4393666612797296</c:v>
                </c:pt>
                <c:pt idx="37">
                  <c:v>1.5438437181055409</c:v>
                </c:pt>
                <c:pt idx="38">
                  <c:v>1.634075089047597</c:v>
                </c:pt>
                <c:pt idx="39">
                  <c:v>1.6593385553953328</c:v>
                </c:pt>
                <c:pt idx="40">
                  <c:v>1.7224809596753172</c:v>
                </c:pt>
                <c:pt idx="41">
                  <c:v>1.7617858065342098</c:v>
                </c:pt>
                <c:pt idx="42">
                  <c:v>1.7775007606476596</c:v>
                </c:pt>
                <c:pt idx="43">
                  <c:v>1.7723770936820213</c:v>
                </c:pt>
                <c:pt idx="44">
                  <c:v>1.7506688032071991</c:v>
                </c:pt>
                <c:pt idx="45">
                  <c:v>1.7170352094878036</c:v>
                </c:pt>
                <c:pt idx="46">
                  <c:v>1.6757354437264311</c:v>
                </c:pt>
                <c:pt idx="47">
                  <c:v>1.6302254633798372</c:v>
                </c:pt>
                <c:pt idx="48">
                  <c:v>1.5830741957458498</c:v>
                </c:pt>
                <c:pt idx="49">
                  <c:v>1.5360596375513149</c:v>
                </c:pt>
                <c:pt idx="50">
                  <c:v>1.4903324554146884</c:v>
                </c:pt>
                <c:pt idx="51">
                  <c:v>1.446581713956461</c:v>
                </c:pt>
                <c:pt idx="52">
                  <c:v>1.4051745142564538</c:v>
                </c:pt>
                <c:pt idx="53">
                  <c:v>1.3662628198799427</c:v>
                </c:pt>
                <c:pt idx="54">
                  <c:v>1.329860503810347</c:v>
                </c:pt>
                <c:pt idx="55">
                  <c:v>1.2958967576600455</c:v>
                </c:pt>
                <c:pt idx="56">
                  <c:v>1.2642520414530216</c:v>
                </c:pt>
                <c:pt idx="57">
                  <c:v>1.2347816882910965</c:v>
                </c:pt>
                <c:pt idx="58">
                  <c:v>1.2073310266874606</c:v>
                </c:pt>
                <c:pt idx="59">
                  <c:v>1.1817447922027622</c:v>
                </c:pt>
                <c:pt idx="60">
                  <c:v>1.1578727557635651</c:v>
                </c:pt>
                <c:pt idx="61">
                  <c:v>1.1355728820271946</c:v>
                </c:pt>
                <c:pt idx="62">
                  <c:v>1.1147129003379874</c:v>
                </c:pt>
                <c:pt idx="63">
                  <c:v>1.0951708751382412</c:v>
                </c:pt>
                <c:pt idx="64">
                  <c:v>1.0768351626045636</c:v>
                </c:pt>
                <c:pt idx="65">
                  <c:v>1.0596040061373857</c:v>
                </c:pt>
                <c:pt idx="66">
                  <c:v>1.0433849339971508</c:v>
                </c:pt>
                <c:pt idx="67">
                  <c:v>1.0280940632015909</c:v>
                </c:pt>
                <c:pt idx="68">
                  <c:v>1.0136553747908899</c:v>
                </c:pt>
                <c:pt idx="69">
                  <c:v>1</c:v>
                </c:pt>
                <c:pt idx="70">
                  <c:v>0.96691322680906977</c:v>
                </c:pt>
                <c:pt idx="71">
                  <c:v>0.93798852959219836</c:v>
                </c:pt>
                <c:pt idx="72">
                  <c:v>0.91245116941174087</c:v>
                </c:pt>
                <c:pt idx="73">
                  <c:v>0.88969658878492341</c:v>
                </c:pt>
                <c:pt idx="74">
                  <c:v>0.86924871266921189</c:v>
                </c:pt>
                <c:pt idx="75">
                  <c:v>0.85072914348639261</c:v>
                </c:pt>
                <c:pt idx="76">
                  <c:v>0.83383437970660179</c:v>
                </c:pt>
                <c:pt idx="77">
                  <c:v>0.81831887609351994</c:v>
                </c:pt>
                <c:pt idx="78">
                  <c:v>0.80398235120407913</c:v>
                </c:pt>
                <c:pt idx="79">
                  <c:v>0.7906601946781564</c:v>
                </c:pt>
                <c:pt idx="80">
                  <c:v>0.77821615163793834</c:v>
                </c:pt>
                <c:pt idx="81">
                  <c:v>0.76653669311334505</c:v>
                </c:pt>
                <c:pt idx="82">
                  <c:v>0.75552664554189064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6F-4634-AB49-914D40E72554}"/>
            </c:ext>
          </c:extLst>
        </c:ser>
        <c:ser>
          <c:idx val="2"/>
          <c:order val="2"/>
          <c:tx>
            <c:strRef>
              <c:f>RTC!$B$49</c:f>
              <c:strCache>
                <c:ptCount val="1"/>
                <c:pt idx="0">
                  <c:v>M(fn,Po,π/3)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RTC!$C$49:$CG$49</c:f>
              <c:numCache>
                <c:formatCode>General</c:formatCode>
                <c:ptCount val="83"/>
                <c:pt idx="0">
                  <c:v>2.1818182439325691E-8</c:v>
                </c:pt>
                <c:pt idx="1">
                  <c:v>1.288386932838223E-3</c:v>
                </c:pt>
                <c:pt idx="2">
                  <c:v>3.294085024357045E-3</c:v>
                </c:pt>
                <c:pt idx="3">
                  <c:v>6.2406824378399874E-3</c:v>
                </c:pt>
                <c:pt idx="4">
                  <c:v>1.0149721903320651E-2</c:v>
                </c:pt>
                <c:pt idx="5">
                  <c:v>1.5050135523851146E-2</c:v>
                </c:pt>
                <c:pt idx="6">
                  <c:v>2.0978762930202923E-2</c:v>
                </c:pt>
                <c:pt idx="7">
                  <c:v>2.7981024024538607E-2</c:v>
                </c:pt>
                <c:pt idx="8">
                  <c:v>3.6111767932241016E-2</c:v>
                </c:pt>
                <c:pt idx="9">
                  <c:v>4.5436326096875805E-2</c:v>
                </c:pt>
                <c:pt idx="10">
                  <c:v>5.6031805097773321E-2</c:v>
                </c:pt>
                <c:pt idx="11">
                  <c:v>6.7988664131966317E-2</c:v>
                </c:pt>
                <c:pt idx="12">
                  <c:v>8.1412633661487821E-2</c:v>
                </c:pt>
                <c:pt idx="13">
                  <c:v>9.6427046070027292E-2</c:v>
                </c:pt>
                <c:pt idx="14">
                  <c:v>0.11317566700622338</c:v>
                </c:pt>
                <c:pt idx="15">
                  <c:v>0.13182613823889974</c:v>
                </c:pt>
                <c:pt idx="16">
                  <c:v>0.15257417021874703</c:v>
                </c:pt>
                <c:pt idx="17">
                  <c:v>0.17564865601082363</c:v>
                </c:pt>
                <c:pt idx="18">
                  <c:v>0.20131791842768321</c:v>
                </c:pt>
                <c:pt idx="19">
                  <c:v>0.22989734881129481</c:v>
                </c:pt>
                <c:pt idx="20">
                  <c:v>0.26175874677386279</c:v>
                </c:pt>
                <c:pt idx="21">
                  <c:v>0.29734171889440625</c:v>
                </c:pt>
                <c:pt idx="22">
                  <c:v>0.33716752587048926</c:v>
                </c:pt>
                <c:pt idx="23">
                  <c:v>0.38185574987982207</c:v>
                </c:pt>
                <c:pt idx="24">
                  <c:v>0.4321440215917321</c:v>
                </c:pt>
                <c:pt idx="25">
                  <c:v>0.48891067008148426</c:v>
                </c:pt>
                <c:pt idx="26">
                  <c:v>0.55319928820362751</c:v>
                </c:pt>
                <c:pt idx="27">
                  <c:v>0.62624236450510695</c:v>
                </c:pt>
                <c:pt idx="28">
                  <c:v>0.70947743818119835</c:v>
                </c:pt>
                <c:pt idx="29">
                  <c:v>0.80454211618310545</c:v>
                </c:pt>
                <c:pt idx="30">
                  <c:v>0.91322115987396457</c:v>
                </c:pt>
                <c:pt idx="31">
                  <c:v>1.0372960664446651</c:v>
                </c:pt>
                <c:pt idx="32">
                  <c:v>1.1782121374140366</c:v>
                </c:pt>
                <c:pt idx="33">
                  <c:v>1.3364349780829285</c:v>
                </c:pt>
                <c:pt idx="34">
                  <c:v>1.5103522672564342</c:v>
                </c:pt>
                <c:pt idx="35">
                  <c:v>1.6946933621753784</c:v>
                </c:pt>
                <c:pt idx="36">
                  <c:v>1.8788872930725196</c:v>
                </c:pt>
                <c:pt idx="37">
                  <c:v>2.0466553898913227</c:v>
                </c:pt>
                <c:pt idx="38">
                  <c:v>2.1787661726775815</c:v>
                </c:pt>
                <c:pt idx="39">
                  <c:v>2.2111254628172508</c:v>
                </c:pt>
                <c:pt idx="40">
                  <c:v>2.2733341619235317</c:v>
                </c:pt>
                <c:pt idx="41">
                  <c:v>2.2794758156576145</c:v>
                </c:pt>
                <c:pt idx="42">
                  <c:v>2.2390917769355321</c:v>
                </c:pt>
                <c:pt idx="43">
                  <c:v>2.1671764851446023</c:v>
                </c:pt>
                <c:pt idx="44">
                  <c:v>2.0782664827564985</c:v>
                </c:pt>
                <c:pt idx="45">
                  <c:v>1.9833491584035789</c:v>
                </c:pt>
                <c:pt idx="46">
                  <c:v>1.8894370266624958</c:v>
                </c:pt>
                <c:pt idx="47">
                  <c:v>1.8004036122547353</c:v>
                </c:pt>
                <c:pt idx="48">
                  <c:v>1.7180362951962087</c:v>
                </c:pt>
                <c:pt idx="49">
                  <c:v>1.6428800535467103</c:v>
                </c:pt>
                <c:pt idx="50">
                  <c:v>1.5748033751254678</c:v>
                </c:pt>
                <c:pt idx="51">
                  <c:v>1.5133428875947135</c:v>
                </c:pt>
                <c:pt idx="52">
                  <c:v>1.4579001918992971</c:v>
                </c:pt>
                <c:pt idx="53">
                  <c:v>1.4078482374057375</c:v>
                </c:pt>
                <c:pt idx="54">
                  <c:v>1.3625851213657625</c:v>
                </c:pt>
                <c:pt idx="55">
                  <c:v>1.3215584444011077</c:v>
                </c:pt>
                <c:pt idx="56">
                  <c:v>1.2842737446429706</c:v>
                </c:pt>
                <c:pt idx="57">
                  <c:v>1.2502946995621886</c:v>
                </c:pt>
                <c:pt idx="58">
                  <c:v>1.2192393728204127</c:v>
                </c:pt>
                <c:pt idx="59">
                  <c:v>1.1907748312749207</c:v>
                </c:pt>
                <c:pt idx="60">
                  <c:v>1.1646113567059417</c:v>
                </c:pt>
                <c:pt idx="61">
                  <c:v>1.140496864502047</c:v>
                </c:pt>
                <c:pt idx="62">
                  <c:v>1.1182118061628268</c:v>
                </c:pt>
                <c:pt idx="63">
                  <c:v>1.0975646529978911</c:v>
                </c:pt>
                <c:pt idx="64">
                  <c:v>1.0783879659759421</c:v>
                </c:pt>
                <c:pt idx="65">
                  <c:v>1.0605350123336386</c:v>
                </c:pt>
                <c:pt idx="66">
                  <c:v>1.0438768713069297</c:v>
                </c:pt>
                <c:pt idx="67">
                  <c:v>1.0282999668555644</c:v>
                </c:pt>
                <c:pt idx="68">
                  <c:v>1.0137039676399553</c:v>
                </c:pt>
                <c:pt idx="69">
                  <c:v>1</c:v>
                </c:pt>
                <c:pt idx="70">
                  <c:v>0.96719882159524373</c:v>
                </c:pt>
                <c:pt idx="71">
                  <c:v>0.93899617000083535</c:v>
                </c:pt>
                <c:pt idx="72">
                  <c:v>0.91447253396452466</c:v>
                </c:pt>
                <c:pt idx="73">
                  <c:v>0.8929300910335991</c:v>
                </c:pt>
                <c:pt idx="74">
                  <c:v>0.87383107550355499</c:v>
                </c:pt>
                <c:pt idx="75">
                  <c:v>0.85675526471749119</c:v>
                </c:pt>
                <c:pt idx="76">
                  <c:v>0.84137012873404282</c:v>
                </c:pt>
                <c:pt idx="77">
                  <c:v>0.82740951576527788</c:v>
                </c:pt>
                <c:pt idx="78">
                  <c:v>0.81465819096376568</c:v>
                </c:pt>
                <c:pt idx="79">
                  <c:v>0.80294045572863604</c:v>
                </c:pt>
                <c:pt idx="80">
                  <c:v>0.79211165619735802</c:v>
                </c:pt>
                <c:pt idx="81">
                  <c:v>0.78205176741559146</c:v>
                </c:pt>
                <c:pt idx="82">
                  <c:v>0.77266048914876062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6F-4634-AB49-914D40E72554}"/>
            </c:ext>
          </c:extLst>
        </c:ser>
        <c:ser>
          <c:idx val="3"/>
          <c:order val="3"/>
          <c:tx>
            <c:strRef>
              <c:f>RTC!$B$50</c:f>
              <c:strCache>
                <c:ptCount val="1"/>
                <c:pt idx="0">
                  <c:v>M(fn,Po,π/4)</c:v>
                </c:pt>
              </c:strCache>
            </c:strRef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RTC!$C$50:$CG$50</c:f>
              <c:numCache>
                <c:formatCode>General</c:formatCode>
                <c:ptCount val="83"/>
                <c:pt idx="0">
                  <c:v>2.1818182479920704E-8</c:v>
                </c:pt>
                <c:pt idx="1">
                  <c:v>1.2885285829841006E-3</c:v>
                </c:pt>
                <c:pt idx="2">
                  <c:v>3.2950119481721194E-3</c:v>
                </c:pt>
                <c:pt idx="3">
                  <c:v>6.2440144033623097E-3</c:v>
                </c:pt>
                <c:pt idx="4">
                  <c:v>1.0158553191859945E-2</c:v>
                </c:pt>
                <c:pt idx="5">
                  <c:v>1.5069602622699301E-2</c:v>
                </c:pt>
                <c:pt idx="6">
                  <c:v>2.1016704876682134E-2</c:v>
                </c:pt>
                <c:pt idx="7">
                  <c:v>2.8048768388947723E-2</c:v>
                </c:pt>
                <c:pt idx="8">
                  <c:v>3.6225083729408088E-2</c:v>
                </c:pt>
                <c:pt idx="9">
                  <c:v>4.5616596356075428E-2</c:v>
                </c:pt>
                <c:pt idx="10">
                  <c:v>5.6307487501055131E-2</c:v>
                </c:pt>
                <c:pt idx="11">
                  <c:v>6.83971296301875E-2</c:v>
                </c:pt>
                <c:pt idx="12">
                  <c:v>8.2002502564154742E-2</c:v>
                </c:pt>
                <c:pt idx="13">
                  <c:v>9.7261182059277002E-2</c:v>
                </c:pt>
                <c:pt idx="14">
                  <c:v>0.11433504662530793</c:v>
                </c:pt>
                <c:pt idx="15">
                  <c:v>0.13341489367348136</c:v>
                </c:pt>
                <c:pt idx="16">
                  <c:v>0.15472621704054584</c:v>
                </c:pt>
                <c:pt idx="17">
                  <c:v>0.17853648058534624</c:v>
                </c:pt>
                <c:pt idx="18">
                  <c:v>0.20516433548851423</c:v>
                </c:pt>
                <c:pt idx="19">
                  <c:v>0.23499138428974772</c:v>
                </c:pt>
                <c:pt idx="20">
                  <c:v>0.26847730985236462</c:v>
                </c:pt>
                <c:pt idx="21">
                  <c:v>0.30617948669159406</c:v>
                </c:pt>
                <c:pt idx="22">
                  <c:v>0.34877860915110864</c:v>
                </c:pt>
                <c:pt idx="23">
                  <c:v>0.39711245078414564</c:v>
                </c:pt>
                <c:pt idx="24">
                  <c:v>0.45222066752110879</c:v>
                </c:pt>
                <c:pt idx="25">
                  <c:v>0.51540462938092035</c:v>
                </c:pt>
                <c:pt idx="26">
                  <c:v>0.58830762840615813</c:v>
                </c:pt>
                <c:pt idx="27">
                  <c:v>0.67302232488870162</c:v>
                </c:pt>
                <c:pt idx="28">
                  <c:v>0.77223333712321429</c:v>
                </c:pt>
                <c:pt idx="29">
                  <c:v>0.88940146434470002</c:v>
                </c:pt>
                <c:pt idx="30">
                  <c:v>1.0289864824494521</c:v>
                </c:pt>
                <c:pt idx="31">
                  <c:v>1.1966724314094623</c:v>
                </c:pt>
                <c:pt idx="32">
                  <c:v>1.3994632574174968</c:v>
                </c:pt>
                <c:pt idx="33">
                  <c:v>1.6452628496952006</c:v>
                </c:pt>
                <c:pt idx="34">
                  <c:v>1.9409529095430136</c:v>
                </c:pt>
                <c:pt idx="35">
                  <c:v>2.286856711332343</c:v>
                </c:pt>
                <c:pt idx="36">
                  <c:v>2.664689739148864</c:v>
                </c:pt>
                <c:pt idx="37">
                  <c:v>3.0210297534050943</c:v>
                </c:pt>
                <c:pt idx="38">
                  <c:v>3.2681466330811526</c:v>
                </c:pt>
                <c:pt idx="39">
                  <c:v>3.3110252196145522</c:v>
                </c:pt>
                <c:pt idx="40">
                  <c:v>3.3156909367168934</c:v>
                </c:pt>
                <c:pt idx="41">
                  <c:v>3.165485129035889</c:v>
                </c:pt>
                <c:pt idx="42">
                  <c:v>2.9379147301897302</c:v>
                </c:pt>
                <c:pt idx="43">
                  <c:v>2.6956469422014004</c:v>
                </c:pt>
                <c:pt idx="44">
                  <c:v>2.4705166769883413</c:v>
                </c:pt>
                <c:pt idx="45">
                  <c:v>2.2731978578150067</c:v>
                </c:pt>
                <c:pt idx="46">
                  <c:v>2.1043137440172504</c:v>
                </c:pt>
                <c:pt idx="47">
                  <c:v>1.9607997258777867</c:v>
                </c:pt>
                <c:pt idx="48">
                  <c:v>1.8387414801727384</c:v>
                </c:pt>
                <c:pt idx="49">
                  <c:v>1.7344475901781762</c:v>
                </c:pt>
                <c:pt idx="50">
                  <c:v>1.6447671953798582</c:v>
                </c:pt>
                <c:pt idx="51">
                  <c:v>1.5671176092543677</c:v>
                </c:pt>
                <c:pt idx="52">
                  <c:v>1.4994159312519777</c:v>
                </c:pt>
                <c:pt idx="53">
                  <c:v>1.4399901776491046</c:v>
                </c:pt>
                <c:pt idx="54">
                  <c:v>1.3874966034904137</c:v>
                </c:pt>
                <c:pt idx="55">
                  <c:v>1.3408506390314692</c:v>
                </c:pt>
                <c:pt idx="56">
                  <c:v>1.2991717638123261</c:v>
                </c:pt>
                <c:pt idx="57">
                  <c:v>1.2617403838170929</c:v>
                </c:pt>
                <c:pt idx="58">
                  <c:v>1.2279643637936826</c:v>
                </c:pt>
                <c:pt idx="59">
                  <c:v>1.1973530893088902</c:v>
                </c:pt>
                <c:pt idx="60">
                  <c:v>1.1694973196907215</c:v>
                </c:pt>
                <c:pt idx="61">
                  <c:v>1.1440534718277999</c:v>
                </c:pt>
                <c:pt idx="62">
                  <c:v>1.1207312935183062</c:v>
                </c:pt>
                <c:pt idx="63">
                  <c:v>1.0992841366401696</c:v>
                </c:pt>
                <c:pt idx="64">
                  <c:v>1.0795012330280616</c:v>
                </c:pt>
                <c:pt idx="65">
                  <c:v>1.0612015212514392</c:v>
                </c:pt>
                <c:pt idx="66">
                  <c:v>1.0442286814174895</c:v>
                </c:pt>
                <c:pt idx="67">
                  <c:v>1.028447116660097</c:v>
                </c:pt>
                <c:pt idx="68">
                  <c:v>1.0137386810967635</c:v>
                </c:pt>
                <c:pt idx="69">
                  <c:v>1</c:v>
                </c:pt>
                <c:pt idx="70">
                  <c:v>0.96740297287939647</c:v>
                </c:pt>
                <c:pt idx="71">
                  <c:v>0.9397179046098656</c:v>
                </c:pt>
                <c:pt idx="72">
                  <c:v>0.91592461846307416</c:v>
                </c:pt>
                <c:pt idx="73">
                  <c:v>0.89526144065932423</c:v>
                </c:pt>
                <c:pt idx="74">
                  <c:v>0.87714892036287673</c:v>
                </c:pt>
                <c:pt idx="75">
                  <c:v>0.86113889543855549</c:v>
                </c:pt>
                <c:pt idx="76">
                  <c:v>0.84687964305359276</c:v>
                </c:pt>
                <c:pt idx="77">
                  <c:v>0.83409151190731656</c:v>
                </c:pt>
                <c:pt idx="78">
                  <c:v>0.82254954889244947</c:v>
                </c:pt>
                <c:pt idx="79">
                  <c:v>0.81207089395729926</c:v>
                </c:pt>
                <c:pt idx="80">
                  <c:v>0.80250548884949624</c:v>
                </c:pt>
                <c:pt idx="81">
                  <c:v>0.79372912964468822</c:v>
                </c:pt>
                <c:pt idx="82">
                  <c:v>0.78563820355372038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6F-4634-AB49-914D40E72554}"/>
            </c:ext>
          </c:extLst>
        </c:ser>
        <c:ser>
          <c:idx val="4"/>
          <c:order val="4"/>
          <c:tx>
            <c:strRef>
              <c:f>RTC!$B$53</c:f>
              <c:strCache>
                <c:ptCount val="1"/>
                <c:pt idx="0">
                  <c:v>Mreq(Vin_min, Vout,π/2 )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RTC!$C$53:$CG$53</c:f>
              <c:numCache>
                <c:formatCode>General</c:formatCode>
                <c:ptCount val="83"/>
                <c:pt idx="0">
                  <c:v>1.5209591835918568</c:v>
                </c:pt>
                <c:pt idx="1">
                  <c:v>1.5209591835918568</c:v>
                </c:pt>
                <c:pt idx="2">
                  <c:v>1.5209591835918568</c:v>
                </c:pt>
                <c:pt idx="3">
                  <c:v>1.5209591835918568</c:v>
                </c:pt>
                <c:pt idx="4">
                  <c:v>1.5209591835918568</c:v>
                </c:pt>
                <c:pt idx="5">
                  <c:v>1.5209591835918568</c:v>
                </c:pt>
                <c:pt idx="6">
                  <c:v>1.5209591835918568</c:v>
                </c:pt>
                <c:pt idx="7">
                  <c:v>1.5209591835918568</c:v>
                </c:pt>
                <c:pt idx="8">
                  <c:v>1.5209591835918568</c:v>
                </c:pt>
                <c:pt idx="9">
                  <c:v>1.5209591835918568</c:v>
                </c:pt>
                <c:pt idx="10">
                  <c:v>1.5209591835918568</c:v>
                </c:pt>
                <c:pt idx="11">
                  <c:v>1.5209591835918568</c:v>
                </c:pt>
                <c:pt idx="12">
                  <c:v>1.5209591835918568</c:v>
                </c:pt>
                <c:pt idx="13">
                  <c:v>1.5209591835918568</c:v>
                </c:pt>
                <c:pt idx="14">
                  <c:v>1.5209591835918568</c:v>
                </c:pt>
                <c:pt idx="15">
                  <c:v>1.5209591835918568</c:v>
                </c:pt>
                <c:pt idx="16">
                  <c:v>1.5209591835918568</c:v>
                </c:pt>
                <c:pt idx="17">
                  <c:v>1.5209591835918568</c:v>
                </c:pt>
                <c:pt idx="18">
                  <c:v>1.5209591835918568</c:v>
                </c:pt>
                <c:pt idx="19">
                  <c:v>1.5209591835918568</c:v>
                </c:pt>
                <c:pt idx="20">
                  <c:v>1.5209591835918568</c:v>
                </c:pt>
                <c:pt idx="21">
                  <c:v>1.5209591835918568</c:v>
                </c:pt>
                <c:pt idx="22">
                  <c:v>1.5209591835918568</c:v>
                </c:pt>
                <c:pt idx="23">
                  <c:v>1.5209591835918568</c:v>
                </c:pt>
                <c:pt idx="24">
                  <c:v>1.5209591835918568</c:v>
                </c:pt>
                <c:pt idx="25">
                  <c:v>1.5209591835918568</c:v>
                </c:pt>
                <c:pt idx="26">
                  <c:v>1.5209591835918568</c:v>
                </c:pt>
                <c:pt idx="27">
                  <c:v>1.5209591835918568</c:v>
                </c:pt>
                <c:pt idx="28">
                  <c:v>1.5209591835918568</c:v>
                </c:pt>
                <c:pt idx="29">
                  <c:v>1.5209591835918568</c:v>
                </c:pt>
                <c:pt idx="30">
                  <c:v>1.5209591835918568</c:v>
                </c:pt>
                <c:pt idx="31">
                  <c:v>1.5209591835918568</c:v>
                </c:pt>
                <c:pt idx="32">
                  <c:v>1.5209591835918568</c:v>
                </c:pt>
                <c:pt idx="33">
                  <c:v>1.5209591835918568</c:v>
                </c:pt>
                <c:pt idx="34">
                  <c:v>1.5209591835918568</c:v>
                </c:pt>
                <c:pt idx="35">
                  <c:v>1.5209591835918568</c:v>
                </c:pt>
                <c:pt idx="36">
                  <c:v>1.5209591835918568</c:v>
                </c:pt>
                <c:pt idx="37">
                  <c:v>1.5209591835918568</c:v>
                </c:pt>
                <c:pt idx="38">
                  <c:v>1.5209591835918568</c:v>
                </c:pt>
                <c:pt idx="39">
                  <c:v>1.5209591835918568</c:v>
                </c:pt>
                <c:pt idx="40">
                  <c:v>1.5209591835918568</c:v>
                </c:pt>
                <c:pt idx="41">
                  <c:v>1.5209591835918568</c:v>
                </c:pt>
                <c:pt idx="42">
                  <c:v>1.5209591835918568</c:v>
                </c:pt>
                <c:pt idx="43">
                  <c:v>1.5209591835918568</c:v>
                </c:pt>
                <c:pt idx="44">
                  <c:v>1.5209591835918568</c:v>
                </c:pt>
                <c:pt idx="45">
                  <c:v>1.5209591835918568</c:v>
                </c:pt>
                <c:pt idx="46">
                  <c:v>1.5209591835918568</c:v>
                </c:pt>
                <c:pt idx="47">
                  <c:v>1.5209591835918568</c:v>
                </c:pt>
                <c:pt idx="48">
                  <c:v>1.5209591835918568</c:v>
                </c:pt>
                <c:pt idx="49">
                  <c:v>1.5209591835918568</c:v>
                </c:pt>
                <c:pt idx="50">
                  <c:v>1.5209591835918568</c:v>
                </c:pt>
                <c:pt idx="51">
                  <c:v>1.5209591835918568</c:v>
                </c:pt>
                <c:pt idx="52">
                  <c:v>1.5209591835918568</c:v>
                </c:pt>
                <c:pt idx="53">
                  <c:v>1.5209591835918568</c:v>
                </c:pt>
                <c:pt idx="54">
                  <c:v>1.5209591835918568</c:v>
                </c:pt>
                <c:pt idx="55">
                  <c:v>1.5209591835918568</c:v>
                </c:pt>
                <c:pt idx="56">
                  <c:v>1.5209591835918568</c:v>
                </c:pt>
                <c:pt idx="57">
                  <c:v>1.5209591835918568</c:v>
                </c:pt>
                <c:pt idx="58">
                  <c:v>1.5209591835918568</c:v>
                </c:pt>
                <c:pt idx="59">
                  <c:v>1.5209591835918568</c:v>
                </c:pt>
                <c:pt idx="60">
                  <c:v>1.5209591835918568</c:v>
                </c:pt>
                <c:pt idx="61">
                  <c:v>1.5209591835918568</c:v>
                </c:pt>
                <c:pt idx="62">
                  <c:v>1.5209591835918568</c:v>
                </c:pt>
                <c:pt idx="63">
                  <c:v>1.5209591835918568</c:v>
                </c:pt>
                <c:pt idx="64">
                  <c:v>1.5209591835918568</c:v>
                </c:pt>
                <c:pt idx="65">
                  <c:v>1.5209591835918568</c:v>
                </c:pt>
                <c:pt idx="66">
                  <c:v>1.5209591835918568</c:v>
                </c:pt>
                <c:pt idx="67">
                  <c:v>1.5209591835918568</c:v>
                </c:pt>
                <c:pt idx="68">
                  <c:v>1.5209591835918568</c:v>
                </c:pt>
                <c:pt idx="69">
                  <c:v>1.5209591835918568</c:v>
                </c:pt>
                <c:pt idx="70">
                  <c:v>1.5209591835918568</c:v>
                </c:pt>
                <c:pt idx="71">
                  <c:v>1.5209591835918568</c:v>
                </c:pt>
                <c:pt idx="72">
                  <c:v>1.5209591835918568</c:v>
                </c:pt>
                <c:pt idx="73">
                  <c:v>1.5209591835918568</c:v>
                </c:pt>
                <c:pt idx="74">
                  <c:v>1.5209591835918568</c:v>
                </c:pt>
                <c:pt idx="75">
                  <c:v>1.5209591835918568</c:v>
                </c:pt>
                <c:pt idx="76">
                  <c:v>1.5209591835918568</c:v>
                </c:pt>
                <c:pt idx="77">
                  <c:v>1.5209591835918568</c:v>
                </c:pt>
                <c:pt idx="78">
                  <c:v>1.5209591835918568</c:v>
                </c:pt>
                <c:pt idx="79">
                  <c:v>1.5209591835918568</c:v>
                </c:pt>
                <c:pt idx="80">
                  <c:v>1.5209591835918568</c:v>
                </c:pt>
                <c:pt idx="81">
                  <c:v>1.5209591835918568</c:v>
                </c:pt>
                <c:pt idx="82">
                  <c:v>1.5209591835918568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6F-4634-AB49-914D40E72554}"/>
            </c:ext>
          </c:extLst>
        </c:ser>
        <c:ser>
          <c:idx val="5"/>
          <c:order val="5"/>
          <c:tx>
            <c:strRef>
              <c:f>RTC!$B$55</c:f>
              <c:strCache>
                <c:ptCount val="1"/>
                <c:pt idx="0">
                  <c:v>Mreq(Vin_min, Vout,π/3 )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RTC!$C$55:$CG$55</c:f>
              <c:numCache>
                <c:formatCode>General</c:formatCode>
                <c:ptCount val="83"/>
                <c:pt idx="0">
                  <c:v>1.7562523881463841</c:v>
                </c:pt>
                <c:pt idx="1">
                  <c:v>1.7562523881463841</c:v>
                </c:pt>
                <c:pt idx="2">
                  <c:v>1.7562523881463841</c:v>
                </c:pt>
                <c:pt idx="3">
                  <c:v>1.7562523881463841</c:v>
                </c:pt>
                <c:pt idx="4">
                  <c:v>1.7562523881463841</c:v>
                </c:pt>
                <c:pt idx="5">
                  <c:v>1.7562523881463841</c:v>
                </c:pt>
                <c:pt idx="6">
                  <c:v>1.7562523881463841</c:v>
                </c:pt>
                <c:pt idx="7">
                  <c:v>1.7562523881463841</c:v>
                </c:pt>
                <c:pt idx="8">
                  <c:v>1.7562523881463841</c:v>
                </c:pt>
                <c:pt idx="9">
                  <c:v>1.7562523881463841</c:v>
                </c:pt>
                <c:pt idx="10">
                  <c:v>1.7562523881463841</c:v>
                </c:pt>
                <c:pt idx="11">
                  <c:v>1.7562523881463841</c:v>
                </c:pt>
                <c:pt idx="12">
                  <c:v>1.7562523881463841</c:v>
                </c:pt>
                <c:pt idx="13">
                  <c:v>1.7562523881463841</c:v>
                </c:pt>
                <c:pt idx="14">
                  <c:v>1.7562523881463841</c:v>
                </c:pt>
                <c:pt idx="15">
                  <c:v>1.7562523881463841</c:v>
                </c:pt>
                <c:pt idx="16">
                  <c:v>1.7562523881463841</c:v>
                </c:pt>
                <c:pt idx="17">
                  <c:v>1.7562523881463841</c:v>
                </c:pt>
                <c:pt idx="18">
                  <c:v>1.7562523881463841</c:v>
                </c:pt>
                <c:pt idx="19">
                  <c:v>1.7562523881463841</c:v>
                </c:pt>
                <c:pt idx="20">
                  <c:v>1.7562523881463841</c:v>
                </c:pt>
                <c:pt idx="21">
                  <c:v>1.7562523881463841</c:v>
                </c:pt>
                <c:pt idx="22">
                  <c:v>1.7562523881463841</c:v>
                </c:pt>
                <c:pt idx="23">
                  <c:v>1.7562523881463841</c:v>
                </c:pt>
                <c:pt idx="24">
                  <c:v>1.7562523881463841</c:v>
                </c:pt>
                <c:pt idx="25">
                  <c:v>1.7562523881463841</c:v>
                </c:pt>
                <c:pt idx="26">
                  <c:v>1.7562523881463841</c:v>
                </c:pt>
                <c:pt idx="27">
                  <c:v>1.7562523881463841</c:v>
                </c:pt>
                <c:pt idx="28">
                  <c:v>1.7562523881463841</c:v>
                </c:pt>
                <c:pt idx="29">
                  <c:v>1.7562523881463841</c:v>
                </c:pt>
                <c:pt idx="30">
                  <c:v>1.7562523881463841</c:v>
                </c:pt>
                <c:pt idx="31">
                  <c:v>1.7562523881463841</c:v>
                </c:pt>
                <c:pt idx="32">
                  <c:v>1.7562523881463841</c:v>
                </c:pt>
                <c:pt idx="33">
                  <c:v>1.7562523881463841</c:v>
                </c:pt>
                <c:pt idx="34">
                  <c:v>1.7562523881463841</c:v>
                </c:pt>
                <c:pt idx="35">
                  <c:v>1.7562523881463841</c:v>
                </c:pt>
                <c:pt idx="36">
                  <c:v>1.7562523881463841</c:v>
                </c:pt>
                <c:pt idx="37">
                  <c:v>1.7562523881463841</c:v>
                </c:pt>
                <c:pt idx="38">
                  <c:v>1.7562523881463841</c:v>
                </c:pt>
                <c:pt idx="39">
                  <c:v>1.7562523881463841</c:v>
                </c:pt>
                <c:pt idx="40">
                  <c:v>1.7562523881463841</c:v>
                </c:pt>
                <c:pt idx="41">
                  <c:v>1.7562523881463841</c:v>
                </c:pt>
                <c:pt idx="42">
                  <c:v>1.7562523881463841</c:v>
                </c:pt>
                <c:pt idx="43">
                  <c:v>1.7562523881463841</c:v>
                </c:pt>
                <c:pt idx="44">
                  <c:v>1.7562523881463841</c:v>
                </c:pt>
                <c:pt idx="45">
                  <c:v>1.7562523881463841</c:v>
                </c:pt>
                <c:pt idx="46">
                  <c:v>1.7562523881463841</c:v>
                </c:pt>
                <c:pt idx="47">
                  <c:v>1.7562523881463841</c:v>
                </c:pt>
                <c:pt idx="48">
                  <c:v>1.7562523881463841</c:v>
                </c:pt>
                <c:pt idx="49">
                  <c:v>1.7562523881463841</c:v>
                </c:pt>
                <c:pt idx="50">
                  <c:v>1.7562523881463841</c:v>
                </c:pt>
                <c:pt idx="51">
                  <c:v>1.7562523881463841</c:v>
                </c:pt>
                <c:pt idx="52">
                  <c:v>1.7562523881463841</c:v>
                </c:pt>
                <c:pt idx="53">
                  <c:v>1.7562523881463841</c:v>
                </c:pt>
                <c:pt idx="54">
                  <c:v>1.7562523881463841</c:v>
                </c:pt>
                <c:pt idx="55">
                  <c:v>1.7562523881463841</c:v>
                </c:pt>
                <c:pt idx="56">
                  <c:v>1.7562523881463841</c:v>
                </c:pt>
                <c:pt idx="57">
                  <c:v>1.7562523881463841</c:v>
                </c:pt>
                <c:pt idx="58">
                  <c:v>1.7562523881463841</c:v>
                </c:pt>
                <c:pt idx="59">
                  <c:v>1.7562523881463841</c:v>
                </c:pt>
                <c:pt idx="60">
                  <c:v>1.7562523881463841</c:v>
                </c:pt>
                <c:pt idx="61">
                  <c:v>1.7562523881463841</c:v>
                </c:pt>
                <c:pt idx="62">
                  <c:v>1.7562523881463841</c:v>
                </c:pt>
                <c:pt idx="63">
                  <c:v>1.7562523881463841</c:v>
                </c:pt>
                <c:pt idx="64">
                  <c:v>1.7562523881463841</c:v>
                </c:pt>
                <c:pt idx="65">
                  <c:v>1.7562523881463841</c:v>
                </c:pt>
                <c:pt idx="66">
                  <c:v>1.7562523881463841</c:v>
                </c:pt>
                <c:pt idx="67">
                  <c:v>1.7562523881463841</c:v>
                </c:pt>
                <c:pt idx="68">
                  <c:v>1.7562523881463841</c:v>
                </c:pt>
                <c:pt idx="69">
                  <c:v>1.7562523881463841</c:v>
                </c:pt>
                <c:pt idx="70">
                  <c:v>1.7562523881463841</c:v>
                </c:pt>
                <c:pt idx="71">
                  <c:v>1.7562523881463841</c:v>
                </c:pt>
                <c:pt idx="72">
                  <c:v>1.7562523881463841</c:v>
                </c:pt>
                <c:pt idx="73">
                  <c:v>1.7562523881463841</c:v>
                </c:pt>
                <c:pt idx="74">
                  <c:v>1.7562523881463841</c:v>
                </c:pt>
                <c:pt idx="75">
                  <c:v>1.7562523881463841</c:v>
                </c:pt>
                <c:pt idx="76">
                  <c:v>1.7562523881463841</c:v>
                </c:pt>
                <c:pt idx="77">
                  <c:v>1.7562523881463841</c:v>
                </c:pt>
                <c:pt idx="78">
                  <c:v>1.7562523881463841</c:v>
                </c:pt>
                <c:pt idx="79">
                  <c:v>1.7562523881463841</c:v>
                </c:pt>
                <c:pt idx="80">
                  <c:v>1.7562523881463841</c:v>
                </c:pt>
                <c:pt idx="81">
                  <c:v>1.7562523881463841</c:v>
                </c:pt>
                <c:pt idx="82">
                  <c:v>1.7562523881463841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06F-4634-AB49-914D40E72554}"/>
            </c:ext>
          </c:extLst>
        </c:ser>
        <c:ser>
          <c:idx val="6"/>
          <c:order val="6"/>
          <c:tx>
            <c:strRef>
              <c:f>RTC!$B$56</c:f>
              <c:strCache>
                <c:ptCount val="1"/>
                <c:pt idx="0">
                  <c:v>Mreq(Vin_min, Vout,π/4 )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RTC!$C$56:$CG$56</c:f>
              <c:numCache>
                <c:formatCode>General</c:formatCode>
                <c:ptCount val="83"/>
                <c:pt idx="0">
                  <c:v>2.1509611052515143</c:v>
                </c:pt>
                <c:pt idx="1">
                  <c:v>2.1509611052515143</c:v>
                </c:pt>
                <c:pt idx="2">
                  <c:v>2.1509611052515143</c:v>
                </c:pt>
                <c:pt idx="3">
                  <c:v>2.1509611052515143</c:v>
                </c:pt>
                <c:pt idx="4">
                  <c:v>2.1509611052515143</c:v>
                </c:pt>
                <c:pt idx="5">
                  <c:v>2.1509611052515143</c:v>
                </c:pt>
                <c:pt idx="6">
                  <c:v>2.1509611052515143</c:v>
                </c:pt>
                <c:pt idx="7">
                  <c:v>2.1509611052515143</c:v>
                </c:pt>
                <c:pt idx="8">
                  <c:v>2.1509611052515143</c:v>
                </c:pt>
                <c:pt idx="9">
                  <c:v>2.1509611052515143</c:v>
                </c:pt>
                <c:pt idx="10">
                  <c:v>2.1509611052515143</c:v>
                </c:pt>
                <c:pt idx="11">
                  <c:v>2.1509611052515143</c:v>
                </c:pt>
                <c:pt idx="12">
                  <c:v>2.1509611052515143</c:v>
                </c:pt>
                <c:pt idx="13">
                  <c:v>2.1509611052515143</c:v>
                </c:pt>
                <c:pt idx="14">
                  <c:v>2.1509611052515143</c:v>
                </c:pt>
                <c:pt idx="15">
                  <c:v>2.1509611052515143</c:v>
                </c:pt>
                <c:pt idx="16">
                  <c:v>2.1509611052515143</c:v>
                </c:pt>
                <c:pt idx="17">
                  <c:v>2.1509611052515143</c:v>
                </c:pt>
                <c:pt idx="18">
                  <c:v>2.1509611052515143</c:v>
                </c:pt>
                <c:pt idx="19">
                  <c:v>2.1509611052515143</c:v>
                </c:pt>
                <c:pt idx="20">
                  <c:v>2.1509611052515143</c:v>
                </c:pt>
                <c:pt idx="21">
                  <c:v>2.1509611052515143</c:v>
                </c:pt>
                <c:pt idx="22">
                  <c:v>2.1509611052515143</c:v>
                </c:pt>
                <c:pt idx="23">
                  <c:v>2.1509611052515143</c:v>
                </c:pt>
                <c:pt idx="24">
                  <c:v>2.1509611052515143</c:v>
                </c:pt>
                <c:pt idx="25">
                  <c:v>2.1509611052515143</c:v>
                </c:pt>
                <c:pt idx="26">
                  <c:v>2.1509611052515143</c:v>
                </c:pt>
                <c:pt idx="27">
                  <c:v>2.1509611052515143</c:v>
                </c:pt>
                <c:pt idx="28">
                  <c:v>2.1509611052515143</c:v>
                </c:pt>
                <c:pt idx="29">
                  <c:v>2.1509611052515143</c:v>
                </c:pt>
                <c:pt idx="30">
                  <c:v>2.1509611052515143</c:v>
                </c:pt>
                <c:pt idx="31">
                  <c:v>2.1509611052515143</c:v>
                </c:pt>
                <c:pt idx="32">
                  <c:v>2.1509611052515143</c:v>
                </c:pt>
                <c:pt idx="33">
                  <c:v>2.1509611052515143</c:v>
                </c:pt>
                <c:pt idx="34">
                  <c:v>2.1509611052515143</c:v>
                </c:pt>
                <c:pt idx="35">
                  <c:v>2.1509611052515143</c:v>
                </c:pt>
                <c:pt idx="36">
                  <c:v>2.1509611052515143</c:v>
                </c:pt>
                <c:pt idx="37">
                  <c:v>2.1509611052515143</c:v>
                </c:pt>
                <c:pt idx="38">
                  <c:v>2.1509611052515143</c:v>
                </c:pt>
                <c:pt idx="39">
                  <c:v>2.1509611052515143</c:v>
                </c:pt>
                <c:pt idx="40">
                  <c:v>2.1509611052515143</c:v>
                </c:pt>
                <c:pt idx="41">
                  <c:v>2.1509611052515143</c:v>
                </c:pt>
                <c:pt idx="42">
                  <c:v>2.1509611052515143</c:v>
                </c:pt>
                <c:pt idx="43">
                  <c:v>2.1509611052515143</c:v>
                </c:pt>
                <c:pt idx="44">
                  <c:v>2.1509611052515143</c:v>
                </c:pt>
                <c:pt idx="45">
                  <c:v>2.1509611052515143</c:v>
                </c:pt>
                <c:pt idx="46">
                  <c:v>2.1509611052515143</c:v>
                </c:pt>
                <c:pt idx="47">
                  <c:v>2.1509611052515143</c:v>
                </c:pt>
                <c:pt idx="48">
                  <c:v>2.1509611052515143</c:v>
                </c:pt>
                <c:pt idx="49">
                  <c:v>2.1509611052515143</c:v>
                </c:pt>
                <c:pt idx="50">
                  <c:v>2.1509611052515143</c:v>
                </c:pt>
                <c:pt idx="51">
                  <c:v>2.1509611052515143</c:v>
                </c:pt>
                <c:pt idx="52">
                  <c:v>2.1509611052515143</c:v>
                </c:pt>
                <c:pt idx="53">
                  <c:v>2.1509611052515143</c:v>
                </c:pt>
                <c:pt idx="54">
                  <c:v>2.1509611052515143</c:v>
                </c:pt>
                <c:pt idx="55">
                  <c:v>2.1509611052515143</c:v>
                </c:pt>
                <c:pt idx="56">
                  <c:v>2.1509611052515143</c:v>
                </c:pt>
                <c:pt idx="57">
                  <c:v>2.1509611052515143</c:v>
                </c:pt>
                <c:pt idx="58">
                  <c:v>2.1509611052515143</c:v>
                </c:pt>
                <c:pt idx="59">
                  <c:v>2.1509611052515143</c:v>
                </c:pt>
                <c:pt idx="60">
                  <c:v>2.1509611052515143</c:v>
                </c:pt>
                <c:pt idx="61">
                  <c:v>2.1509611052515143</c:v>
                </c:pt>
                <c:pt idx="62">
                  <c:v>2.1509611052515143</c:v>
                </c:pt>
                <c:pt idx="63">
                  <c:v>2.1509611052515143</c:v>
                </c:pt>
                <c:pt idx="64">
                  <c:v>2.1509611052515143</c:v>
                </c:pt>
                <c:pt idx="65">
                  <c:v>2.1509611052515143</c:v>
                </c:pt>
                <c:pt idx="66">
                  <c:v>2.1509611052515143</c:v>
                </c:pt>
                <c:pt idx="67">
                  <c:v>2.1509611052515143</c:v>
                </c:pt>
                <c:pt idx="68">
                  <c:v>2.1509611052515143</c:v>
                </c:pt>
                <c:pt idx="69">
                  <c:v>2.1509611052515143</c:v>
                </c:pt>
                <c:pt idx="70">
                  <c:v>2.1509611052515143</c:v>
                </c:pt>
                <c:pt idx="71">
                  <c:v>2.1509611052515143</c:v>
                </c:pt>
                <c:pt idx="72">
                  <c:v>2.1509611052515143</c:v>
                </c:pt>
                <c:pt idx="73">
                  <c:v>2.1509611052515143</c:v>
                </c:pt>
                <c:pt idx="74">
                  <c:v>2.1509611052515143</c:v>
                </c:pt>
                <c:pt idx="75">
                  <c:v>2.1509611052515143</c:v>
                </c:pt>
                <c:pt idx="76">
                  <c:v>2.1509611052515143</c:v>
                </c:pt>
                <c:pt idx="77">
                  <c:v>2.1509611052515143</c:v>
                </c:pt>
                <c:pt idx="78">
                  <c:v>2.1509611052515143</c:v>
                </c:pt>
                <c:pt idx="79">
                  <c:v>2.1509611052515143</c:v>
                </c:pt>
                <c:pt idx="80">
                  <c:v>2.1509611052515143</c:v>
                </c:pt>
                <c:pt idx="81">
                  <c:v>2.1509611052515143</c:v>
                </c:pt>
                <c:pt idx="82">
                  <c:v>2.1509611052515143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06F-4634-AB49-914D40E72554}"/>
            </c:ext>
          </c:extLst>
        </c:ser>
        <c:ser>
          <c:idx val="7"/>
          <c:order val="7"/>
          <c:tx>
            <c:strRef>
              <c:f>RTC!$B$29</c:f>
              <c:strCache>
                <c:ptCount val="1"/>
                <c:pt idx="0">
                  <c:v>M.Z(fn)</c:v>
                </c:pt>
              </c:strCache>
            </c:strRef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RTC!$C$29:$CG$29</c:f>
              <c:numCache>
                <c:formatCode>General</c:formatCode>
                <c:ptCount val="8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1921.5837087114464</c:v>
                </c:pt>
                <c:pt idx="39">
                  <c:v>6.499999999999007</c:v>
                </c:pt>
                <c:pt idx="40">
                  <c:v>3.2529106029008803</c:v>
                </c:pt>
                <c:pt idx="41">
                  <c:v>2.4982667258847973</c:v>
                </c:pt>
                <c:pt idx="42">
                  <c:v>2.1257309304031207</c:v>
                </c:pt>
                <c:pt idx="43">
                  <c:v>1.8960339956097945</c:v>
                </c:pt>
                <c:pt idx="44">
                  <c:v>1.7376131616797115</c:v>
                </c:pt>
                <c:pt idx="45">
                  <c:v>1.6206354136476369</c:v>
                </c:pt>
                <c:pt idx="46">
                  <c:v>1.5301841113520063</c:v>
                </c:pt>
                <c:pt idx="47">
                  <c:v>1.4578754741100259</c:v>
                </c:pt>
                <c:pt idx="48">
                  <c:v>1.3985939180008431</c:v>
                </c:pt>
                <c:pt idx="49">
                  <c:v>1.3490213172523273</c:v>
                </c:pt>
                <c:pt idx="50">
                  <c:v>1.3069011244615849</c:v>
                </c:pt>
                <c:pt idx="51">
                  <c:v>1.2706396576782892</c:v>
                </c:pt>
                <c:pt idx="52">
                  <c:v>1.2390760932765092</c:v>
                </c:pt>
                <c:pt idx="53">
                  <c:v>1.2113428740117067</c:v>
                </c:pt>
                <c:pt idx="54">
                  <c:v>1.1867773590313537</c:v>
                </c:pt>
                <c:pt idx="55">
                  <c:v>1.1648638953701158</c:v>
                </c:pt>
                <c:pt idx="56">
                  <c:v>1.1451946731274369</c:v>
                </c:pt>
                <c:pt idx="57">
                  <c:v>1.1274425752841599</c:v>
                </c:pt>
                <c:pt idx="58">
                  <c:v>1.1113419135083229</c:v>
                </c:pt>
                <c:pt idx="59">
                  <c:v>1.0966744827478272</c:v>
                </c:pt>
                <c:pt idx="60">
                  <c:v>1.0832592849365161</c:v>
                </c:pt>
                <c:pt idx="61">
                  <c:v>1.0709448350980926</c:v>
                </c:pt>
                <c:pt idx="62">
                  <c:v>1.0596033179556184</c:v>
                </c:pt>
                <c:pt idx="63">
                  <c:v>1.0491260922331147</c:v>
                </c:pt>
                <c:pt idx="64">
                  <c:v>1.0394201909627108</c:v>
                </c:pt>
                <c:pt idx="65">
                  <c:v>1.0304055677788071</c:v>
                </c:pt>
                <c:pt idx="66">
                  <c:v>1.022012908801389</c:v>
                </c:pt>
                <c:pt idx="67">
                  <c:v>1.0141818781648655</c:v>
                </c:pt>
                <c:pt idx="68">
                  <c:v>1.0068596994765564</c:v>
                </c:pt>
                <c:pt idx="69">
                  <c:v>1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06F-4634-AB49-914D40E72554}"/>
            </c:ext>
          </c:extLst>
        </c:ser>
        <c:ser>
          <c:idx val="8"/>
          <c:order val="8"/>
          <c:tx>
            <c:strRef>
              <c:f>RTC!$B$31</c:f>
              <c:strCache>
                <c:ptCount val="1"/>
                <c:pt idx="0">
                  <c:v>Minf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RTC!$C$31:$CG$31</c:f>
              <c:numCache>
                <c:formatCode>General</c:formatCode>
                <c:ptCount val="83"/>
                <c:pt idx="0">
                  <c:v>0.68571428571428572</c:v>
                </c:pt>
                <c:pt idx="1">
                  <c:v>0.68571428571428572</c:v>
                </c:pt>
                <c:pt idx="2">
                  <c:v>0.68571428571428572</c:v>
                </c:pt>
                <c:pt idx="3">
                  <c:v>0.68571428571428572</c:v>
                </c:pt>
                <c:pt idx="4">
                  <c:v>0.68571428571428572</c:v>
                </c:pt>
                <c:pt idx="5">
                  <c:v>0.68571428571428572</c:v>
                </c:pt>
                <c:pt idx="6">
                  <c:v>0.68571428571428572</c:v>
                </c:pt>
                <c:pt idx="7">
                  <c:v>0.68571428571428572</c:v>
                </c:pt>
                <c:pt idx="8">
                  <c:v>0.68571428571428572</c:v>
                </c:pt>
                <c:pt idx="9">
                  <c:v>0.68571428571428572</c:v>
                </c:pt>
                <c:pt idx="10">
                  <c:v>0.68571428571428572</c:v>
                </c:pt>
                <c:pt idx="11">
                  <c:v>0.68571428571428572</c:v>
                </c:pt>
                <c:pt idx="12">
                  <c:v>0.68571428571428572</c:v>
                </c:pt>
                <c:pt idx="13">
                  <c:v>0.68571428571428572</c:v>
                </c:pt>
                <c:pt idx="14">
                  <c:v>0.68571428571428572</c:v>
                </c:pt>
                <c:pt idx="15">
                  <c:v>0.68571428571428572</c:v>
                </c:pt>
                <c:pt idx="16">
                  <c:v>0.68571428571428572</c:v>
                </c:pt>
                <c:pt idx="17">
                  <c:v>0.68571428571428572</c:v>
                </c:pt>
                <c:pt idx="18">
                  <c:v>0.68571428571428572</c:v>
                </c:pt>
                <c:pt idx="19">
                  <c:v>0.68571428571428572</c:v>
                </c:pt>
                <c:pt idx="20">
                  <c:v>0.68571428571428572</c:v>
                </c:pt>
                <c:pt idx="21">
                  <c:v>0.68571428571428572</c:v>
                </c:pt>
                <c:pt idx="22">
                  <c:v>0.68571428571428572</c:v>
                </c:pt>
                <c:pt idx="23">
                  <c:v>0.68571428571428572</c:v>
                </c:pt>
                <c:pt idx="24">
                  <c:v>0.68571428571428572</c:v>
                </c:pt>
                <c:pt idx="25">
                  <c:v>0.68571428571428572</c:v>
                </c:pt>
                <c:pt idx="26">
                  <c:v>0.68571428571428572</c:v>
                </c:pt>
                <c:pt idx="27">
                  <c:v>0.68571428571428572</c:v>
                </c:pt>
                <c:pt idx="28">
                  <c:v>0.68571428571428572</c:v>
                </c:pt>
                <c:pt idx="29">
                  <c:v>0.68571428571428572</c:v>
                </c:pt>
                <c:pt idx="30">
                  <c:v>0.68571428571428572</c:v>
                </c:pt>
                <c:pt idx="31">
                  <c:v>0.68571428571428572</c:v>
                </c:pt>
                <c:pt idx="32">
                  <c:v>0.68571428571428572</c:v>
                </c:pt>
                <c:pt idx="33">
                  <c:v>0.68571428571428572</c:v>
                </c:pt>
                <c:pt idx="34">
                  <c:v>0.68571428571428572</c:v>
                </c:pt>
                <c:pt idx="35">
                  <c:v>0.68571428571428572</c:v>
                </c:pt>
                <c:pt idx="36">
                  <c:v>0.68571428571428572</c:v>
                </c:pt>
                <c:pt idx="37">
                  <c:v>0.68571428571428572</c:v>
                </c:pt>
                <c:pt idx="38">
                  <c:v>0.68571428571428572</c:v>
                </c:pt>
                <c:pt idx="39">
                  <c:v>0.68571428571428572</c:v>
                </c:pt>
                <c:pt idx="40">
                  <c:v>0.68571428571428572</c:v>
                </c:pt>
                <c:pt idx="41">
                  <c:v>0.68571428571428572</c:v>
                </c:pt>
                <c:pt idx="42">
                  <c:v>0.68571428571428572</c:v>
                </c:pt>
                <c:pt idx="43">
                  <c:v>0.68571428571428572</c:v>
                </c:pt>
                <c:pt idx="44">
                  <c:v>0.68571428571428572</c:v>
                </c:pt>
                <c:pt idx="45">
                  <c:v>0.68571428571428572</c:v>
                </c:pt>
                <c:pt idx="46">
                  <c:v>0.68571428571428572</c:v>
                </c:pt>
                <c:pt idx="47">
                  <c:v>0.68571428571428572</c:v>
                </c:pt>
                <c:pt idx="48">
                  <c:v>0.68571428571428572</c:v>
                </c:pt>
                <c:pt idx="49">
                  <c:v>0.68571428571428572</c:v>
                </c:pt>
                <c:pt idx="50">
                  <c:v>0.68571428571428572</c:v>
                </c:pt>
                <c:pt idx="51">
                  <c:v>0.68571428571428572</c:v>
                </c:pt>
                <c:pt idx="52">
                  <c:v>0.68571428571428572</c:v>
                </c:pt>
                <c:pt idx="53">
                  <c:v>0.68571428571428572</c:v>
                </c:pt>
                <c:pt idx="54">
                  <c:v>0.68571428571428572</c:v>
                </c:pt>
                <c:pt idx="55">
                  <c:v>0.68571428571428572</c:v>
                </c:pt>
                <c:pt idx="56">
                  <c:v>0.68571428571428572</c:v>
                </c:pt>
                <c:pt idx="57">
                  <c:v>0.68571428571428572</c:v>
                </c:pt>
                <c:pt idx="58">
                  <c:v>0.68571428571428572</c:v>
                </c:pt>
                <c:pt idx="59">
                  <c:v>0.68571428571428572</c:v>
                </c:pt>
                <c:pt idx="60">
                  <c:v>0.68571428571428572</c:v>
                </c:pt>
                <c:pt idx="61">
                  <c:v>0.68571428571428572</c:v>
                </c:pt>
                <c:pt idx="62">
                  <c:v>0.68571428571428572</c:v>
                </c:pt>
                <c:pt idx="63">
                  <c:v>0.68571428571428572</c:v>
                </c:pt>
                <c:pt idx="64">
                  <c:v>0.68571428571428572</c:v>
                </c:pt>
                <c:pt idx="65">
                  <c:v>0.68571428571428572</c:v>
                </c:pt>
                <c:pt idx="66">
                  <c:v>0.68571428571428572</c:v>
                </c:pt>
                <c:pt idx="67">
                  <c:v>0.68571428571428572</c:v>
                </c:pt>
                <c:pt idx="68">
                  <c:v>0.68571428571428572</c:v>
                </c:pt>
                <c:pt idx="69">
                  <c:v>0.68571428571428572</c:v>
                </c:pt>
                <c:pt idx="70">
                  <c:v>0.68571428571428572</c:v>
                </c:pt>
                <c:pt idx="71">
                  <c:v>0.68571428571428572</c:v>
                </c:pt>
                <c:pt idx="72">
                  <c:v>0.68571428571428572</c:v>
                </c:pt>
                <c:pt idx="73">
                  <c:v>0.68571428571428572</c:v>
                </c:pt>
                <c:pt idx="74">
                  <c:v>0.68571428571428572</c:v>
                </c:pt>
                <c:pt idx="75">
                  <c:v>0.68571428571428572</c:v>
                </c:pt>
                <c:pt idx="76">
                  <c:v>0.68571428571428572</c:v>
                </c:pt>
                <c:pt idx="77">
                  <c:v>0.68571428571428572</c:v>
                </c:pt>
                <c:pt idx="78">
                  <c:v>0.68571428571428572</c:v>
                </c:pt>
                <c:pt idx="79">
                  <c:v>0.68571428571428572</c:v>
                </c:pt>
                <c:pt idx="80">
                  <c:v>0.68571428571428572</c:v>
                </c:pt>
                <c:pt idx="81">
                  <c:v>0.68571428571428572</c:v>
                </c:pt>
                <c:pt idx="82">
                  <c:v>0.68571428571428572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12-49EE-AEFA-0B2FB8B395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431"/>
        <c:axId val="1407976511"/>
      </c:scatterChart>
      <c:valAx>
        <c:axId val="1407978431"/>
        <c:scaling>
          <c:orientation val="minMax"/>
          <c:max val="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fn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6511"/>
        <c:crosses val="autoZero"/>
        <c:crossBetween val="midCat"/>
        <c:majorUnit val="1"/>
        <c:minorUnit val="1"/>
      </c:valAx>
      <c:valAx>
        <c:axId val="1407976511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Required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8431"/>
        <c:crosses val="autoZero"/>
        <c:crossBetween val="midCat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6888263213995636"/>
          <c:y val="0.16027563224159808"/>
          <c:w val="0.26492290775178096"/>
          <c:h val="0.42061995684821901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Gain curve vs Minimum Required Gain for PFC </a:t>
            </a:r>
            <a:r>
              <a:rPr lang="en-US" sz="1400"/>
              <a:t>regulation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@Vin_max</a:t>
            </a:r>
            <a:endParaRPr lang="el-GR" sz="1400"/>
          </a:p>
        </c:rich>
      </c:tx>
      <c:layout>
        <c:manualLayout>
          <c:xMode val="edge"/>
          <c:yMode val="edge"/>
          <c:x val="0.16144385855423607"/>
          <c:y val="2.3272468193682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537263861003059"/>
          <c:y val="0.14181437112537784"/>
          <c:w val="0.82634951881014873"/>
          <c:h val="0.73685758765226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RTC!$B$28</c:f>
              <c:strCache>
                <c:ptCount val="1"/>
                <c:pt idx="0">
                  <c:v>M.OL(fn)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RTC!$C$28:$CG$28</c:f>
              <c:numCache>
                <c:formatCode>General</c:formatCode>
                <c:ptCount val="83"/>
                <c:pt idx="0">
                  <c:v>2.1818182512396718E-8</c:v>
                </c:pt>
                <c:pt idx="1">
                  <c:v>1.2886419367458453E-3</c:v>
                </c:pt>
                <c:pt idx="2">
                  <c:v>3.2957540508757933E-3</c:v>
                </c:pt>
                <c:pt idx="3">
                  <c:v>6.2466838217803949E-3</c:v>
                </c:pt>
                <c:pt idx="4">
                  <c:v>1.0165634844491057E-2</c:v>
                </c:pt>
                <c:pt idx="5">
                  <c:v>1.5085230808885637E-2</c:v>
                </c:pt>
                <c:pt idx="6">
                  <c:v>2.104720710419164E-2</c:v>
                </c:pt>
                <c:pt idx="7">
                  <c:v>2.8103319587713758E-2</c:v>
                </c:pt>
                <c:pt idx="8">
                  <c:v>3.6316508449383139E-2</c:v>
                </c:pt>
                <c:pt idx="9">
                  <c:v>4.5762367743434479E-2</c:v>
                </c:pt>
                <c:pt idx="10">
                  <c:v>5.6530987448607108E-2</c:v>
                </c:pt>
                <c:pt idx="11">
                  <c:v>6.8729256295102084E-2</c:v>
                </c:pt>
                <c:pt idx="12">
                  <c:v>8.2483742085161724E-2</c:v>
                </c:pt>
                <c:pt idx="13">
                  <c:v>9.7944304735298124E-2</c:v>
                </c:pt>
                <c:pt idx="14">
                  <c:v>0.11528864999952876</c:v>
                </c:pt>
                <c:pt idx="15">
                  <c:v>0.1347281050187448</c:v>
                </c:pt>
                <c:pt idx="16">
                  <c:v>0.15651499980883612</c:v>
                </c:pt>
                <c:pt idx="17">
                  <c:v>0.18095218575415503</c:v>
                </c:pt>
                <c:pt idx="18">
                  <c:v>0.20840543512238516</c:v>
                </c:pt>
                <c:pt idx="19">
                  <c:v>0.23931977930378859</c:v>
                </c:pt>
                <c:pt idx="20">
                  <c:v>0.27424131386312434</c:v>
                </c:pt>
                <c:pt idx="21">
                  <c:v>0.31384671772931005</c:v>
                </c:pt>
                <c:pt idx="22">
                  <c:v>0.3589838574142431</c:v>
                </c:pt>
                <c:pt idx="23">
                  <c:v>0.41072864448862639</c:v>
                </c:pt>
                <c:pt idx="24">
                  <c:v>0.47046626668653735</c:v>
                </c:pt>
                <c:pt idx="25">
                  <c:v>0.54000990781304037</c:v>
                </c:pt>
                <c:pt idx="26">
                  <c:v>0.62177881033586746</c:v>
                </c:pt>
                <c:pt idx="27">
                  <c:v>0.71907341857608231</c:v>
                </c:pt>
                <c:pt idx="28">
                  <c:v>0.83651551018079373</c:v>
                </c:pt>
                <c:pt idx="29">
                  <c:v>0.98078153994784389</c:v>
                </c:pt>
                <c:pt idx="30">
                  <c:v>1.1618855338834528</c:v>
                </c:pt>
                <c:pt idx="31">
                  <c:v>1.3955605407023011</c:v>
                </c:pt>
                <c:pt idx="32">
                  <c:v>1.70801881699095</c:v>
                </c:pt>
                <c:pt idx="33">
                  <c:v>2.1464163817304032</c:v>
                </c:pt>
                <c:pt idx="34">
                  <c:v>2.8049873938594398</c:v>
                </c:pt>
                <c:pt idx="35">
                  <c:v>3.9033273688464369</c:v>
                </c:pt>
                <c:pt idx="36">
                  <c:v>6.098718634915044</c:v>
                </c:pt>
                <c:pt idx="37">
                  <c:v>12.659566924581251</c:v>
                </c:pt>
                <c:pt idx="38">
                  <c:v>1921.5837087114464</c:v>
                </c:pt>
                <c:pt idx="39">
                  <c:v>42.249999999987104</c:v>
                </c:pt>
                <c:pt idx="40">
                  <c:v>10.581427390464974</c:v>
                </c:pt>
                <c:pt idx="41">
                  <c:v>6.2413366336631526</c:v>
                </c:pt>
                <c:pt idx="42">
                  <c:v>4.5187319884725161</c:v>
                </c:pt>
                <c:pt idx="43">
                  <c:v>3.5949449125080415</c:v>
                </c:pt>
                <c:pt idx="44">
                  <c:v>3.0192994996425648</c:v>
                </c:pt>
                <c:pt idx="45">
                  <c:v>2.6264591439688467</c:v>
                </c:pt>
                <c:pt idx="46">
                  <c:v>2.3414634146341284</c:v>
                </c:pt>
                <c:pt idx="47">
                  <c:v>2.1254008980115326</c:v>
                </c:pt>
                <c:pt idx="48">
                  <c:v>1.9560649474689491</c:v>
                </c:pt>
                <c:pt idx="49">
                  <c:v>1.8198585144012047</c:v>
                </c:pt>
                <c:pt idx="50">
                  <c:v>1.7079905491189553</c:v>
                </c:pt>
                <c:pt idx="51">
                  <c:v>1.6145251396647997</c:v>
                </c:pt>
                <c:pt idx="52">
                  <c:v>1.5353095649293769</c:v>
                </c:pt>
                <c:pt idx="53">
                  <c:v>1.4673515584189416</c:v>
                </c:pt>
                <c:pt idx="54">
                  <c:v>1.4084404999094342</c:v>
                </c:pt>
                <c:pt idx="55">
                  <c:v>1.35690789473684</c:v>
                </c:pt>
                <c:pt idx="56">
                  <c:v>1.3114708393594574</c:v>
                </c:pt>
                <c:pt idx="57">
                  <c:v>1.2711267605633787</c:v>
                </c:pt>
                <c:pt idx="58">
                  <c:v>1.2350808487203404</c:v>
                </c:pt>
                <c:pt idx="59">
                  <c:v>1.2026949211102145</c:v>
                </c:pt>
                <c:pt idx="60">
                  <c:v>1.1734506784011727</c:v>
                </c:pt>
                <c:pt idx="61">
                  <c:v>1.1469228398232809</c:v>
                </c:pt>
                <c:pt idx="62">
                  <c:v>1.1227591914225556</c:v>
                </c:pt>
                <c:pt idx="63">
                  <c:v>1.1006655574043258</c:v>
                </c:pt>
                <c:pt idx="64">
                  <c:v>1.080394333380958</c:v>
                </c:pt>
                <c:pt idx="65">
                  <c:v>1.0617356341095658</c:v>
                </c:pt>
                <c:pt idx="66">
                  <c:v>1.0445103857566764</c:v>
                </c:pt>
                <c:pt idx="67">
                  <c:v>1.0285648819980142</c:v>
                </c:pt>
                <c:pt idx="68">
                  <c:v>1.0137664544300213</c:v>
                </c:pt>
                <c:pt idx="69">
                  <c:v>1</c:v>
                </c:pt>
                <c:pt idx="70">
                  <c:v>0.96756638701644149</c:v>
                </c:pt>
                <c:pt idx="71">
                  <c:v>0.94029649207737387</c:v>
                </c:pt>
                <c:pt idx="72">
                  <c:v>0.9170912797089299</c:v>
                </c:pt>
                <c:pt idx="73">
                  <c:v>0.89713972557044763</c:v>
                </c:pt>
                <c:pt idx="74">
                  <c:v>0.87983058019429439</c:v>
                </c:pt>
                <c:pt idx="75">
                  <c:v>0.86469466359597535</c:v>
                </c:pt>
                <c:pt idx="76">
                  <c:v>0.85136604264766635</c:v>
                </c:pt>
                <c:pt idx="77">
                  <c:v>0.83955525874231718</c:v>
                </c:pt>
                <c:pt idx="78">
                  <c:v>0.82903045930975283</c:v>
                </c:pt>
                <c:pt idx="79">
                  <c:v>0.81960384055727298</c:v>
                </c:pt>
                <c:pt idx="80">
                  <c:v>0.81112173694104106</c:v>
                </c:pt>
                <c:pt idx="81">
                  <c:v>0.80345726326884537</c:v>
                </c:pt>
                <c:pt idx="82">
                  <c:v>0.7965047748976446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13-4C7F-B9F1-00AA2F563F1D}"/>
            </c:ext>
          </c:extLst>
        </c:ser>
        <c:ser>
          <c:idx val="1"/>
          <c:order val="1"/>
          <c:tx>
            <c:strRef>
              <c:f>RTC!$B$47</c:f>
              <c:strCache>
                <c:ptCount val="1"/>
                <c:pt idx="0">
                  <c:v>M(fn,Po,π/2)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RTC!$C$47:$CG$47</c:f>
              <c:numCache>
                <c:formatCode>General</c:formatCode>
                <c:ptCount val="83"/>
                <c:pt idx="0">
                  <c:v>2.1818182382492675E-8</c:v>
                </c:pt>
                <c:pt idx="1">
                  <c:v>1.2881887010930794E-3</c:v>
                </c:pt>
                <c:pt idx="2">
                  <c:v>3.2927886442313385E-3</c:v>
                </c:pt>
                <c:pt idx="3">
                  <c:v>6.2360266346062031E-3</c:v>
                </c:pt>
                <c:pt idx="4">
                  <c:v>1.0137396704165301E-2</c:v>
                </c:pt>
                <c:pt idx="5">
                  <c:v>1.5023007895528954E-2</c:v>
                </c:pt>
                <c:pt idx="6">
                  <c:v>2.0925987778792478E-2</c:v>
                </c:pt>
                <c:pt idx="7">
                  <c:v>2.7887001276361342E-2</c:v>
                </c:pt>
                <c:pt idx="8">
                  <c:v>3.5954897539339017E-2</c:v>
                </c:pt>
                <c:pt idx="9">
                  <c:v>4.5187500817546217E-2</c:v>
                </c:pt>
                <c:pt idx="10">
                  <c:v>5.5652564835327163E-2</c:v>
                </c:pt>
                <c:pt idx="11">
                  <c:v>6.7428914152122668E-2</c:v>
                </c:pt>
                <c:pt idx="12">
                  <c:v>8.0607800331455051E-2</c:v>
                </c:pt>
                <c:pt idx="13">
                  <c:v>9.5294505365001059E-2</c:v>
                </c:pt>
                <c:pt idx="14">
                  <c:v>0.11161022945863958</c:v>
                </c:pt>
                <c:pt idx="15">
                  <c:v>0.12969430450041747</c:v>
                </c:pt>
                <c:pt idx="16">
                  <c:v>0.14970677740192706</c:v>
                </c:pt>
                <c:pt idx="17">
                  <c:v>0.17183140745740369</c:v>
                </c:pt>
                <c:pt idx="18">
                  <c:v>0.19627911619524036</c:v>
                </c:pt>
                <c:pt idx="19">
                  <c:v>0.22329191235764032</c:v>
                </c:pt>
                <c:pt idx="20">
                  <c:v>0.25314728109657647</c:v>
                </c:pt>
                <c:pt idx="21">
                  <c:v>0.28616296286546417</c:v>
                </c:pt>
                <c:pt idx="22">
                  <c:v>0.32270193381356715</c:v>
                </c:pt>
                <c:pt idx="23">
                  <c:v>0.36317720380577329</c:v>
                </c:pt>
                <c:pt idx="24">
                  <c:v>0.40805572039200749</c:v>
                </c:pt>
                <c:pt idx="25">
                  <c:v>0.45786013065995684</c:v>
                </c:pt>
                <c:pt idx="26">
                  <c:v>0.51316629609248432</c:v>
                </c:pt>
                <c:pt idx="27">
                  <c:v>0.57459312657902117</c:v>
                </c:pt>
                <c:pt idx="28">
                  <c:v>0.64277932160959372</c:v>
                </c:pt>
                <c:pt idx="29">
                  <c:v>0.71833884691119299</c:v>
                </c:pt>
                <c:pt idx="30">
                  <c:v>0.80178354597124124</c:v>
                </c:pt>
                <c:pt idx="31">
                  <c:v>0.89339801137383779</c:v>
                </c:pt>
                <c:pt idx="32">
                  <c:v>0.99305115057053139</c:v>
                </c:pt>
                <c:pt idx="33">
                  <c:v>1.0999361156437204</c:v>
                </c:pt>
                <c:pt idx="34">
                  <c:v>1.2122544795938535</c:v>
                </c:pt>
                <c:pt idx="35">
                  <c:v>1.3269116345880969</c:v>
                </c:pt>
                <c:pt idx="36">
                  <c:v>1.4393666612797296</c:v>
                </c:pt>
                <c:pt idx="37">
                  <c:v>1.5438437181055409</c:v>
                </c:pt>
                <c:pt idx="38">
                  <c:v>1.634075089047597</c:v>
                </c:pt>
                <c:pt idx="39">
                  <c:v>1.6593385553953328</c:v>
                </c:pt>
                <c:pt idx="40">
                  <c:v>1.7224809596753172</c:v>
                </c:pt>
                <c:pt idx="41">
                  <c:v>1.7617858065342098</c:v>
                </c:pt>
                <c:pt idx="42">
                  <c:v>1.7775007606476596</c:v>
                </c:pt>
                <c:pt idx="43">
                  <c:v>1.7723770936820213</c:v>
                </c:pt>
                <c:pt idx="44">
                  <c:v>1.7506688032071991</c:v>
                </c:pt>
                <c:pt idx="45">
                  <c:v>1.7170352094878036</c:v>
                </c:pt>
                <c:pt idx="46">
                  <c:v>1.6757354437264311</c:v>
                </c:pt>
                <c:pt idx="47">
                  <c:v>1.6302254633798372</c:v>
                </c:pt>
                <c:pt idx="48">
                  <c:v>1.5830741957458498</c:v>
                </c:pt>
                <c:pt idx="49">
                  <c:v>1.5360596375513149</c:v>
                </c:pt>
                <c:pt idx="50">
                  <c:v>1.4903324554146884</c:v>
                </c:pt>
                <c:pt idx="51">
                  <c:v>1.446581713956461</c:v>
                </c:pt>
                <c:pt idx="52">
                  <c:v>1.4051745142564538</c:v>
                </c:pt>
                <c:pt idx="53">
                  <c:v>1.3662628198799427</c:v>
                </c:pt>
                <c:pt idx="54">
                  <c:v>1.329860503810347</c:v>
                </c:pt>
                <c:pt idx="55">
                  <c:v>1.2958967576600455</c:v>
                </c:pt>
                <c:pt idx="56">
                  <c:v>1.2642520414530216</c:v>
                </c:pt>
                <c:pt idx="57">
                  <c:v>1.2347816882910965</c:v>
                </c:pt>
                <c:pt idx="58">
                  <c:v>1.2073310266874606</c:v>
                </c:pt>
                <c:pt idx="59">
                  <c:v>1.1817447922027622</c:v>
                </c:pt>
                <c:pt idx="60">
                  <c:v>1.1578727557635651</c:v>
                </c:pt>
                <c:pt idx="61">
                  <c:v>1.1355728820271946</c:v>
                </c:pt>
                <c:pt idx="62">
                  <c:v>1.1147129003379874</c:v>
                </c:pt>
                <c:pt idx="63">
                  <c:v>1.0951708751382412</c:v>
                </c:pt>
                <c:pt idx="64">
                  <c:v>1.0768351626045636</c:v>
                </c:pt>
                <c:pt idx="65">
                  <c:v>1.0596040061373857</c:v>
                </c:pt>
                <c:pt idx="66">
                  <c:v>1.0433849339971508</c:v>
                </c:pt>
                <c:pt idx="67">
                  <c:v>1.0280940632015909</c:v>
                </c:pt>
                <c:pt idx="68">
                  <c:v>1.0136553747908899</c:v>
                </c:pt>
                <c:pt idx="69">
                  <c:v>1</c:v>
                </c:pt>
                <c:pt idx="70">
                  <c:v>0.96691322680906977</c:v>
                </c:pt>
                <c:pt idx="71">
                  <c:v>0.93798852959219836</c:v>
                </c:pt>
                <c:pt idx="72">
                  <c:v>0.91245116941174087</c:v>
                </c:pt>
                <c:pt idx="73">
                  <c:v>0.88969658878492341</c:v>
                </c:pt>
                <c:pt idx="74">
                  <c:v>0.86924871266921189</c:v>
                </c:pt>
                <c:pt idx="75">
                  <c:v>0.85072914348639261</c:v>
                </c:pt>
                <c:pt idx="76">
                  <c:v>0.83383437970660179</c:v>
                </c:pt>
                <c:pt idx="77">
                  <c:v>0.81831887609351994</c:v>
                </c:pt>
                <c:pt idx="78">
                  <c:v>0.80398235120407913</c:v>
                </c:pt>
                <c:pt idx="79">
                  <c:v>0.7906601946781564</c:v>
                </c:pt>
                <c:pt idx="80">
                  <c:v>0.77821615163793834</c:v>
                </c:pt>
                <c:pt idx="81">
                  <c:v>0.76653669311334505</c:v>
                </c:pt>
                <c:pt idx="82">
                  <c:v>0.75552664554189064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13-4C7F-B9F1-00AA2F563F1D}"/>
            </c:ext>
          </c:extLst>
        </c:ser>
        <c:ser>
          <c:idx val="2"/>
          <c:order val="2"/>
          <c:tx>
            <c:strRef>
              <c:f>RTC!$B$49</c:f>
              <c:strCache>
                <c:ptCount val="1"/>
                <c:pt idx="0">
                  <c:v>M(fn,Po,π/3)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RTC!$C$49:$CG$49</c:f>
              <c:numCache>
                <c:formatCode>General</c:formatCode>
                <c:ptCount val="83"/>
                <c:pt idx="0">
                  <c:v>2.1818182439325691E-8</c:v>
                </c:pt>
                <c:pt idx="1">
                  <c:v>1.288386932838223E-3</c:v>
                </c:pt>
                <c:pt idx="2">
                  <c:v>3.294085024357045E-3</c:v>
                </c:pt>
                <c:pt idx="3">
                  <c:v>6.2406824378399874E-3</c:v>
                </c:pt>
                <c:pt idx="4">
                  <c:v>1.0149721903320651E-2</c:v>
                </c:pt>
                <c:pt idx="5">
                  <c:v>1.5050135523851146E-2</c:v>
                </c:pt>
                <c:pt idx="6">
                  <c:v>2.0978762930202923E-2</c:v>
                </c:pt>
                <c:pt idx="7">
                  <c:v>2.7981024024538607E-2</c:v>
                </c:pt>
                <c:pt idx="8">
                  <c:v>3.6111767932241016E-2</c:v>
                </c:pt>
                <c:pt idx="9">
                  <c:v>4.5436326096875805E-2</c:v>
                </c:pt>
                <c:pt idx="10">
                  <c:v>5.6031805097773321E-2</c:v>
                </c:pt>
                <c:pt idx="11">
                  <c:v>6.7988664131966317E-2</c:v>
                </c:pt>
                <c:pt idx="12">
                  <c:v>8.1412633661487821E-2</c:v>
                </c:pt>
                <c:pt idx="13">
                  <c:v>9.6427046070027292E-2</c:v>
                </c:pt>
                <c:pt idx="14">
                  <c:v>0.11317566700622338</c:v>
                </c:pt>
                <c:pt idx="15">
                  <c:v>0.13182613823889974</c:v>
                </c:pt>
                <c:pt idx="16">
                  <c:v>0.15257417021874703</c:v>
                </c:pt>
                <c:pt idx="17">
                  <c:v>0.17564865601082363</c:v>
                </c:pt>
                <c:pt idx="18">
                  <c:v>0.20131791842768321</c:v>
                </c:pt>
                <c:pt idx="19">
                  <c:v>0.22989734881129481</c:v>
                </c:pt>
                <c:pt idx="20">
                  <c:v>0.26175874677386279</c:v>
                </c:pt>
                <c:pt idx="21">
                  <c:v>0.29734171889440625</c:v>
                </c:pt>
                <c:pt idx="22">
                  <c:v>0.33716752587048926</c:v>
                </c:pt>
                <c:pt idx="23">
                  <c:v>0.38185574987982207</c:v>
                </c:pt>
                <c:pt idx="24">
                  <c:v>0.4321440215917321</c:v>
                </c:pt>
                <c:pt idx="25">
                  <c:v>0.48891067008148426</c:v>
                </c:pt>
                <c:pt idx="26">
                  <c:v>0.55319928820362751</c:v>
                </c:pt>
                <c:pt idx="27">
                  <c:v>0.62624236450510695</c:v>
                </c:pt>
                <c:pt idx="28">
                  <c:v>0.70947743818119835</c:v>
                </c:pt>
                <c:pt idx="29">
                  <c:v>0.80454211618310545</c:v>
                </c:pt>
                <c:pt idx="30">
                  <c:v>0.91322115987396457</c:v>
                </c:pt>
                <c:pt idx="31">
                  <c:v>1.0372960664446651</c:v>
                </c:pt>
                <c:pt idx="32">
                  <c:v>1.1782121374140366</c:v>
                </c:pt>
                <c:pt idx="33">
                  <c:v>1.3364349780829285</c:v>
                </c:pt>
                <c:pt idx="34">
                  <c:v>1.5103522672564342</c:v>
                </c:pt>
                <c:pt idx="35">
                  <c:v>1.6946933621753784</c:v>
                </c:pt>
                <c:pt idx="36">
                  <c:v>1.8788872930725196</c:v>
                </c:pt>
                <c:pt idx="37">
                  <c:v>2.0466553898913227</c:v>
                </c:pt>
                <c:pt idx="38">
                  <c:v>2.1787661726775815</c:v>
                </c:pt>
                <c:pt idx="39">
                  <c:v>2.2111254628172508</c:v>
                </c:pt>
                <c:pt idx="40">
                  <c:v>2.2733341619235317</c:v>
                </c:pt>
                <c:pt idx="41">
                  <c:v>2.2794758156576145</c:v>
                </c:pt>
                <c:pt idx="42">
                  <c:v>2.2390917769355321</c:v>
                </c:pt>
                <c:pt idx="43">
                  <c:v>2.1671764851446023</c:v>
                </c:pt>
                <c:pt idx="44">
                  <c:v>2.0782664827564985</c:v>
                </c:pt>
                <c:pt idx="45">
                  <c:v>1.9833491584035789</c:v>
                </c:pt>
                <c:pt idx="46">
                  <c:v>1.8894370266624958</c:v>
                </c:pt>
                <c:pt idx="47">
                  <c:v>1.8004036122547353</c:v>
                </c:pt>
                <c:pt idx="48">
                  <c:v>1.7180362951962087</c:v>
                </c:pt>
                <c:pt idx="49">
                  <c:v>1.6428800535467103</c:v>
                </c:pt>
                <c:pt idx="50">
                  <c:v>1.5748033751254678</c:v>
                </c:pt>
                <c:pt idx="51">
                  <c:v>1.5133428875947135</c:v>
                </c:pt>
                <c:pt idx="52">
                  <c:v>1.4579001918992971</c:v>
                </c:pt>
                <c:pt idx="53">
                  <c:v>1.4078482374057375</c:v>
                </c:pt>
                <c:pt idx="54">
                  <c:v>1.3625851213657625</c:v>
                </c:pt>
                <c:pt idx="55">
                  <c:v>1.3215584444011077</c:v>
                </c:pt>
                <c:pt idx="56">
                  <c:v>1.2842737446429706</c:v>
                </c:pt>
                <c:pt idx="57">
                  <c:v>1.2502946995621886</c:v>
                </c:pt>
                <c:pt idx="58">
                  <c:v>1.2192393728204127</c:v>
                </c:pt>
                <c:pt idx="59">
                  <c:v>1.1907748312749207</c:v>
                </c:pt>
                <c:pt idx="60">
                  <c:v>1.1646113567059417</c:v>
                </c:pt>
                <c:pt idx="61">
                  <c:v>1.140496864502047</c:v>
                </c:pt>
                <c:pt idx="62">
                  <c:v>1.1182118061628268</c:v>
                </c:pt>
                <c:pt idx="63">
                  <c:v>1.0975646529978911</c:v>
                </c:pt>
                <c:pt idx="64">
                  <c:v>1.0783879659759421</c:v>
                </c:pt>
                <c:pt idx="65">
                  <c:v>1.0605350123336386</c:v>
                </c:pt>
                <c:pt idx="66">
                  <c:v>1.0438768713069297</c:v>
                </c:pt>
                <c:pt idx="67">
                  <c:v>1.0282999668555644</c:v>
                </c:pt>
                <c:pt idx="68">
                  <c:v>1.0137039676399553</c:v>
                </c:pt>
                <c:pt idx="69">
                  <c:v>1</c:v>
                </c:pt>
                <c:pt idx="70">
                  <c:v>0.96719882159524373</c:v>
                </c:pt>
                <c:pt idx="71">
                  <c:v>0.93899617000083535</c:v>
                </c:pt>
                <c:pt idx="72">
                  <c:v>0.91447253396452466</c:v>
                </c:pt>
                <c:pt idx="73">
                  <c:v>0.8929300910335991</c:v>
                </c:pt>
                <c:pt idx="74">
                  <c:v>0.87383107550355499</c:v>
                </c:pt>
                <c:pt idx="75">
                  <c:v>0.85675526471749119</c:v>
                </c:pt>
                <c:pt idx="76">
                  <c:v>0.84137012873404282</c:v>
                </c:pt>
                <c:pt idx="77">
                  <c:v>0.82740951576527788</c:v>
                </c:pt>
                <c:pt idx="78">
                  <c:v>0.81465819096376568</c:v>
                </c:pt>
                <c:pt idx="79">
                  <c:v>0.80294045572863604</c:v>
                </c:pt>
                <c:pt idx="80">
                  <c:v>0.79211165619735802</c:v>
                </c:pt>
                <c:pt idx="81">
                  <c:v>0.78205176741559146</c:v>
                </c:pt>
                <c:pt idx="82">
                  <c:v>0.77266048914876062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13-4C7F-B9F1-00AA2F563F1D}"/>
            </c:ext>
          </c:extLst>
        </c:ser>
        <c:ser>
          <c:idx val="3"/>
          <c:order val="3"/>
          <c:tx>
            <c:strRef>
              <c:f>RTC!$B$50</c:f>
              <c:strCache>
                <c:ptCount val="1"/>
                <c:pt idx="0">
                  <c:v>M(fn,Po,π/4)</c:v>
                </c:pt>
              </c:strCache>
            </c:strRef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RTC!$C$50:$CG$50</c:f>
              <c:numCache>
                <c:formatCode>General</c:formatCode>
                <c:ptCount val="83"/>
                <c:pt idx="0">
                  <c:v>2.1818182479920704E-8</c:v>
                </c:pt>
                <c:pt idx="1">
                  <c:v>1.2885285829841006E-3</c:v>
                </c:pt>
                <c:pt idx="2">
                  <c:v>3.2950119481721194E-3</c:v>
                </c:pt>
                <c:pt idx="3">
                  <c:v>6.2440144033623097E-3</c:v>
                </c:pt>
                <c:pt idx="4">
                  <c:v>1.0158553191859945E-2</c:v>
                </c:pt>
                <c:pt idx="5">
                  <c:v>1.5069602622699301E-2</c:v>
                </c:pt>
                <c:pt idx="6">
                  <c:v>2.1016704876682134E-2</c:v>
                </c:pt>
                <c:pt idx="7">
                  <c:v>2.8048768388947723E-2</c:v>
                </c:pt>
                <c:pt idx="8">
                  <c:v>3.6225083729408088E-2</c:v>
                </c:pt>
                <c:pt idx="9">
                  <c:v>4.5616596356075428E-2</c:v>
                </c:pt>
                <c:pt idx="10">
                  <c:v>5.6307487501055131E-2</c:v>
                </c:pt>
                <c:pt idx="11">
                  <c:v>6.83971296301875E-2</c:v>
                </c:pt>
                <c:pt idx="12">
                  <c:v>8.2002502564154742E-2</c:v>
                </c:pt>
                <c:pt idx="13">
                  <c:v>9.7261182059277002E-2</c:v>
                </c:pt>
                <c:pt idx="14">
                  <c:v>0.11433504662530793</c:v>
                </c:pt>
                <c:pt idx="15">
                  <c:v>0.13341489367348136</c:v>
                </c:pt>
                <c:pt idx="16">
                  <c:v>0.15472621704054584</c:v>
                </c:pt>
                <c:pt idx="17">
                  <c:v>0.17853648058534624</c:v>
                </c:pt>
                <c:pt idx="18">
                  <c:v>0.20516433548851423</c:v>
                </c:pt>
                <c:pt idx="19">
                  <c:v>0.23499138428974772</c:v>
                </c:pt>
                <c:pt idx="20">
                  <c:v>0.26847730985236462</c:v>
                </c:pt>
                <c:pt idx="21">
                  <c:v>0.30617948669159406</c:v>
                </c:pt>
                <c:pt idx="22">
                  <c:v>0.34877860915110864</c:v>
                </c:pt>
                <c:pt idx="23">
                  <c:v>0.39711245078414564</c:v>
                </c:pt>
                <c:pt idx="24">
                  <c:v>0.45222066752110879</c:v>
                </c:pt>
                <c:pt idx="25">
                  <c:v>0.51540462938092035</c:v>
                </c:pt>
                <c:pt idx="26">
                  <c:v>0.58830762840615813</c:v>
                </c:pt>
                <c:pt idx="27">
                  <c:v>0.67302232488870162</c:v>
                </c:pt>
                <c:pt idx="28">
                  <c:v>0.77223333712321429</c:v>
                </c:pt>
                <c:pt idx="29">
                  <c:v>0.88940146434470002</c:v>
                </c:pt>
                <c:pt idx="30">
                  <c:v>1.0289864824494521</c:v>
                </c:pt>
                <c:pt idx="31">
                  <c:v>1.1966724314094623</c:v>
                </c:pt>
                <c:pt idx="32">
                  <c:v>1.3994632574174968</c:v>
                </c:pt>
                <c:pt idx="33">
                  <c:v>1.6452628496952006</c:v>
                </c:pt>
                <c:pt idx="34">
                  <c:v>1.9409529095430136</c:v>
                </c:pt>
                <c:pt idx="35">
                  <c:v>2.286856711332343</c:v>
                </c:pt>
                <c:pt idx="36">
                  <c:v>2.664689739148864</c:v>
                </c:pt>
                <c:pt idx="37">
                  <c:v>3.0210297534050943</c:v>
                </c:pt>
                <c:pt idx="38">
                  <c:v>3.2681466330811526</c:v>
                </c:pt>
                <c:pt idx="39">
                  <c:v>3.3110252196145522</c:v>
                </c:pt>
                <c:pt idx="40">
                  <c:v>3.3156909367168934</c:v>
                </c:pt>
                <c:pt idx="41">
                  <c:v>3.165485129035889</c:v>
                </c:pt>
                <c:pt idx="42">
                  <c:v>2.9379147301897302</c:v>
                </c:pt>
                <c:pt idx="43">
                  <c:v>2.6956469422014004</c:v>
                </c:pt>
                <c:pt idx="44">
                  <c:v>2.4705166769883413</c:v>
                </c:pt>
                <c:pt idx="45">
                  <c:v>2.2731978578150067</c:v>
                </c:pt>
                <c:pt idx="46">
                  <c:v>2.1043137440172504</c:v>
                </c:pt>
                <c:pt idx="47">
                  <c:v>1.9607997258777867</c:v>
                </c:pt>
                <c:pt idx="48">
                  <c:v>1.8387414801727384</c:v>
                </c:pt>
                <c:pt idx="49">
                  <c:v>1.7344475901781762</c:v>
                </c:pt>
                <c:pt idx="50">
                  <c:v>1.6447671953798582</c:v>
                </c:pt>
                <c:pt idx="51">
                  <c:v>1.5671176092543677</c:v>
                </c:pt>
                <c:pt idx="52">
                  <c:v>1.4994159312519777</c:v>
                </c:pt>
                <c:pt idx="53">
                  <c:v>1.4399901776491046</c:v>
                </c:pt>
                <c:pt idx="54">
                  <c:v>1.3874966034904137</c:v>
                </c:pt>
                <c:pt idx="55">
                  <c:v>1.3408506390314692</c:v>
                </c:pt>
                <c:pt idx="56">
                  <c:v>1.2991717638123261</c:v>
                </c:pt>
                <c:pt idx="57">
                  <c:v>1.2617403838170929</c:v>
                </c:pt>
                <c:pt idx="58">
                  <c:v>1.2279643637936826</c:v>
                </c:pt>
                <c:pt idx="59">
                  <c:v>1.1973530893088902</c:v>
                </c:pt>
                <c:pt idx="60">
                  <c:v>1.1694973196907215</c:v>
                </c:pt>
                <c:pt idx="61">
                  <c:v>1.1440534718277999</c:v>
                </c:pt>
                <c:pt idx="62">
                  <c:v>1.1207312935183062</c:v>
                </c:pt>
                <c:pt idx="63">
                  <c:v>1.0992841366401696</c:v>
                </c:pt>
                <c:pt idx="64">
                  <c:v>1.0795012330280616</c:v>
                </c:pt>
                <c:pt idx="65">
                  <c:v>1.0612015212514392</c:v>
                </c:pt>
                <c:pt idx="66">
                  <c:v>1.0442286814174895</c:v>
                </c:pt>
                <c:pt idx="67">
                  <c:v>1.028447116660097</c:v>
                </c:pt>
                <c:pt idx="68">
                  <c:v>1.0137386810967635</c:v>
                </c:pt>
                <c:pt idx="69">
                  <c:v>1</c:v>
                </c:pt>
                <c:pt idx="70">
                  <c:v>0.96740297287939647</c:v>
                </c:pt>
                <c:pt idx="71">
                  <c:v>0.9397179046098656</c:v>
                </c:pt>
                <c:pt idx="72">
                  <c:v>0.91592461846307416</c:v>
                </c:pt>
                <c:pt idx="73">
                  <c:v>0.89526144065932423</c:v>
                </c:pt>
                <c:pt idx="74">
                  <c:v>0.87714892036287673</c:v>
                </c:pt>
                <c:pt idx="75">
                  <c:v>0.86113889543855549</c:v>
                </c:pt>
                <c:pt idx="76">
                  <c:v>0.84687964305359276</c:v>
                </c:pt>
                <c:pt idx="77">
                  <c:v>0.83409151190731656</c:v>
                </c:pt>
                <c:pt idx="78">
                  <c:v>0.82254954889244947</c:v>
                </c:pt>
                <c:pt idx="79">
                  <c:v>0.81207089395729926</c:v>
                </c:pt>
                <c:pt idx="80">
                  <c:v>0.80250548884949624</c:v>
                </c:pt>
                <c:pt idx="81">
                  <c:v>0.79372912964468822</c:v>
                </c:pt>
                <c:pt idx="82">
                  <c:v>0.78563820355372038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13-4C7F-B9F1-00AA2F563F1D}"/>
            </c:ext>
          </c:extLst>
        </c:ser>
        <c:ser>
          <c:idx val="4"/>
          <c:order val="4"/>
          <c:tx>
            <c:strRef>
              <c:f>RTC!$B$67</c:f>
              <c:strCache>
                <c:ptCount val="1"/>
                <c:pt idx="0">
                  <c:v>Mreq(Vin_max, Vout,π/2 )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RTC!$C$67:$CG$67</c:f>
              <c:numCache>
                <c:formatCode>General</c:formatCode>
                <c:ptCount val="83"/>
                <c:pt idx="0">
                  <c:v>0.99807854321003453</c:v>
                </c:pt>
                <c:pt idx="1">
                  <c:v>0.99807854321003453</c:v>
                </c:pt>
                <c:pt idx="2">
                  <c:v>0.99807854321003453</c:v>
                </c:pt>
                <c:pt idx="3">
                  <c:v>0.99807854321003453</c:v>
                </c:pt>
                <c:pt idx="4">
                  <c:v>0.99807854321003453</c:v>
                </c:pt>
                <c:pt idx="5">
                  <c:v>0.99807854321003453</c:v>
                </c:pt>
                <c:pt idx="6">
                  <c:v>0.99807854321003453</c:v>
                </c:pt>
                <c:pt idx="7">
                  <c:v>0.99807854321003453</c:v>
                </c:pt>
                <c:pt idx="8">
                  <c:v>0.99807854321003453</c:v>
                </c:pt>
                <c:pt idx="9">
                  <c:v>0.99807854321003453</c:v>
                </c:pt>
                <c:pt idx="10">
                  <c:v>0.99807854321003453</c:v>
                </c:pt>
                <c:pt idx="11">
                  <c:v>0.99807854321003453</c:v>
                </c:pt>
                <c:pt idx="12">
                  <c:v>0.99807854321003453</c:v>
                </c:pt>
                <c:pt idx="13">
                  <c:v>0.99807854321003453</c:v>
                </c:pt>
                <c:pt idx="14">
                  <c:v>0.99807854321003453</c:v>
                </c:pt>
                <c:pt idx="15">
                  <c:v>0.99807854321003453</c:v>
                </c:pt>
                <c:pt idx="16">
                  <c:v>0.99807854321003453</c:v>
                </c:pt>
                <c:pt idx="17">
                  <c:v>0.99807854321003453</c:v>
                </c:pt>
                <c:pt idx="18">
                  <c:v>0.99807854321003453</c:v>
                </c:pt>
                <c:pt idx="19">
                  <c:v>0.99807854321003453</c:v>
                </c:pt>
                <c:pt idx="20">
                  <c:v>0.99807854321003453</c:v>
                </c:pt>
                <c:pt idx="21">
                  <c:v>0.99807854321003453</c:v>
                </c:pt>
                <c:pt idx="22">
                  <c:v>0.99807854321003453</c:v>
                </c:pt>
                <c:pt idx="23">
                  <c:v>0.99807854321003453</c:v>
                </c:pt>
                <c:pt idx="24">
                  <c:v>0.99807854321003453</c:v>
                </c:pt>
                <c:pt idx="25">
                  <c:v>0.99807854321003453</c:v>
                </c:pt>
                <c:pt idx="26">
                  <c:v>0.99807854321003453</c:v>
                </c:pt>
                <c:pt idx="27">
                  <c:v>0.99807854321003453</c:v>
                </c:pt>
                <c:pt idx="28">
                  <c:v>0.99807854321003453</c:v>
                </c:pt>
                <c:pt idx="29">
                  <c:v>0.99807854321003453</c:v>
                </c:pt>
                <c:pt idx="30">
                  <c:v>0.99807854321003453</c:v>
                </c:pt>
                <c:pt idx="31">
                  <c:v>0.99807854321003453</c:v>
                </c:pt>
                <c:pt idx="32">
                  <c:v>0.99807854321003453</c:v>
                </c:pt>
                <c:pt idx="33">
                  <c:v>0.99807854321003453</c:v>
                </c:pt>
                <c:pt idx="34">
                  <c:v>0.99807854321003453</c:v>
                </c:pt>
                <c:pt idx="35">
                  <c:v>0.99807854321003453</c:v>
                </c:pt>
                <c:pt idx="36">
                  <c:v>0.99807854321003453</c:v>
                </c:pt>
                <c:pt idx="37">
                  <c:v>0.99807854321003453</c:v>
                </c:pt>
                <c:pt idx="38">
                  <c:v>0.99807854321003453</c:v>
                </c:pt>
                <c:pt idx="39">
                  <c:v>0.99807854321003453</c:v>
                </c:pt>
                <c:pt idx="40">
                  <c:v>0.99807854321003453</c:v>
                </c:pt>
                <c:pt idx="41">
                  <c:v>0.99807854321003453</c:v>
                </c:pt>
                <c:pt idx="42">
                  <c:v>0.99807854321003453</c:v>
                </c:pt>
                <c:pt idx="43">
                  <c:v>0.99807854321003453</c:v>
                </c:pt>
                <c:pt idx="44">
                  <c:v>0.99807854321003453</c:v>
                </c:pt>
                <c:pt idx="45">
                  <c:v>0.99807854321003453</c:v>
                </c:pt>
                <c:pt idx="46">
                  <c:v>0.99807854321003453</c:v>
                </c:pt>
                <c:pt idx="47">
                  <c:v>0.99807854321003453</c:v>
                </c:pt>
                <c:pt idx="48">
                  <c:v>0.99807854321003453</c:v>
                </c:pt>
                <c:pt idx="49">
                  <c:v>0.99807854321003453</c:v>
                </c:pt>
                <c:pt idx="50">
                  <c:v>0.99807854321003453</c:v>
                </c:pt>
                <c:pt idx="51">
                  <c:v>0.99807854321003453</c:v>
                </c:pt>
                <c:pt idx="52">
                  <c:v>0.99807854321003453</c:v>
                </c:pt>
                <c:pt idx="53">
                  <c:v>0.99807854321003453</c:v>
                </c:pt>
                <c:pt idx="54">
                  <c:v>0.99807854321003453</c:v>
                </c:pt>
                <c:pt idx="55">
                  <c:v>0.99807854321003453</c:v>
                </c:pt>
                <c:pt idx="56">
                  <c:v>0.99807854321003453</c:v>
                </c:pt>
                <c:pt idx="57">
                  <c:v>0.99807854321003453</c:v>
                </c:pt>
                <c:pt idx="58">
                  <c:v>0.99807854321003453</c:v>
                </c:pt>
                <c:pt idx="59">
                  <c:v>0.99807854321003453</c:v>
                </c:pt>
                <c:pt idx="60">
                  <c:v>0.99807854321003453</c:v>
                </c:pt>
                <c:pt idx="61">
                  <c:v>0.99807854321003453</c:v>
                </c:pt>
                <c:pt idx="62">
                  <c:v>0.99807854321003453</c:v>
                </c:pt>
                <c:pt idx="63">
                  <c:v>0.99807854321003453</c:v>
                </c:pt>
                <c:pt idx="64">
                  <c:v>0.99807854321003453</c:v>
                </c:pt>
                <c:pt idx="65">
                  <c:v>0.99807854321003453</c:v>
                </c:pt>
                <c:pt idx="66">
                  <c:v>0.99807854321003453</c:v>
                </c:pt>
                <c:pt idx="67">
                  <c:v>0.99807854321003453</c:v>
                </c:pt>
                <c:pt idx="68">
                  <c:v>0.99807854321003453</c:v>
                </c:pt>
                <c:pt idx="69">
                  <c:v>0.99807854321003453</c:v>
                </c:pt>
                <c:pt idx="70">
                  <c:v>0.99807854321003453</c:v>
                </c:pt>
                <c:pt idx="71">
                  <c:v>0.99807854321003453</c:v>
                </c:pt>
                <c:pt idx="72">
                  <c:v>0.99807854321003453</c:v>
                </c:pt>
                <c:pt idx="73">
                  <c:v>0.99807854321003453</c:v>
                </c:pt>
                <c:pt idx="74">
                  <c:v>0.99807854321003453</c:v>
                </c:pt>
                <c:pt idx="75">
                  <c:v>0.99807854321003453</c:v>
                </c:pt>
                <c:pt idx="76">
                  <c:v>0.99807854321003453</c:v>
                </c:pt>
                <c:pt idx="77">
                  <c:v>0.99807854321003453</c:v>
                </c:pt>
                <c:pt idx="78">
                  <c:v>0.99807854321003453</c:v>
                </c:pt>
                <c:pt idx="79">
                  <c:v>0.99807854321003453</c:v>
                </c:pt>
                <c:pt idx="80">
                  <c:v>0.99807854321003453</c:v>
                </c:pt>
                <c:pt idx="81">
                  <c:v>0.99807854321003453</c:v>
                </c:pt>
                <c:pt idx="82">
                  <c:v>0.99807854321003453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313-4C7F-B9F1-00AA2F563F1D}"/>
            </c:ext>
          </c:extLst>
        </c:ser>
        <c:ser>
          <c:idx val="5"/>
          <c:order val="5"/>
          <c:tx>
            <c:strRef>
              <c:f>RTC!$B$69</c:f>
              <c:strCache>
                <c:ptCount val="1"/>
                <c:pt idx="0">
                  <c:v>Mreq(Vin_max, Vout,π/3 )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RTC!$C$69:$CG$69</c:f>
              <c:numCache>
                <c:formatCode>General</c:formatCode>
                <c:ptCount val="83"/>
                <c:pt idx="0">
                  <c:v>1.1524818311894061</c:v>
                </c:pt>
                <c:pt idx="1">
                  <c:v>1.1524818311894061</c:v>
                </c:pt>
                <c:pt idx="2">
                  <c:v>1.1524818311894061</c:v>
                </c:pt>
                <c:pt idx="3">
                  <c:v>1.1524818311894061</c:v>
                </c:pt>
                <c:pt idx="4">
                  <c:v>1.1524818311894061</c:v>
                </c:pt>
                <c:pt idx="5">
                  <c:v>1.1524818311894061</c:v>
                </c:pt>
                <c:pt idx="6">
                  <c:v>1.1524818311894061</c:v>
                </c:pt>
                <c:pt idx="7">
                  <c:v>1.1524818311894061</c:v>
                </c:pt>
                <c:pt idx="8">
                  <c:v>1.1524818311894061</c:v>
                </c:pt>
                <c:pt idx="9">
                  <c:v>1.1524818311894061</c:v>
                </c:pt>
                <c:pt idx="10">
                  <c:v>1.1524818311894061</c:v>
                </c:pt>
                <c:pt idx="11">
                  <c:v>1.1524818311894061</c:v>
                </c:pt>
                <c:pt idx="12">
                  <c:v>1.1524818311894061</c:v>
                </c:pt>
                <c:pt idx="13">
                  <c:v>1.1524818311894061</c:v>
                </c:pt>
                <c:pt idx="14">
                  <c:v>1.1524818311894061</c:v>
                </c:pt>
                <c:pt idx="15">
                  <c:v>1.1524818311894061</c:v>
                </c:pt>
                <c:pt idx="16">
                  <c:v>1.1524818311894061</c:v>
                </c:pt>
                <c:pt idx="17">
                  <c:v>1.1524818311894061</c:v>
                </c:pt>
                <c:pt idx="18">
                  <c:v>1.1524818311894061</c:v>
                </c:pt>
                <c:pt idx="19">
                  <c:v>1.1524818311894061</c:v>
                </c:pt>
                <c:pt idx="20">
                  <c:v>1.1524818311894061</c:v>
                </c:pt>
                <c:pt idx="21">
                  <c:v>1.1524818311894061</c:v>
                </c:pt>
                <c:pt idx="22">
                  <c:v>1.1524818311894061</c:v>
                </c:pt>
                <c:pt idx="23">
                  <c:v>1.1524818311894061</c:v>
                </c:pt>
                <c:pt idx="24">
                  <c:v>1.1524818311894061</c:v>
                </c:pt>
                <c:pt idx="25">
                  <c:v>1.1524818311894061</c:v>
                </c:pt>
                <c:pt idx="26">
                  <c:v>1.1524818311894061</c:v>
                </c:pt>
                <c:pt idx="27">
                  <c:v>1.1524818311894061</c:v>
                </c:pt>
                <c:pt idx="28">
                  <c:v>1.1524818311894061</c:v>
                </c:pt>
                <c:pt idx="29">
                  <c:v>1.1524818311894061</c:v>
                </c:pt>
                <c:pt idx="30">
                  <c:v>1.1524818311894061</c:v>
                </c:pt>
                <c:pt idx="31">
                  <c:v>1.1524818311894061</c:v>
                </c:pt>
                <c:pt idx="32">
                  <c:v>1.1524818311894061</c:v>
                </c:pt>
                <c:pt idx="33">
                  <c:v>1.1524818311894061</c:v>
                </c:pt>
                <c:pt idx="34">
                  <c:v>1.1524818311894061</c:v>
                </c:pt>
                <c:pt idx="35">
                  <c:v>1.1524818311894061</c:v>
                </c:pt>
                <c:pt idx="36">
                  <c:v>1.1524818311894061</c:v>
                </c:pt>
                <c:pt idx="37">
                  <c:v>1.1524818311894061</c:v>
                </c:pt>
                <c:pt idx="38">
                  <c:v>1.1524818311894061</c:v>
                </c:pt>
                <c:pt idx="39">
                  <c:v>1.1524818311894061</c:v>
                </c:pt>
                <c:pt idx="40">
                  <c:v>1.1524818311894061</c:v>
                </c:pt>
                <c:pt idx="41">
                  <c:v>1.1524818311894061</c:v>
                </c:pt>
                <c:pt idx="42">
                  <c:v>1.1524818311894061</c:v>
                </c:pt>
                <c:pt idx="43">
                  <c:v>1.1524818311894061</c:v>
                </c:pt>
                <c:pt idx="44">
                  <c:v>1.1524818311894061</c:v>
                </c:pt>
                <c:pt idx="45">
                  <c:v>1.1524818311894061</c:v>
                </c:pt>
                <c:pt idx="46">
                  <c:v>1.1524818311894061</c:v>
                </c:pt>
                <c:pt idx="47">
                  <c:v>1.1524818311894061</c:v>
                </c:pt>
                <c:pt idx="48">
                  <c:v>1.1524818311894061</c:v>
                </c:pt>
                <c:pt idx="49">
                  <c:v>1.1524818311894061</c:v>
                </c:pt>
                <c:pt idx="50">
                  <c:v>1.1524818311894061</c:v>
                </c:pt>
                <c:pt idx="51">
                  <c:v>1.1524818311894061</c:v>
                </c:pt>
                <c:pt idx="52">
                  <c:v>1.1524818311894061</c:v>
                </c:pt>
                <c:pt idx="53">
                  <c:v>1.1524818311894061</c:v>
                </c:pt>
                <c:pt idx="54">
                  <c:v>1.1524818311894061</c:v>
                </c:pt>
                <c:pt idx="55">
                  <c:v>1.1524818311894061</c:v>
                </c:pt>
                <c:pt idx="56">
                  <c:v>1.1524818311894061</c:v>
                </c:pt>
                <c:pt idx="57">
                  <c:v>1.1524818311894061</c:v>
                </c:pt>
                <c:pt idx="58">
                  <c:v>1.1524818311894061</c:v>
                </c:pt>
                <c:pt idx="59">
                  <c:v>1.1524818311894061</c:v>
                </c:pt>
                <c:pt idx="60">
                  <c:v>1.1524818311894061</c:v>
                </c:pt>
                <c:pt idx="61">
                  <c:v>1.1524818311894061</c:v>
                </c:pt>
                <c:pt idx="62">
                  <c:v>1.1524818311894061</c:v>
                </c:pt>
                <c:pt idx="63">
                  <c:v>1.1524818311894061</c:v>
                </c:pt>
                <c:pt idx="64">
                  <c:v>1.1524818311894061</c:v>
                </c:pt>
                <c:pt idx="65">
                  <c:v>1.1524818311894061</c:v>
                </c:pt>
                <c:pt idx="66">
                  <c:v>1.1524818311894061</c:v>
                </c:pt>
                <c:pt idx="67">
                  <c:v>1.1524818311894061</c:v>
                </c:pt>
                <c:pt idx="68">
                  <c:v>1.1524818311894061</c:v>
                </c:pt>
                <c:pt idx="69">
                  <c:v>1.1524818311894061</c:v>
                </c:pt>
                <c:pt idx="70">
                  <c:v>1.1524818311894061</c:v>
                </c:pt>
                <c:pt idx="71">
                  <c:v>1.1524818311894061</c:v>
                </c:pt>
                <c:pt idx="72">
                  <c:v>1.1524818311894061</c:v>
                </c:pt>
                <c:pt idx="73">
                  <c:v>1.1524818311894061</c:v>
                </c:pt>
                <c:pt idx="74">
                  <c:v>1.1524818311894061</c:v>
                </c:pt>
                <c:pt idx="75">
                  <c:v>1.1524818311894061</c:v>
                </c:pt>
                <c:pt idx="76">
                  <c:v>1.1524818311894061</c:v>
                </c:pt>
                <c:pt idx="77">
                  <c:v>1.1524818311894061</c:v>
                </c:pt>
                <c:pt idx="78">
                  <c:v>1.1524818311894061</c:v>
                </c:pt>
                <c:pt idx="79">
                  <c:v>1.1524818311894061</c:v>
                </c:pt>
                <c:pt idx="80">
                  <c:v>1.1524818311894061</c:v>
                </c:pt>
                <c:pt idx="81">
                  <c:v>1.1524818311894061</c:v>
                </c:pt>
                <c:pt idx="82">
                  <c:v>1.1524818311894061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313-4C7F-B9F1-00AA2F563F1D}"/>
            </c:ext>
          </c:extLst>
        </c:ser>
        <c:ser>
          <c:idx val="6"/>
          <c:order val="6"/>
          <c:tx>
            <c:strRef>
              <c:f>RTC!$B$70</c:f>
              <c:strCache>
                <c:ptCount val="1"/>
                <c:pt idx="0">
                  <c:v>Mreq(Vin_max, Vout,π/4 )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  <a:alpha val="99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RTC!$C$70:$CG$70</c:f>
              <c:numCache>
                <c:formatCode>General</c:formatCode>
                <c:ptCount val="83"/>
                <c:pt idx="0">
                  <c:v>1.411496212121212</c:v>
                </c:pt>
                <c:pt idx="1">
                  <c:v>1.411496212121212</c:v>
                </c:pt>
                <c:pt idx="2">
                  <c:v>1.411496212121212</c:v>
                </c:pt>
                <c:pt idx="3">
                  <c:v>1.411496212121212</c:v>
                </c:pt>
                <c:pt idx="4">
                  <c:v>1.411496212121212</c:v>
                </c:pt>
                <c:pt idx="5">
                  <c:v>1.411496212121212</c:v>
                </c:pt>
                <c:pt idx="6">
                  <c:v>1.411496212121212</c:v>
                </c:pt>
                <c:pt idx="7">
                  <c:v>1.411496212121212</c:v>
                </c:pt>
                <c:pt idx="8">
                  <c:v>1.411496212121212</c:v>
                </c:pt>
                <c:pt idx="9">
                  <c:v>1.411496212121212</c:v>
                </c:pt>
                <c:pt idx="10">
                  <c:v>1.411496212121212</c:v>
                </c:pt>
                <c:pt idx="11">
                  <c:v>1.411496212121212</c:v>
                </c:pt>
                <c:pt idx="12">
                  <c:v>1.411496212121212</c:v>
                </c:pt>
                <c:pt idx="13">
                  <c:v>1.411496212121212</c:v>
                </c:pt>
                <c:pt idx="14">
                  <c:v>1.411496212121212</c:v>
                </c:pt>
                <c:pt idx="15">
                  <c:v>1.411496212121212</c:v>
                </c:pt>
                <c:pt idx="16">
                  <c:v>1.411496212121212</c:v>
                </c:pt>
                <c:pt idx="17">
                  <c:v>1.411496212121212</c:v>
                </c:pt>
                <c:pt idx="18">
                  <c:v>1.411496212121212</c:v>
                </c:pt>
                <c:pt idx="19">
                  <c:v>1.411496212121212</c:v>
                </c:pt>
                <c:pt idx="20">
                  <c:v>1.411496212121212</c:v>
                </c:pt>
                <c:pt idx="21">
                  <c:v>1.411496212121212</c:v>
                </c:pt>
                <c:pt idx="22">
                  <c:v>1.411496212121212</c:v>
                </c:pt>
                <c:pt idx="23">
                  <c:v>1.411496212121212</c:v>
                </c:pt>
                <c:pt idx="24">
                  <c:v>1.411496212121212</c:v>
                </c:pt>
                <c:pt idx="25">
                  <c:v>1.411496212121212</c:v>
                </c:pt>
                <c:pt idx="26">
                  <c:v>1.411496212121212</c:v>
                </c:pt>
                <c:pt idx="27">
                  <c:v>1.411496212121212</c:v>
                </c:pt>
                <c:pt idx="28">
                  <c:v>1.411496212121212</c:v>
                </c:pt>
                <c:pt idx="29">
                  <c:v>1.411496212121212</c:v>
                </c:pt>
                <c:pt idx="30">
                  <c:v>1.411496212121212</c:v>
                </c:pt>
                <c:pt idx="31">
                  <c:v>1.411496212121212</c:v>
                </c:pt>
                <c:pt idx="32">
                  <c:v>1.411496212121212</c:v>
                </c:pt>
                <c:pt idx="33">
                  <c:v>1.411496212121212</c:v>
                </c:pt>
                <c:pt idx="34">
                  <c:v>1.411496212121212</c:v>
                </c:pt>
                <c:pt idx="35">
                  <c:v>1.411496212121212</c:v>
                </c:pt>
                <c:pt idx="36">
                  <c:v>1.411496212121212</c:v>
                </c:pt>
                <c:pt idx="37">
                  <c:v>1.411496212121212</c:v>
                </c:pt>
                <c:pt idx="38">
                  <c:v>1.411496212121212</c:v>
                </c:pt>
                <c:pt idx="39">
                  <c:v>1.411496212121212</c:v>
                </c:pt>
                <c:pt idx="40">
                  <c:v>1.411496212121212</c:v>
                </c:pt>
                <c:pt idx="41">
                  <c:v>1.411496212121212</c:v>
                </c:pt>
                <c:pt idx="42">
                  <c:v>1.411496212121212</c:v>
                </c:pt>
                <c:pt idx="43">
                  <c:v>1.411496212121212</c:v>
                </c:pt>
                <c:pt idx="44">
                  <c:v>1.411496212121212</c:v>
                </c:pt>
                <c:pt idx="45">
                  <c:v>1.411496212121212</c:v>
                </c:pt>
                <c:pt idx="46">
                  <c:v>1.411496212121212</c:v>
                </c:pt>
                <c:pt idx="47">
                  <c:v>1.411496212121212</c:v>
                </c:pt>
                <c:pt idx="48">
                  <c:v>1.411496212121212</c:v>
                </c:pt>
                <c:pt idx="49">
                  <c:v>1.411496212121212</c:v>
                </c:pt>
                <c:pt idx="50">
                  <c:v>1.411496212121212</c:v>
                </c:pt>
                <c:pt idx="51">
                  <c:v>1.411496212121212</c:v>
                </c:pt>
                <c:pt idx="52">
                  <c:v>1.411496212121212</c:v>
                </c:pt>
                <c:pt idx="53">
                  <c:v>1.411496212121212</c:v>
                </c:pt>
                <c:pt idx="54">
                  <c:v>1.411496212121212</c:v>
                </c:pt>
                <c:pt idx="55">
                  <c:v>1.411496212121212</c:v>
                </c:pt>
                <c:pt idx="56">
                  <c:v>1.411496212121212</c:v>
                </c:pt>
                <c:pt idx="57">
                  <c:v>1.411496212121212</c:v>
                </c:pt>
                <c:pt idx="58">
                  <c:v>1.411496212121212</c:v>
                </c:pt>
                <c:pt idx="59">
                  <c:v>1.411496212121212</c:v>
                </c:pt>
                <c:pt idx="60">
                  <c:v>1.411496212121212</c:v>
                </c:pt>
                <c:pt idx="61">
                  <c:v>1.411496212121212</c:v>
                </c:pt>
                <c:pt idx="62">
                  <c:v>1.411496212121212</c:v>
                </c:pt>
                <c:pt idx="63">
                  <c:v>1.411496212121212</c:v>
                </c:pt>
                <c:pt idx="64">
                  <c:v>1.411496212121212</c:v>
                </c:pt>
                <c:pt idx="65">
                  <c:v>1.411496212121212</c:v>
                </c:pt>
                <c:pt idx="66">
                  <c:v>1.411496212121212</c:v>
                </c:pt>
                <c:pt idx="67">
                  <c:v>1.411496212121212</c:v>
                </c:pt>
                <c:pt idx="68">
                  <c:v>1.411496212121212</c:v>
                </c:pt>
                <c:pt idx="69">
                  <c:v>1.411496212121212</c:v>
                </c:pt>
                <c:pt idx="70">
                  <c:v>1.411496212121212</c:v>
                </c:pt>
                <c:pt idx="71">
                  <c:v>1.411496212121212</c:v>
                </c:pt>
                <c:pt idx="72">
                  <c:v>1.411496212121212</c:v>
                </c:pt>
                <c:pt idx="73">
                  <c:v>1.411496212121212</c:v>
                </c:pt>
                <c:pt idx="74">
                  <c:v>1.411496212121212</c:v>
                </c:pt>
                <c:pt idx="75">
                  <c:v>1.411496212121212</c:v>
                </c:pt>
                <c:pt idx="76">
                  <c:v>1.411496212121212</c:v>
                </c:pt>
                <c:pt idx="77">
                  <c:v>1.411496212121212</c:v>
                </c:pt>
                <c:pt idx="78">
                  <c:v>1.411496212121212</c:v>
                </c:pt>
                <c:pt idx="79">
                  <c:v>1.411496212121212</c:v>
                </c:pt>
                <c:pt idx="80">
                  <c:v>1.411496212121212</c:v>
                </c:pt>
                <c:pt idx="81">
                  <c:v>1.411496212121212</c:v>
                </c:pt>
                <c:pt idx="82">
                  <c:v>1.411496212121212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313-4C7F-B9F1-00AA2F563F1D}"/>
            </c:ext>
          </c:extLst>
        </c:ser>
        <c:ser>
          <c:idx val="7"/>
          <c:order val="7"/>
          <c:tx>
            <c:strRef>
              <c:f>RTC!$B$29</c:f>
              <c:strCache>
                <c:ptCount val="1"/>
                <c:pt idx="0">
                  <c:v>M.Z(fn)</c:v>
                </c:pt>
              </c:strCache>
            </c:strRef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RTC!$C$29:$CG$29</c:f>
              <c:numCache>
                <c:formatCode>General</c:formatCode>
                <c:ptCount val="8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1921.5837087114464</c:v>
                </c:pt>
                <c:pt idx="39">
                  <c:v>6.499999999999007</c:v>
                </c:pt>
                <c:pt idx="40">
                  <c:v>3.2529106029008803</c:v>
                </c:pt>
                <c:pt idx="41">
                  <c:v>2.4982667258847973</c:v>
                </c:pt>
                <c:pt idx="42">
                  <c:v>2.1257309304031207</c:v>
                </c:pt>
                <c:pt idx="43">
                  <c:v>1.8960339956097945</c:v>
                </c:pt>
                <c:pt idx="44">
                  <c:v>1.7376131616797115</c:v>
                </c:pt>
                <c:pt idx="45">
                  <c:v>1.6206354136476369</c:v>
                </c:pt>
                <c:pt idx="46">
                  <c:v>1.5301841113520063</c:v>
                </c:pt>
                <c:pt idx="47">
                  <c:v>1.4578754741100259</c:v>
                </c:pt>
                <c:pt idx="48">
                  <c:v>1.3985939180008431</c:v>
                </c:pt>
                <c:pt idx="49">
                  <c:v>1.3490213172523273</c:v>
                </c:pt>
                <c:pt idx="50">
                  <c:v>1.3069011244615849</c:v>
                </c:pt>
                <c:pt idx="51">
                  <c:v>1.2706396576782892</c:v>
                </c:pt>
                <c:pt idx="52">
                  <c:v>1.2390760932765092</c:v>
                </c:pt>
                <c:pt idx="53">
                  <c:v>1.2113428740117067</c:v>
                </c:pt>
                <c:pt idx="54">
                  <c:v>1.1867773590313537</c:v>
                </c:pt>
                <c:pt idx="55">
                  <c:v>1.1648638953701158</c:v>
                </c:pt>
                <c:pt idx="56">
                  <c:v>1.1451946731274369</c:v>
                </c:pt>
                <c:pt idx="57">
                  <c:v>1.1274425752841599</c:v>
                </c:pt>
                <c:pt idx="58">
                  <c:v>1.1113419135083229</c:v>
                </c:pt>
                <c:pt idx="59">
                  <c:v>1.0966744827478272</c:v>
                </c:pt>
                <c:pt idx="60">
                  <c:v>1.0832592849365161</c:v>
                </c:pt>
                <c:pt idx="61">
                  <c:v>1.0709448350980926</c:v>
                </c:pt>
                <c:pt idx="62">
                  <c:v>1.0596033179556184</c:v>
                </c:pt>
                <c:pt idx="63">
                  <c:v>1.0491260922331147</c:v>
                </c:pt>
                <c:pt idx="64">
                  <c:v>1.0394201909627108</c:v>
                </c:pt>
                <c:pt idx="65">
                  <c:v>1.0304055677788071</c:v>
                </c:pt>
                <c:pt idx="66">
                  <c:v>1.022012908801389</c:v>
                </c:pt>
                <c:pt idx="67">
                  <c:v>1.0141818781648655</c:v>
                </c:pt>
                <c:pt idx="68">
                  <c:v>1.0068596994765564</c:v>
                </c:pt>
                <c:pt idx="69">
                  <c:v>1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313-4C7F-B9F1-00AA2F563F1D}"/>
            </c:ext>
          </c:extLst>
        </c:ser>
        <c:ser>
          <c:idx val="8"/>
          <c:order val="8"/>
          <c:tx>
            <c:strRef>
              <c:f>RTC!$B$31</c:f>
              <c:strCache>
                <c:ptCount val="1"/>
                <c:pt idx="0">
                  <c:v>Minf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RTC!$C$31:$CG$31</c:f>
              <c:numCache>
                <c:formatCode>General</c:formatCode>
                <c:ptCount val="83"/>
                <c:pt idx="0">
                  <c:v>0.68571428571428572</c:v>
                </c:pt>
                <c:pt idx="1">
                  <c:v>0.68571428571428572</c:v>
                </c:pt>
                <c:pt idx="2">
                  <c:v>0.68571428571428572</c:v>
                </c:pt>
                <c:pt idx="3">
                  <c:v>0.68571428571428572</c:v>
                </c:pt>
                <c:pt idx="4">
                  <c:v>0.68571428571428572</c:v>
                </c:pt>
                <c:pt idx="5">
                  <c:v>0.68571428571428572</c:v>
                </c:pt>
                <c:pt idx="6">
                  <c:v>0.68571428571428572</c:v>
                </c:pt>
                <c:pt idx="7">
                  <c:v>0.68571428571428572</c:v>
                </c:pt>
                <c:pt idx="8">
                  <c:v>0.68571428571428572</c:v>
                </c:pt>
                <c:pt idx="9">
                  <c:v>0.68571428571428572</c:v>
                </c:pt>
                <c:pt idx="10">
                  <c:v>0.68571428571428572</c:v>
                </c:pt>
                <c:pt idx="11">
                  <c:v>0.68571428571428572</c:v>
                </c:pt>
                <c:pt idx="12">
                  <c:v>0.68571428571428572</c:v>
                </c:pt>
                <c:pt idx="13">
                  <c:v>0.68571428571428572</c:v>
                </c:pt>
                <c:pt idx="14">
                  <c:v>0.68571428571428572</c:v>
                </c:pt>
                <c:pt idx="15">
                  <c:v>0.68571428571428572</c:v>
                </c:pt>
                <c:pt idx="16">
                  <c:v>0.68571428571428572</c:v>
                </c:pt>
                <c:pt idx="17">
                  <c:v>0.68571428571428572</c:v>
                </c:pt>
                <c:pt idx="18">
                  <c:v>0.68571428571428572</c:v>
                </c:pt>
                <c:pt idx="19">
                  <c:v>0.68571428571428572</c:v>
                </c:pt>
                <c:pt idx="20">
                  <c:v>0.68571428571428572</c:v>
                </c:pt>
                <c:pt idx="21">
                  <c:v>0.68571428571428572</c:v>
                </c:pt>
                <c:pt idx="22">
                  <c:v>0.68571428571428572</c:v>
                </c:pt>
                <c:pt idx="23">
                  <c:v>0.68571428571428572</c:v>
                </c:pt>
                <c:pt idx="24">
                  <c:v>0.68571428571428572</c:v>
                </c:pt>
                <c:pt idx="25">
                  <c:v>0.68571428571428572</c:v>
                </c:pt>
                <c:pt idx="26">
                  <c:v>0.68571428571428572</c:v>
                </c:pt>
                <c:pt idx="27">
                  <c:v>0.68571428571428572</c:v>
                </c:pt>
                <c:pt idx="28">
                  <c:v>0.68571428571428572</c:v>
                </c:pt>
                <c:pt idx="29">
                  <c:v>0.68571428571428572</c:v>
                </c:pt>
                <c:pt idx="30">
                  <c:v>0.68571428571428572</c:v>
                </c:pt>
                <c:pt idx="31">
                  <c:v>0.68571428571428572</c:v>
                </c:pt>
                <c:pt idx="32">
                  <c:v>0.68571428571428572</c:v>
                </c:pt>
                <c:pt idx="33">
                  <c:v>0.68571428571428572</c:v>
                </c:pt>
                <c:pt idx="34">
                  <c:v>0.68571428571428572</c:v>
                </c:pt>
                <c:pt idx="35">
                  <c:v>0.68571428571428572</c:v>
                </c:pt>
                <c:pt idx="36">
                  <c:v>0.68571428571428572</c:v>
                </c:pt>
                <c:pt idx="37">
                  <c:v>0.68571428571428572</c:v>
                </c:pt>
                <c:pt idx="38">
                  <c:v>0.68571428571428572</c:v>
                </c:pt>
                <c:pt idx="39">
                  <c:v>0.68571428571428572</c:v>
                </c:pt>
                <c:pt idx="40">
                  <c:v>0.68571428571428572</c:v>
                </c:pt>
                <c:pt idx="41">
                  <c:v>0.68571428571428572</c:v>
                </c:pt>
                <c:pt idx="42">
                  <c:v>0.68571428571428572</c:v>
                </c:pt>
                <c:pt idx="43">
                  <c:v>0.68571428571428572</c:v>
                </c:pt>
                <c:pt idx="44">
                  <c:v>0.68571428571428572</c:v>
                </c:pt>
                <c:pt idx="45">
                  <c:v>0.68571428571428572</c:v>
                </c:pt>
                <c:pt idx="46">
                  <c:v>0.68571428571428572</c:v>
                </c:pt>
                <c:pt idx="47">
                  <c:v>0.68571428571428572</c:v>
                </c:pt>
                <c:pt idx="48">
                  <c:v>0.68571428571428572</c:v>
                </c:pt>
                <c:pt idx="49">
                  <c:v>0.68571428571428572</c:v>
                </c:pt>
                <c:pt idx="50">
                  <c:v>0.68571428571428572</c:v>
                </c:pt>
                <c:pt idx="51">
                  <c:v>0.68571428571428572</c:v>
                </c:pt>
                <c:pt idx="52">
                  <c:v>0.68571428571428572</c:v>
                </c:pt>
                <c:pt idx="53">
                  <c:v>0.68571428571428572</c:v>
                </c:pt>
                <c:pt idx="54">
                  <c:v>0.68571428571428572</c:v>
                </c:pt>
                <c:pt idx="55">
                  <c:v>0.68571428571428572</c:v>
                </c:pt>
                <c:pt idx="56">
                  <c:v>0.68571428571428572</c:v>
                </c:pt>
                <c:pt idx="57">
                  <c:v>0.68571428571428572</c:v>
                </c:pt>
                <c:pt idx="58">
                  <c:v>0.68571428571428572</c:v>
                </c:pt>
                <c:pt idx="59">
                  <c:v>0.68571428571428572</c:v>
                </c:pt>
                <c:pt idx="60">
                  <c:v>0.68571428571428572</c:v>
                </c:pt>
                <c:pt idx="61">
                  <c:v>0.68571428571428572</c:v>
                </c:pt>
                <c:pt idx="62">
                  <c:v>0.68571428571428572</c:v>
                </c:pt>
                <c:pt idx="63">
                  <c:v>0.68571428571428572</c:v>
                </c:pt>
                <c:pt idx="64">
                  <c:v>0.68571428571428572</c:v>
                </c:pt>
                <c:pt idx="65">
                  <c:v>0.68571428571428572</c:v>
                </c:pt>
                <c:pt idx="66">
                  <c:v>0.68571428571428572</c:v>
                </c:pt>
                <c:pt idx="67">
                  <c:v>0.68571428571428572</c:v>
                </c:pt>
                <c:pt idx="68">
                  <c:v>0.68571428571428572</c:v>
                </c:pt>
                <c:pt idx="69">
                  <c:v>0.68571428571428572</c:v>
                </c:pt>
                <c:pt idx="70">
                  <c:v>0.68571428571428572</c:v>
                </c:pt>
                <c:pt idx="71">
                  <c:v>0.68571428571428572</c:v>
                </c:pt>
                <c:pt idx="72">
                  <c:v>0.68571428571428572</c:v>
                </c:pt>
                <c:pt idx="73">
                  <c:v>0.68571428571428572</c:v>
                </c:pt>
                <c:pt idx="74">
                  <c:v>0.68571428571428572</c:v>
                </c:pt>
                <c:pt idx="75">
                  <c:v>0.68571428571428572</c:v>
                </c:pt>
                <c:pt idx="76">
                  <c:v>0.68571428571428572</c:v>
                </c:pt>
                <c:pt idx="77">
                  <c:v>0.68571428571428572</c:v>
                </c:pt>
                <c:pt idx="78">
                  <c:v>0.68571428571428572</c:v>
                </c:pt>
                <c:pt idx="79">
                  <c:v>0.68571428571428572</c:v>
                </c:pt>
                <c:pt idx="80">
                  <c:v>0.68571428571428572</c:v>
                </c:pt>
                <c:pt idx="81">
                  <c:v>0.68571428571428572</c:v>
                </c:pt>
                <c:pt idx="82">
                  <c:v>0.68571428571428572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313-4C7F-B9F1-00AA2F563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431"/>
        <c:axId val="1407976511"/>
      </c:scatterChart>
      <c:valAx>
        <c:axId val="1407978431"/>
        <c:scaling>
          <c:orientation val="minMax"/>
          <c:max val="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fn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6511"/>
        <c:crosses val="autoZero"/>
        <c:crossBetween val="midCat"/>
        <c:majorUnit val="1"/>
        <c:minorUnit val="1"/>
      </c:valAx>
      <c:valAx>
        <c:axId val="1407976511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Required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8431"/>
        <c:crosses val="autoZero"/>
        <c:crossBetween val="midCat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521611350258314"/>
          <c:y val="0.16914286715838636"/>
          <c:w val="0.26800419091369621"/>
          <c:h val="0.4208069750739368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Gain curve vs Minimum Required Gain for PFC </a:t>
            </a:r>
            <a:r>
              <a:rPr lang="en-US" sz="1400"/>
              <a:t>regulation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@Vin_max</a:t>
            </a:r>
            <a:endParaRPr lang="el-GR" sz="1400"/>
          </a:p>
        </c:rich>
      </c:tx>
      <c:layout>
        <c:manualLayout>
          <c:xMode val="edge"/>
          <c:yMode val="edge"/>
          <c:x val="0.16144385855423607"/>
          <c:y val="2.3272468193682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537263861003059"/>
          <c:y val="0.14181437112537784"/>
          <c:w val="0.82634951881014873"/>
          <c:h val="0.73685758765226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RTC!$B$28</c:f>
              <c:strCache>
                <c:ptCount val="1"/>
                <c:pt idx="0">
                  <c:v>M.OL(fn)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RTC!$C$28:$CG$28</c:f>
              <c:numCache>
                <c:formatCode>General</c:formatCode>
                <c:ptCount val="83"/>
                <c:pt idx="0">
                  <c:v>2.1818182512396718E-8</c:v>
                </c:pt>
                <c:pt idx="1">
                  <c:v>1.2886419367458453E-3</c:v>
                </c:pt>
                <c:pt idx="2">
                  <c:v>3.2957540508757933E-3</c:v>
                </c:pt>
                <c:pt idx="3">
                  <c:v>6.2466838217803949E-3</c:v>
                </c:pt>
                <c:pt idx="4">
                  <c:v>1.0165634844491057E-2</c:v>
                </c:pt>
                <c:pt idx="5">
                  <c:v>1.5085230808885637E-2</c:v>
                </c:pt>
                <c:pt idx="6">
                  <c:v>2.104720710419164E-2</c:v>
                </c:pt>
                <c:pt idx="7">
                  <c:v>2.8103319587713758E-2</c:v>
                </c:pt>
                <c:pt idx="8">
                  <c:v>3.6316508449383139E-2</c:v>
                </c:pt>
                <c:pt idx="9">
                  <c:v>4.5762367743434479E-2</c:v>
                </c:pt>
                <c:pt idx="10">
                  <c:v>5.6530987448607108E-2</c:v>
                </c:pt>
                <c:pt idx="11">
                  <c:v>6.8729256295102084E-2</c:v>
                </c:pt>
                <c:pt idx="12">
                  <c:v>8.2483742085161724E-2</c:v>
                </c:pt>
                <c:pt idx="13">
                  <c:v>9.7944304735298124E-2</c:v>
                </c:pt>
                <c:pt idx="14">
                  <c:v>0.11528864999952876</c:v>
                </c:pt>
                <c:pt idx="15">
                  <c:v>0.1347281050187448</c:v>
                </c:pt>
                <c:pt idx="16">
                  <c:v>0.15651499980883612</c:v>
                </c:pt>
                <c:pt idx="17">
                  <c:v>0.18095218575415503</c:v>
                </c:pt>
                <c:pt idx="18">
                  <c:v>0.20840543512238516</c:v>
                </c:pt>
                <c:pt idx="19">
                  <c:v>0.23931977930378859</c:v>
                </c:pt>
                <c:pt idx="20">
                  <c:v>0.27424131386312434</c:v>
                </c:pt>
                <c:pt idx="21">
                  <c:v>0.31384671772931005</c:v>
                </c:pt>
                <c:pt idx="22">
                  <c:v>0.3589838574142431</c:v>
                </c:pt>
                <c:pt idx="23">
                  <c:v>0.41072864448862639</c:v>
                </c:pt>
                <c:pt idx="24">
                  <c:v>0.47046626668653735</c:v>
                </c:pt>
                <c:pt idx="25">
                  <c:v>0.54000990781304037</c:v>
                </c:pt>
                <c:pt idx="26">
                  <c:v>0.62177881033586746</c:v>
                </c:pt>
                <c:pt idx="27">
                  <c:v>0.71907341857608231</c:v>
                </c:pt>
                <c:pt idx="28">
                  <c:v>0.83651551018079373</c:v>
                </c:pt>
                <c:pt idx="29">
                  <c:v>0.98078153994784389</c:v>
                </c:pt>
                <c:pt idx="30">
                  <c:v>1.1618855338834528</c:v>
                </c:pt>
                <c:pt idx="31">
                  <c:v>1.3955605407023011</c:v>
                </c:pt>
                <c:pt idx="32">
                  <c:v>1.70801881699095</c:v>
                </c:pt>
                <c:pt idx="33">
                  <c:v>2.1464163817304032</c:v>
                </c:pt>
                <c:pt idx="34">
                  <c:v>2.8049873938594398</c:v>
                </c:pt>
                <c:pt idx="35">
                  <c:v>3.9033273688464369</c:v>
                </c:pt>
                <c:pt idx="36">
                  <c:v>6.098718634915044</c:v>
                </c:pt>
                <c:pt idx="37">
                  <c:v>12.659566924581251</c:v>
                </c:pt>
                <c:pt idx="38">
                  <c:v>1921.5837087114464</c:v>
                </c:pt>
                <c:pt idx="39">
                  <c:v>42.249999999987104</c:v>
                </c:pt>
                <c:pt idx="40">
                  <c:v>10.581427390464974</c:v>
                </c:pt>
                <c:pt idx="41">
                  <c:v>6.2413366336631526</c:v>
                </c:pt>
                <c:pt idx="42">
                  <c:v>4.5187319884725161</c:v>
                </c:pt>
                <c:pt idx="43">
                  <c:v>3.5949449125080415</c:v>
                </c:pt>
                <c:pt idx="44">
                  <c:v>3.0192994996425648</c:v>
                </c:pt>
                <c:pt idx="45">
                  <c:v>2.6264591439688467</c:v>
                </c:pt>
                <c:pt idx="46">
                  <c:v>2.3414634146341284</c:v>
                </c:pt>
                <c:pt idx="47">
                  <c:v>2.1254008980115326</c:v>
                </c:pt>
                <c:pt idx="48">
                  <c:v>1.9560649474689491</c:v>
                </c:pt>
                <c:pt idx="49">
                  <c:v>1.8198585144012047</c:v>
                </c:pt>
                <c:pt idx="50">
                  <c:v>1.7079905491189553</c:v>
                </c:pt>
                <c:pt idx="51">
                  <c:v>1.6145251396647997</c:v>
                </c:pt>
                <c:pt idx="52">
                  <c:v>1.5353095649293769</c:v>
                </c:pt>
                <c:pt idx="53">
                  <c:v>1.4673515584189416</c:v>
                </c:pt>
                <c:pt idx="54">
                  <c:v>1.4084404999094342</c:v>
                </c:pt>
                <c:pt idx="55">
                  <c:v>1.35690789473684</c:v>
                </c:pt>
                <c:pt idx="56">
                  <c:v>1.3114708393594574</c:v>
                </c:pt>
                <c:pt idx="57">
                  <c:v>1.2711267605633787</c:v>
                </c:pt>
                <c:pt idx="58">
                  <c:v>1.2350808487203404</c:v>
                </c:pt>
                <c:pt idx="59">
                  <c:v>1.2026949211102145</c:v>
                </c:pt>
                <c:pt idx="60">
                  <c:v>1.1734506784011727</c:v>
                </c:pt>
                <c:pt idx="61">
                  <c:v>1.1469228398232809</c:v>
                </c:pt>
                <c:pt idx="62">
                  <c:v>1.1227591914225556</c:v>
                </c:pt>
                <c:pt idx="63">
                  <c:v>1.1006655574043258</c:v>
                </c:pt>
                <c:pt idx="64">
                  <c:v>1.080394333380958</c:v>
                </c:pt>
                <c:pt idx="65">
                  <c:v>1.0617356341095658</c:v>
                </c:pt>
                <c:pt idx="66">
                  <c:v>1.0445103857566764</c:v>
                </c:pt>
                <c:pt idx="67">
                  <c:v>1.0285648819980142</c:v>
                </c:pt>
                <c:pt idx="68">
                  <c:v>1.0137664544300213</c:v>
                </c:pt>
                <c:pt idx="69">
                  <c:v>1</c:v>
                </c:pt>
                <c:pt idx="70">
                  <c:v>0.96756638701644149</c:v>
                </c:pt>
                <c:pt idx="71">
                  <c:v>0.94029649207737387</c:v>
                </c:pt>
                <c:pt idx="72">
                  <c:v>0.9170912797089299</c:v>
                </c:pt>
                <c:pt idx="73">
                  <c:v>0.89713972557044763</c:v>
                </c:pt>
                <c:pt idx="74">
                  <c:v>0.87983058019429439</c:v>
                </c:pt>
                <c:pt idx="75">
                  <c:v>0.86469466359597535</c:v>
                </c:pt>
                <c:pt idx="76">
                  <c:v>0.85136604264766635</c:v>
                </c:pt>
                <c:pt idx="77">
                  <c:v>0.83955525874231718</c:v>
                </c:pt>
                <c:pt idx="78">
                  <c:v>0.82903045930975283</c:v>
                </c:pt>
                <c:pt idx="79">
                  <c:v>0.81960384055727298</c:v>
                </c:pt>
                <c:pt idx="80">
                  <c:v>0.81112173694104106</c:v>
                </c:pt>
                <c:pt idx="81">
                  <c:v>0.80345726326884537</c:v>
                </c:pt>
                <c:pt idx="82">
                  <c:v>0.7965047748976446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F8-4FE2-9752-761A9C6A0D4E}"/>
            </c:ext>
          </c:extLst>
        </c:ser>
        <c:ser>
          <c:idx val="1"/>
          <c:order val="1"/>
          <c:tx>
            <c:strRef>
              <c:f>RTC!$B$47</c:f>
              <c:strCache>
                <c:ptCount val="1"/>
                <c:pt idx="0">
                  <c:v>M(fn,Po,π/2)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RTC!$C$47:$CG$47</c:f>
              <c:numCache>
                <c:formatCode>General</c:formatCode>
                <c:ptCount val="83"/>
                <c:pt idx="0">
                  <c:v>2.1818182382492675E-8</c:v>
                </c:pt>
                <c:pt idx="1">
                  <c:v>1.2881887010930794E-3</c:v>
                </c:pt>
                <c:pt idx="2">
                  <c:v>3.2927886442313385E-3</c:v>
                </c:pt>
                <c:pt idx="3">
                  <c:v>6.2360266346062031E-3</c:v>
                </c:pt>
                <c:pt idx="4">
                  <c:v>1.0137396704165301E-2</c:v>
                </c:pt>
                <c:pt idx="5">
                  <c:v>1.5023007895528954E-2</c:v>
                </c:pt>
                <c:pt idx="6">
                  <c:v>2.0925987778792478E-2</c:v>
                </c:pt>
                <c:pt idx="7">
                  <c:v>2.7887001276361342E-2</c:v>
                </c:pt>
                <c:pt idx="8">
                  <c:v>3.5954897539339017E-2</c:v>
                </c:pt>
                <c:pt idx="9">
                  <c:v>4.5187500817546217E-2</c:v>
                </c:pt>
                <c:pt idx="10">
                  <c:v>5.5652564835327163E-2</c:v>
                </c:pt>
                <c:pt idx="11">
                  <c:v>6.7428914152122668E-2</c:v>
                </c:pt>
                <c:pt idx="12">
                  <c:v>8.0607800331455051E-2</c:v>
                </c:pt>
                <c:pt idx="13">
                  <c:v>9.5294505365001059E-2</c:v>
                </c:pt>
                <c:pt idx="14">
                  <c:v>0.11161022945863958</c:v>
                </c:pt>
                <c:pt idx="15">
                  <c:v>0.12969430450041747</c:v>
                </c:pt>
                <c:pt idx="16">
                  <c:v>0.14970677740192706</c:v>
                </c:pt>
                <c:pt idx="17">
                  <c:v>0.17183140745740369</c:v>
                </c:pt>
                <c:pt idx="18">
                  <c:v>0.19627911619524036</c:v>
                </c:pt>
                <c:pt idx="19">
                  <c:v>0.22329191235764032</c:v>
                </c:pt>
                <c:pt idx="20">
                  <c:v>0.25314728109657647</c:v>
                </c:pt>
                <c:pt idx="21">
                  <c:v>0.28616296286546417</c:v>
                </c:pt>
                <c:pt idx="22">
                  <c:v>0.32270193381356715</c:v>
                </c:pt>
                <c:pt idx="23">
                  <c:v>0.36317720380577329</c:v>
                </c:pt>
                <c:pt idx="24">
                  <c:v>0.40805572039200749</c:v>
                </c:pt>
                <c:pt idx="25">
                  <c:v>0.45786013065995684</c:v>
                </c:pt>
                <c:pt idx="26">
                  <c:v>0.51316629609248432</c:v>
                </c:pt>
                <c:pt idx="27">
                  <c:v>0.57459312657902117</c:v>
                </c:pt>
                <c:pt idx="28">
                  <c:v>0.64277932160959372</c:v>
                </c:pt>
                <c:pt idx="29">
                  <c:v>0.71833884691119299</c:v>
                </c:pt>
                <c:pt idx="30">
                  <c:v>0.80178354597124124</c:v>
                </c:pt>
                <c:pt idx="31">
                  <c:v>0.89339801137383779</c:v>
                </c:pt>
                <c:pt idx="32">
                  <c:v>0.99305115057053139</c:v>
                </c:pt>
                <c:pt idx="33">
                  <c:v>1.0999361156437204</c:v>
                </c:pt>
                <c:pt idx="34">
                  <c:v>1.2122544795938535</c:v>
                </c:pt>
                <c:pt idx="35">
                  <c:v>1.3269116345880969</c:v>
                </c:pt>
                <c:pt idx="36">
                  <c:v>1.4393666612797296</c:v>
                </c:pt>
                <c:pt idx="37">
                  <c:v>1.5438437181055409</c:v>
                </c:pt>
                <c:pt idx="38">
                  <c:v>1.634075089047597</c:v>
                </c:pt>
                <c:pt idx="39">
                  <c:v>1.6593385553953328</c:v>
                </c:pt>
                <c:pt idx="40">
                  <c:v>1.7224809596753172</c:v>
                </c:pt>
                <c:pt idx="41">
                  <c:v>1.7617858065342098</c:v>
                </c:pt>
                <c:pt idx="42">
                  <c:v>1.7775007606476596</c:v>
                </c:pt>
                <c:pt idx="43">
                  <c:v>1.7723770936820213</c:v>
                </c:pt>
                <c:pt idx="44">
                  <c:v>1.7506688032071991</c:v>
                </c:pt>
                <c:pt idx="45">
                  <c:v>1.7170352094878036</c:v>
                </c:pt>
                <c:pt idx="46">
                  <c:v>1.6757354437264311</c:v>
                </c:pt>
                <c:pt idx="47">
                  <c:v>1.6302254633798372</c:v>
                </c:pt>
                <c:pt idx="48">
                  <c:v>1.5830741957458498</c:v>
                </c:pt>
                <c:pt idx="49">
                  <c:v>1.5360596375513149</c:v>
                </c:pt>
                <c:pt idx="50">
                  <c:v>1.4903324554146884</c:v>
                </c:pt>
                <c:pt idx="51">
                  <c:v>1.446581713956461</c:v>
                </c:pt>
                <c:pt idx="52">
                  <c:v>1.4051745142564538</c:v>
                </c:pt>
                <c:pt idx="53">
                  <c:v>1.3662628198799427</c:v>
                </c:pt>
                <c:pt idx="54">
                  <c:v>1.329860503810347</c:v>
                </c:pt>
                <c:pt idx="55">
                  <c:v>1.2958967576600455</c:v>
                </c:pt>
                <c:pt idx="56">
                  <c:v>1.2642520414530216</c:v>
                </c:pt>
                <c:pt idx="57">
                  <c:v>1.2347816882910965</c:v>
                </c:pt>
                <c:pt idx="58">
                  <c:v>1.2073310266874606</c:v>
                </c:pt>
                <c:pt idx="59">
                  <c:v>1.1817447922027622</c:v>
                </c:pt>
                <c:pt idx="60">
                  <c:v>1.1578727557635651</c:v>
                </c:pt>
                <c:pt idx="61">
                  <c:v>1.1355728820271946</c:v>
                </c:pt>
                <c:pt idx="62">
                  <c:v>1.1147129003379874</c:v>
                </c:pt>
                <c:pt idx="63">
                  <c:v>1.0951708751382412</c:v>
                </c:pt>
                <c:pt idx="64">
                  <c:v>1.0768351626045636</c:v>
                </c:pt>
                <c:pt idx="65">
                  <c:v>1.0596040061373857</c:v>
                </c:pt>
                <c:pt idx="66">
                  <c:v>1.0433849339971508</c:v>
                </c:pt>
                <c:pt idx="67">
                  <c:v>1.0280940632015909</c:v>
                </c:pt>
                <c:pt idx="68">
                  <c:v>1.0136553747908899</c:v>
                </c:pt>
                <c:pt idx="69">
                  <c:v>1</c:v>
                </c:pt>
                <c:pt idx="70">
                  <c:v>0.96691322680906977</c:v>
                </c:pt>
                <c:pt idx="71">
                  <c:v>0.93798852959219836</c:v>
                </c:pt>
                <c:pt idx="72">
                  <c:v>0.91245116941174087</c:v>
                </c:pt>
                <c:pt idx="73">
                  <c:v>0.88969658878492341</c:v>
                </c:pt>
                <c:pt idx="74">
                  <c:v>0.86924871266921189</c:v>
                </c:pt>
                <c:pt idx="75">
                  <c:v>0.85072914348639261</c:v>
                </c:pt>
                <c:pt idx="76">
                  <c:v>0.83383437970660179</c:v>
                </c:pt>
                <c:pt idx="77">
                  <c:v>0.81831887609351994</c:v>
                </c:pt>
                <c:pt idx="78">
                  <c:v>0.80398235120407913</c:v>
                </c:pt>
                <c:pt idx="79">
                  <c:v>0.7906601946781564</c:v>
                </c:pt>
                <c:pt idx="80">
                  <c:v>0.77821615163793834</c:v>
                </c:pt>
                <c:pt idx="81">
                  <c:v>0.76653669311334505</c:v>
                </c:pt>
                <c:pt idx="82">
                  <c:v>0.75552664554189064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F8-4FE2-9752-761A9C6A0D4E}"/>
            </c:ext>
          </c:extLst>
        </c:ser>
        <c:ser>
          <c:idx val="2"/>
          <c:order val="2"/>
          <c:tx>
            <c:strRef>
              <c:f>RTC!$B$49</c:f>
              <c:strCache>
                <c:ptCount val="1"/>
                <c:pt idx="0">
                  <c:v>M(fn,Po,π/3)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RTC!$C$49:$CG$49</c:f>
              <c:numCache>
                <c:formatCode>General</c:formatCode>
                <c:ptCount val="83"/>
                <c:pt idx="0">
                  <c:v>2.1818182439325691E-8</c:v>
                </c:pt>
                <c:pt idx="1">
                  <c:v>1.288386932838223E-3</c:v>
                </c:pt>
                <c:pt idx="2">
                  <c:v>3.294085024357045E-3</c:v>
                </c:pt>
                <c:pt idx="3">
                  <c:v>6.2406824378399874E-3</c:v>
                </c:pt>
                <c:pt idx="4">
                  <c:v>1.0149721903320651E-2</c:v>
                </c:pt>
                <c:pt idx="5">
                  <c:v>1.5050135523851146E-2</c:v>
                </c:pt>
                <c:pt idx="6">
                  <c:v>2.0978762930202923E-2</c:v>
                </c:pt>
                <c:pt idx="7">
                  <c:v>2.7981024024538607E-2</c:v>
                </c:pt>
                <c:pt idx="8">
                  <c:v>3.6111767932241016E-2</c:v>
                </c:pt>
                <c:pt idx="9">
                  <c:v>4.5436326096875805E-2</c:v>
                </c:pt>
                <c:pt idx="10">
                  <c:v>5.6031805097773321E-2</c:v>
                </c:pt>
                <c:pt idx="11">
                  <c:v>6.7988664131966317E-2</c:v>
                </c:pt>
                <c:pt idx="12">
                  <c:v>8.1412633661487821E-2</c:v>
                </c:pt>
                <c:pt idx="13">
                  <c:v>9.6427046070027292E-2</c:v>
                </c:pt>
                <c:pt idx="14">
                  <c:v>0.11317566700622338</c:v>
                </c:pt>
                <c:pt idx="15">
                  <c:v>0.13182613823889974</c:v>
                </c:pt>
                <c:pt idx="16">
                  <c:v>0.15257417021874703</c:v>
                </c:pt>
                <c:pt idx="17">
                  <c:v>0.17564865601082363</c:v>
                </c:pt>
                <c:pt idx="18">
                  <c:v>0.20131791842768321</c:v>
                </c:pt>
                <c:pt idx="19">
                  <c:v>0.22989734881129481</c:v>
                </c:pt>
                <c:pt idx="20">
                  <c:v>0.26175874677386279</c:v>
                </c:pt>
                <c:pt idx="21">
                  <c:v>0.29734171889440625</c:v>
                </c:pt>
                <c:pt idx="22">
                  <c:v>0.33716752587048926</c:v>
                </c:pt>
                <c:pt idx="23">
                  <c:v>0.38185574987982207</c:v>
                </c:pt>
                <c:pt idx="24">
                  <c:v>0.4321440215917321</c:v>
                </c:pt>
                <c:pt idx="25">
                  <c:v>0.48891067008148426</c:v>
                </c:pt>
                <c:pt idx="26">
                  <c:v>0.55319928820362751</c:v>
                </c:pt>
                <c:pt idx="27">
                  <c:v>0.62624236450510695</c:v>
                </c:pt>
                <c:pt idx="28">
                  <c:v>0.70947743818119835</c:v>
                </c:pt>
                <c:pt idx="29">
                  <c:v>0.80454211618310545</c:v>
                </c:pt>
                <c:pt idx="30">
                  <c:v>0.91322115987396457</c:v>
                </c:pt>
                <c:pt idx="31">
                  <c:v>1.0372960664446651</c:v>
                </c:pt>
                <c:pt idx="32">
                  <c:v>1.1782121374140366</c:v>
                </c:pt>
                <c:pt idx="33">
                  <c:v>1.3364349780829285</c:v>
                </c:pt>
                <c:pt idx="34">
                  <c:v>1.5103522672564342</c:v>
                </c:pt>
                <c:pt idx="35">
                  <c:v>1.6946933621753784</c:v>
                </c:pt>
                <c:pt idx="36">
                  <c:v>1.8788872930725196</c:v>
                </c:pt>
                <c:pt idx="37">
                  <c:v>2.0466553898913227</c:v>
                </c:pt>
                <c:pt idx="38">
                  <c:v>2.1787661726775815</c:v>
                </c:pt>
                <c:pt idx="39">
                  <c:v>2.2111254628172508</c:v>
                </c:pt>
                <c:pt idx="40">
                  <c:v>2.2733341619235317</c:v>
                </c:pt>
                <c:pt idx="41">
                  <c:v>2.2794758156576145</c:v>
                </c:pt>
                <c:pt idx="42">
                  <c:v>2.2390917769355321</c:v>
                </c:pt>
                <c:pt idx="43">
                  <c:v>2.1671764851446023</c:v>
                </c:pt>
                <c:pt idx="44">
                  <c:v>2.0782664827564985</c:v>
                </c:pt>
                <c:pt idx="45">
                  <c:v>1.9833491584035789</c:v>
                </c:pt>
                <c:pt idx="46">
                  <c:v>1.8894370266624958</c:v>
                </c:pt>
                <c:pt idx="47">
                  <c:v>1.8004036122547353</c:v>
                </c:pt>
                <c:pt idx="48">
                  <c:v>1.7180362951962087</c:v>
                </c:pt>
                <c:pt idx="49">
                  <c:v>1.6428800535467103</c:v>
                </c:pt>
                <c:pt idx="50">
                  <c:v>1.5748033751254678</c:v>
                </c:pt>
                <c:pt idx="51">
                  <c:v>1.5133428875947135</c:v>
                </c:pt>
                <c:pt idx="52">
                  <c:v>1.4579001918992971</c:v>
                </c:pt>
                <c:pt idx="53">
                  <c:v>1.4078482374057375</c:v>
                </c:pt>
                <c:pt idx="54">
                  <c:v>1.3625851213657625</c:v>
                </c:pt>
                <c:pt idx="55">
                  <c:v>1.3215584444011077</c:v>
                </c:pt>
                <c:pt idx="56">
                  <c:v>1.2842737446429706</c:v>
                </c:pt>
                <c:pt idx="57">
                  <c:v>1.2502946995621886</c:v>
                </c:pt>
                <c:pt idx="58">
                  <c:v>1.2192393728204127</c:v>
                </c:pt>
                <c:pt idx="59">
                  <c:v>1.1907748312749207</c:v>
                </c:pt>
                <c:pt idx="60">
                  <c:v>1.1646113567059417</c:v>
                </c:pt>
                <c:pt idx="61">
                  <c:v>1.140496864502047</c:v>
                </c:pt>
                <c:pt idx="62">
                  <c:v>1.1182118061628268</c:v>
                </c:pt>
                <c:pt idx="63">
                  <c:v>1.0975646529978911</c:v>
                </c:pt>
                <c:pt idx="64">
                  <c:v>1.0783879659759421</c:v>
                </c:pt>
                <c:pt idx="65">
                  <c:v>1.0605350123336386</c:v>
                </c:pt>
                <c:pt idx="66">
                  <c:v>1.0438768713069297</c:v>
                </c:pt>
                <c:pt idx="67">
                  <c:v>1.0282999668555644</c:v>
                </c:pt>
                <c:pt idx="68">
                  <c:v>1.0137039676399553</c:v>
                </c:pt>
                <c:pt idx="69">
                  <c:v>1</c:v>
                </c:pt>
                <c:pt idx="70">
                  <c:v>0.96719882159524373</c:v>
                </c:pt>
                <c:pt idx="71">
                  <c:v>0.93899617000083535</c:v>
                </c:pt>
                <c:pt idx="72">
                  <c:v>0.91447253396452466</c:v>
                </c:pt>
                <c:pt idx="73">
                  <c:v>0.8929300910335991</c:v>
                </c:pt>
                <c:pt idx="74">
                  <c:v>0.87383107550355499</c:v>
                </c:pt>
                <c:pt idx="75">
                  <c:v>0.85675526471749119</c:v>
                </c:pt>
                <c:pt idx="76">
                  <c:v>0.84137012873404282</c:v>
                </c:pt>
                <c:pt idx="77">
                  <c:v>0.82740951576527788</c:v>
                </c:pt>
                <c:pt idx="78">
                  <c:v>0.81465819096376568</c:v>
                </c:pt>
                <c:pt idx="79">
                  <c:v>0.80294045572863604</c:v>
                </c:pt>
                <c:pt idx="80">
                  <c:v>0.79211165619735802</c:v>
                </c:pt>
                <c:pt idx="81">
                  <c:v>0.78205176741559146</c:v>
                </c:pt>
                <c:pt idx="82">
                  <c:v>0.77266048914876062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F8-4FE2-9752-761A9C6A0D4E}"/>
            </c:ext>
          </c:extLst>
        </c:ser>
        <c:ser>
          <c:idx val="3"/>
          <c:order val="3"/>
          <c:tx>
            <c:strRef>
              <c:f>RTC!$B$50</c:f>
              <c:strCache>
                <c:ptCount val="1"/>
                <c:pt idx="0">
                  <c:v>M(fn,Po,π/4)</c:v>
                </c:pt>
              </c:strCache>
            </c:strRef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RTC!$C$50:$CG$50</c:f>
              <c:numCache>
                <c:formatCode>General</c:formatCode>
                <c:ptCount val="83"/>
                <c:pt idx="0">
                  <c:v>2.1818182479920704E-8</c:v>
                </c:pt>
                <c:pt idx="1">
                  <c:v>1.2885285829841006E-3</c:v>
                </c:pt>
                <c:pt idx="2">
                  <c:v>3.2950119481721194E-3</c:v>
                </c:pt>
                <c:pt idx="3">
                  <c:v>6.2440144033623097E-3</c:v>
                </c:pt>
                <c:pt idx="4">
                  <c:v>1.0158553191859945E-2</c:v>
                </c:pt>
                <c:pt idx="5">
                  <c:v>1.5069602622699301E-2</c:v>
                </c:pt>
                <c:pt idx="6">
                  <c:v>2.1016704876682134E-2</c:v>
                </c:pt>
                <c:pt idx="7">
                  <c:v>2.8048768388947723E-2</c:v>
                </c:pt>
                <c:pt idx="8">
                  <c:v>3.6225083729408088E-2</c:v>
                </c:pt>
                <c:pt idx="9">
                  <c:v>4.5616596356075428E-2</c:v>
                </c:pt>
                <c:pt idx="10">
                  <c:v>5.6307487501055131E-2</c:v>
                </c:pt>
                <c:pt idx="11">
                  <c:v>6.83971296301875E-2</c:v>
                </c:pt>
                <c:pt idx="12">
                  <c:v>8.2002502564154742E-2</c:v>
                </c:pt>
                <c:pt idx="13">
                  <c:v>9.7261182059277002E-2</c:v>
                </c:pt>
                <c:pt idx="14">
                  <c:v>0.11433504662530793</c:v>
                </c:pt>
                <c:pt idx="15">
                  <c:v>0.13341489367348136</c:v>
                </c:pt>
                <c:pt idx="16">
                  <c:v>0.15472621704054584</c:v>
                </c:pt>
                <c:pt idx="17">
                  <c:v>0.17853648058534624</c:v>
                </c:pt>
                <c:pt idx="18">
                  <c:v>0.20516433548851423</c:v>
                </c:pt>
                <c:pt idx="19">
                  <c:v>0.23499138428974772</c:v>
                </c:pt>
                <c:pt idx="20">
                  <c:v>0.26847730985236462</c:v>
                </c:pt>
                <c:pt idx="21">
                  <c:v>0.30617948669159406</c:v>
                </c:pt>
                <c:pt idx="22">
                  <c:v>0.34877860915110864</c:v>
                </c:pt>
                <c:pt idx="23">
                  <c:v>0.39711245078414564</c:v>
                </c:pt>
                <c:pt idx="24">
                  <c:v>0.45222066752110879</c:v>
                </c:pt>
                <c:pt idx="25">
                  <c:v>0.51540462938092035</c:v>
                </c:pt>
                <c:pt idx="26">
                  <c:v>0.58830762840615813</c:v>
                </c:pt>
                <c:pt idx="27">
                  <c:v>0.67302232488870162</c:v>
                </c:pt>
                <c:pt idx="28">
                  <c:v>0.77223333712321429</c:v>
                </c:pt>
                <c:pt idx="29">
                  <c:v>0.88940146434470002</c:v>
                </c:pt>
                <c:pt idx="30">
                  <c:v>1.0289864824494521</c:v>
                </c:pt>
                <c:pt idx="31">
                  <c:v>1.1966724314094623</c:v>
                </c:pt>
                <c:pt idx="32">
                  <c:v>1.3994632574174968</c:v>
                </c:pt>
                <c:pt idx="33">
                  <c:v>1.6452628496952006</c:v>
                </c:pt>
                <c:pt idx="34">
                  <c:v>1.9409529095430136</c:v>
                </c:pt>
                <c:pt idx="35">
                  <c:v>2.286856711332343</c:v>
                </c:pt>
                <c:pt idx="36">
                  <c:v>2.664689739148864</c:v>
                </c:pt>
                <c:pt idx="37">
                  <c:v>3.0210297534050943</c:v>
                </c:pt>
                <c:pt idx="38">
                  <c:v>3.2681466330811526</c:v>
                </c:pt>
                <c:pt idx="39">
                  <c:v>3.3110252196145522</c:v>
                </c:pt>
                <c:pt idx="40">
                  <c:v>3.3156909367168934</c:v>
                </c:pt>
                <c:pt idx="41">
                  <c:v>3.165485129035889</c:v>
                </c:pt>
                <c:pt idx="42">
                  <c:v>2.9379147301897302</c:v>
                </c:pt>
                <c:pt idx="43">
                  <c:v>2.6956469422014004</c:v>
                </c:pt>
                <c:pt idx="44">
                  <c:v>2.4705166769883413</c:v>
                </c:pt>
                <c:pt idx="45">
                  <c:v>2.2731978578150067</c:v>
                </c:pt>
                <c:pt idx="46">
                  <c:v>2.1043137440172504</c:v>
                </c:pt>
                <c:pt idx="47">
                  <c:v>1.9607997258777867</c:v>
                </c:pt>
                <c:pt idx="48">
                  <c:v>1.8387414801727384</c:v>
                </c:pt>
                <c:pt idx="49">
                  <c:v>1.7344475901781762</c:v>
                </c:pt>
                <c:pt idx="50">
                  <c:v>1.6447671953798582</c:v>
                </c:pt>
                <c:pt idx="51">
                  <c:v>1.5671176092543677</c:v>
                </c:pt>
                <c:pt idx="52">
                  <c:v>1.4994159312519777</c:v>
                </c:pt>
                <c:pt idx="53">
                  <c:v>1.4399901776491046</c:v>
                </c:pt>
                <c:pt idx="54">
                  <c:v>1.3874966034904137</c:v>
                </c:pt>
                <c:pt idx="55">
                  <c:v>1.3408506390314692</c:v>
                </c:pt>
                <c:pt idx="56">
                  <c:v>1.2991717638123261</c:v>
                </c:pt>
                <c:pt idx="57">
                  <c:v>1.2617403838170929</c:v>
                </c:pt>
                <c:pt idx="58">
                  <c:v>1.2279643637936826</c:v>
                </c:pt>
                <c:pt idx="59">
                  <c:v>1.1973530893088902</c:v>
                </c:pt>
                <c:pt idx="60">
                  <c:v>1.1694973196907215</c:v>
                </c:pt>
                <c:pt idx="61">
                  <c:v>1.1440534718277999</c:v>
                </c:pt>
                <c:pt idx="62">
                  <c:v>1.1207312935183062</c:v>
                </c:pt>
                <c:pt idx="63">
                  <c:v>1.0992841366401696</c:v>
                </c:pt>
                <c:pt idx="64">
                  <c:v>1.0795012330280616</c:v>
                </c:pt>
                <c:pt idx="65">
                  <c:v>1.0612015212514392</c:v>
                </c:pt>
                <c:pt idx="66">
                  <c:v>1.0442286814174895</c:v>
                </c:pt>
                <c:pt idx="67">
                  <c:v>1.028447116660097</c:v>
                </c:pt>
                <c:pt idx="68">
                  <c:v>1.0137386810967635</c:v>
                </c:pt>
                <c:pt idx="69">
                  <c:v>1</c:v>
                </c:pt>
                <c:pt idx="70">
                  <c:v>0.96740297287939647</c:v>
                </c:pt>
                <c:pt idx="71">
                  <c:v>0.9397179046098656</c:v>
                </c:pt>
                <c:pt idx="72">
                  <c:v>0.91592461846307416</c:v>
                </c:pt>
                <c:pt idx="73">
                  <c:v>0.89526144065932423</c:v>
                </c:pt>
                <c:pt idx="74">
                  <c:v>0.87714892036287673</c:v>
                </c:pt>
                <c:pt idx="75">
                  <c:v>0.86113889543855549</c:v>
                </c:pt>
                <c:pt idx="76">
                  <c:v>0.84687964305359276</c:v>
                </c:pt>
                <c:pt idx="77">
                  <c:v>0.83409151190731656</c:v>
                </c:pt>
                <c:pt idx="78">
                  <c:v>0.82254954889244947</c:v>
                </c:pt>
                <c:pt idx="79">
                  <c:v>0.81207089395729926</c:v>
                </c:pt>
                <c:pt idx="80">
                  <c:v>0.80250548884949624</c:v>
                </c:pt>
                <c:pt idx="81">
                  <c:v>0.79372912964468822</c:v>
                </c:pt>
                <c:pt idx="82">
                  <c:v>0.78563820355372038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1F8-4FE2-9752-761A9C6A0D4E}"/>
            </c:ext>
          </c:extLst>
        </c:ser>
        <c:ser>
          <c:idx val="4"/>
          <c:order val="4"/>
          <c:tx>
            <c:strRef>
              <c:f>RTC!$B$67</c:f>
              <c:strCache>
                <c:ptCount val="1"/>
                <c:pt idx="0">
                  <c:v>Mreq(Vin_max, Vout,π/2 )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RTC!$C$67:$CG$67</c:f>
              <c:numCache>
                <c:formatCode>General</c:formatCode>
                <c:ptCount val="83"/>
                <c:pt idx="0">
                  <c:v>0.99807854321003453</c:v>
                </c:pt>
                <c:pt idx="1">
                  <c:v>0.99807854321003453</c:v>
                </c:pt>
                <c:pt idx="2">
                  <c:v>0.99807854321003453</c:v>
                </c:pt>
                <c:pt idx="3">
                  <c:v>0.99807854321003453</c:v>
                </c:pt>
                <c:pt idx="4">
                  <c:v>0.99807854321003453</c:v>
                </c:pt>
                <c:pt idx="5">
                  <c:v>0.99807854321003453</c:v>
                </c:pt>
                <c:pt idx="6">
                  <c:v>0.99807854321003453</c:v>
                </c:pt>
                <c:pt idx="7">
                  <c:v>0.99807854321003453</c:v>
                </c:pt>
                <c:pt idx="8">
                  <c:v>0.99807854321003453</c:v>
                </c:pt>
                <c:pt idx="9">
                  <c:v>0.99807854321003453</c:v>
                </c:pt>
                <c:pt idx="10">
                  <c:v>0.99807854321003453</c:v>
                </c:pt>
                <c:pt idx="11">
                  <c:v>0.99807854321003453</c:v>
                </c:pt>
                <c:pt idx="12">
                  <c:v>0.99807854321003453</c:v>
                </c:pt>
                <c:pt idx="13">
                  <c:v>0.99807854321003453</c:v>
                </c:pt>
                <c:pt idx="14">
                  <c:v>0.99807854321003453</c:v>
                </c:pt>
                <c:pt idx="15">
                  <c:v>0.99807854321003453</c:v>
                </c:pt>
                <c:pt idx="16">
                  <c:v>0.99807854321003453</c:v>
                </c:pt>
                <c:pt idx="17">
                  <c:v>0.99807854321003453</c:v>
                </c:pt>
                <c:pt idx="18">
                  <c:v>0.99807854321003453</c:v>
                </c:pt>
                <c:pt idx="19">
                  <c:v>0.99807854321003453</c:v>
                </c:pt>
                <c:pt idx="20">
                  <c:v>0.99807854321003453</c:v>
                </c:pt>
                <c:pt idx="21">
                  <c:v>0.99807854321003453</c:v>
                </c:pt>
                <c:pt idx="22">
                  <c:v>0.99807854321003453</c:v>
                </c:pt>
                <c:pt idx="23">
                  <c:v>0.99807854321003453</c:v>
                </c:pt>
                <c:pt idx="24">
                  <c:v>0.99807854321003453</c:v>
                </c:pt>
                <c:pt idx="25">
                  <c:v>0.99807854321003453</c:v>
                </c:pt>
                <c:pt idx="26">
                  <c:v>0.99807854321003453</c:v>
                </c:pt>
                <c:pt idx="27">
                  <c:v>0.99807854321003453</c:v>
                </c:pt>
                <c:pt idx="28">
                  <c:v>0.99807854321003453</c:v>
                </c:pt>
                <c:pt idx="29">
                  <c:v>0.99807854321003453</c:v>
                </c:pt>
                <c:pt idx="30">
                  <c:v>0.99807854321003453</c:v>
                </c:pt>
                <c:pt idx="31">
                  <c:v>0.99807854321003453</c:v>
                </c:pt>
                <c:pt idx="32">
                  <c:v>0.99807854321003453</c:v>
                </c:pt>
                <c:pt idx="33">
                  <c:v>0.99807854321003453</c:v>
                </c:pt>
                <c:pt idx="34">
                  <c:v>0.99807854321003453</c:v>
                </c:pt>
                <c:pt idx="35">
                  <c:v>0.99807854321003453</c:v>
                </c:pt>
                <c:pt idx="36">
                  <c:v>0.99807854321003453</c:v>
                </c:pt>
                <c:pt idx="37">
                  <c:v>0.99807854321003453</c:v>
                </c:pt>
                <c:pt idx="38">
                  <c:v>0.99807854321003453</c:v>
                </c:pt>
                <c:pt idx="39">
                  <c:v>0.99807854321003453</c:v>
                </c:pt>
                <c:pt idx="40">
                  <c:v>0.99807854321003453</c:v>
                </c:pt>
                <c:pt idx="41">
                  <c:v>0.99807854321003453</c:v>
                </c:pt>
                <c:pt idx="42">
                  <c:v>0.99807854321003453</c:v>
                </c:pt>
                <c:pt idx="43">
                  <c:v>0.99807854321003453</c:v>
                </c:pt>
                <c:pt idx="44">
                  <c:v>0.99807854321003453</c:v>
                </c:pt>
                <c:pt idx="45">
                  <c:v>0.99807854321003453</c:v>
                </c:pt>
                <c:pt idx="46">
                  <c:v>0.99807854321003453</c:v>
                </c:pt>
                <c:pt idx="47">
                  <c:v>0.99807854321003453</c:v>
                </c:pt>
                <c:pt idx="48">
                  <c:v>0.99807854321003453</c:v>
                </c:pt>
                <c:pt idx="49">
                  <c:v>0.99807854321003453</c:v>
                </c:pt>
                <c:pt idx="50">
                  <c:v>0.99807854321003453</c:v>
                </c:pt>
                <c:pt idx="51">
                  <c:v>0.99807854321003453</c:v>
                </c:pt>
                <c:pt idx="52">
                  <c:v>0.99807854321003453</c:v>
                </c:pt>
                <c:pt idx="53">
                  <c:v>0.99807854321003453</c:v>
                </c:pt>
                <c:pt idx="54">
                  <c:v>0.99807854321003453</c:v>
                </c:pt>
                <c:pt idx="55">
                  <c:v>0.99807854321003453</c:v>
                </c:pt>
                <c:pt idx="56">
                  <c:v>0.99807854321003453</c:v>
                </c:pt>
                <c:pt idx="57">
                  <c:v>0.99807854321003453</c:v>
                </c:pt>
                <c:pt idx="58">
                  <c:v>0.99807854321003453</c:v>
                </c:pt>
                <c:pt idx="59">
                  <c:v>0.99807854321003453</c:v>
                </c:pt>
                <c:pt idx="60">
                  <c:v>0.99807854321003453</c:v>
                </c:pt>
                <c:pt idx="61">
                  <c:v>0.99807854321003453</c:v>
                </c:pt>
                <c:pt idx="62">
                  <c:v>0.99807854321003453</c:v>
                </c:pt>
                <c:pt idx="63">
                  <c:v>0.99807854321003453</c:v>
                </c:pt>
                <c:pt idx="64">
                  <c:v>0.99807854321003453</c:v>
                </c:pt>
                <c:pt idx="65">
                  <c:v>0.99807854321003453</c:v>
                </c:pt>
                <c:pt idx="66">
                  <c:v>0.99807854321003453</c:v>
                </c:pt>
                <c:pt idx="67">
                  <c:v>0.99807854321003453</c:v>
                </c:pt>
                <c:pt idx="68">
                  <c:v>0.99807854321003453</c:v>
                </c:pt>
                <c:pt idx="69">
                  <c:v>0.99807854321003453</c:v>
                </c:pt>
                <c:pt idx="70">
                  <c:v>0.99807854321003453</c:v>
                </c:pt>
                <c:pt idx="71">
                  <c:v>0.99807854321003453</c:v>
                </c:pt>
                <c:pt idx="72">
                  <c:v>0.99807854321003453</c:v>
                </c:pt>
                <c:pt idx="73">
                  <c:v>0.99807854321003453</c:v>
                </c:pt>
                <c:pt idx="74">
                  <c:v>0.99807854321003453</c:v>
                </c:pt>
                <c:pt idx="75">
                  <c:v>0.99807854321003453</c:v>
                </c:pt>
                <c:pt idx="76">
                  <c:v>0.99807854321003453</c:v>
                </c:pt>
                <c:pt idx="77">
                  <c:v>0.99807854321003453</c:v>
                </c:pt>
                <c:pt idx="78">
                  <c:v>0.99807854321003453</c:v>
                </c:pt>
                <c:pt idx="79">
                  <c:v>0.99807854321003453</c:v>
                </c:pt>
                <c:pt idx="80">
                  <c:v>0.99807854321003453</c:v>
                </c:pt>
                <c:pt idx="81">
                  <c:v>0.99807854321003453</c:v>
                </c:pt>
                <c:pt idx="82">
                  <c:v>0.99807854321003453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1F8-4FE2-9752-761A9C6A0D4E}"/>
            </c:ext>
          </c:extLst>
        </c:ser>
        <c:ser>
          <c:idx val="5"/>
          <c:order val="5"/>
          <c:tx>
            <c:strRef>
              <c:f>RTC!$B$69</c:f>
              <c:strCache>
                <c:ptCount val="1"/>
                <c:pt idx="0">
                  <c:v>Mreq(Vin_max, Vout,π/3 )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RTC!$C$69:$CG$69</c:f>
              <c:numCache>
                <c:formatCode>General</c:formatCode>
                <c:ptCount val="83"/>
                <c:pt idx="0">
                  <c:v>1.1524818311894061</c:v>
                </c:pt>
                <c:pt idx="1">
                  <c:v>1.1524818311894061</c:v>
                </c:pt>
                <c:pt idx="2">
                  <c:v>1.1524818311894061</c:v>
                </c:pt>
                <c:pt idx="3">
                  <c:v>1.1524818311894061</c:v>
                </c:pt>
                <c:pt idx="4">
                  <c:v>1.1524818311894061</c:v>
                </c:pt>
                <c:pt idx="5">
                  <c:v>1.1524818311894061</c:v>
                </c:pt>
                <c:pt idx="6">
                  <c:v>1.1524818311894061</c:v>
                </c:pt>
                <c:pt idx="7">
                  <c:v>1.1524818311894061</c:v>
                </c:pt>
                <c:pt idx="8">
                  <c:v>1.1524818311894061</c:v>
                </c:pt>
                <c:pt idx="9">
                  <c:v>1.1524818311894061</c:v>
                </c:pt>
                <c:pt idx="10">
                  <c:v>1.1524818311894061</c:v>
                </c:pt>
                <c:pt idx="11">
                  <c:v>1.1524818311894061</c:v>
                </c:pt>
                <c:pt idx="12">
                  <c:v>1.1524818311894061</c:v>
                </c:pt>
                <c:pt idx="13">
                  <c:v>1.1524818311894061</c:v>
                </c:pt>
                <c:pt idx="14">
                  <c:v>1.1524818311894061</c:v>
                </c:pt>
                <c:pt idx="15">
                  <c:v>1.1524818311894061</c:v>
                </c:pt>
                <c:pt idx="16">
                  <c:v>1.1524818311894061</c:v>
                </c:pt>
                <c:pt idx="17">
                  <c:v>1.1524818311894061</c:v>
                </c:pt>
                <c:pt idx="18">
                  <c:v>1.1524818311894061</c:v>
                </c:pt>
                <c:pt idx="19">
                  <c:v>1.1524818311894061</c:v>
                </c:pt>
                <c:pt idx="20">
                  <c:v>1.1524818311894061</c:v>
                </c:pt>
                <c:pt idx="21">
                  <c:v>1.1524818311894061</c:v>
                </c:pt>
                <c:pt idx="22">
                  <c:v>1.1524818311894061</c:v>
                </c:pt>
                <c:pt idx="23">
                  <c:v>1.1524818311894061</c:v>
                </c:pt>
                <c:pt idx="24">
                  <c:v>1.1524818311894061</c:v>
                </c:pt>
                <c:pt idx="25">
                  <c:v>1.1524818311894061</c:v>
                </c:pt>
                <c:pt idx="26">
                  <c:v>1.1524818311894061</c:v>
                </c:pt>
                <c:pt idx="27">
                  <c:v>1.1524818311894061</c:v>
                </c:pt>
                <c:pt idx="28">
                  <c:v>1.1524818311894061</c:v>
                </c:pt>
                <c:pt idx="29">
                  <c:v>1.1524818311894061</c:v>
                </c:pt>
                <c:pt idx="30">
                  <c:v>1.1524818311894061</c:v>
                </c:pt>
                <c:pt idx="31">
                  <c:v>1.1524818311894061</c:v>
                </c:pt>
                <c:pt idx="32">
                  <c:v>1.1524818311894061</c:v>
                </c:pt>
                <c:pt idx="33">
                  <c:v>1.1524818311894061</c:v>
                </c:pt>
                <c:pt idx="34">
                  <c:v>1.1524818311894061</c:v>
                </c:pt>
                <c:pt idx="35">
                  <c:v>1.1524818311894061</c:v>
                </c:pt>
                <c:pt idx="36">
                  <c:v>1.1524818311894061</c:v>
                </c:pt>
                <c:pt idx="37">
                  <c:v>1.1524818311894061</c:v>
                </c:pt>
                <c:pt idx="38">
                  <c:v>1.1524818311894061</c:v>
                </c:pt>
                <c:pt idx="39">
                  <c:v>1.1524818311894061</c:v>
                </c:pt>
                <c:pt idx="40">
                  <c:v>1.1524818311894061</c:v>
                </c:pt>
                <c:pt idx="41">
                  <c:v>1.1524818311894061</c:v>
                </c:pt>
                <c:pt idx="42">
                  <c:v>1.1524818311894061</c:v>
                </c:pt>
                <c:pt idx="43">
                  <c:v>1.1524818311894061</c:v>
                </c:pt>
                <c:pt idx="44">
                  <c:v>1.1524818311894061</c:v>
                </c:pt>
                <c:pt idx="45">
                  <c:v>1.1524818311894061</c:v>
                </c:pt>
                <c:pt idx="46">
                  <c:v>1.1524818311894061</c:v>
                </c:pt>
                <c:pt idx="47">
                  <c:v>1.1524818311894061</c:v>
                </c:pt>
                <c:pt idx="48">
                  <c:v>1.1524818311894061</c:v>
                </c:pt>
                <c:pt idx="49">
                  <c:v>1.1524818311894061</c:v>
                </c:pt>
                <c:pt idx="50">
                  <c:v>1.1524818311894061</c:v>
                </c:pt>
                <c:pt idx="51">
                  <c:v>1.1524818311894061</c:v>
                </c:pt>
                <c:pt idx="52">
                  <c:v>1.1524818311894061</c:v>
                </c:pt>
                <c:pt idx="53">
                  <c:v>1.1524818311894061</c:v>
                </c:pt>
                <c:pt idx="54">
                  <c:v>1.1524818311894061</c:v>
                </c:pt>
                <c:pt idx="55">
                  <c:v>1.1524818311894061</c:v>
                </c:pt>
                <c:pt idx="56">
                  <c:v>1.1524818311894061</c:v>
                </c:pt>
                <c:pt idx="57">
                  <c:v>1.1524818311894061</c:v>
                </c:pt>
                <c:pt idx="58">
                  <c:v>1.1524818311894061</c:v>
                </c:pt>
                <c:pt idx="59">
                  <c:v>1.1524818311894061</c:v>
                </c:pt>
                <c:pt idx="60">
                  <c:v>1.1524818311894061</c:v>
                </c:pt>
                <c:pt idx="61">
                  <c:v>1.1524818311894061</c:v>
                </c:pt>
                <c:pt idx="62">
                  <c:v>1.1524818311894061</c:v>
                </c:pt>
                <c:pt idx="63">
                  <c:v>1.1524818311894061</c:v>
                </c:pt>
                <c:pt idx="64">
                  <c:v>1.1524818311894061</c:v>
                </c:pt>
                <c:pt idx="65">
                  <c:v>1.1524818311894061</c:v>
                </c:pt>
                <c:pt idx="66">
                  <c:v>1.1524818311894061</c:v>
                </c:pt>
                <c:pt idx="67">
                  <c:v>1.1524818311894061</c:v>
                </c:pt>
                <c:pt idx="68">
                  <c:v>1.1524818311894061</c:v>
                </c:pt>
                <c:pt idx="69">
                  <c:v>1.1524818311894061</c:v>
                </c:pt>
                <c:pt idx="70">
                  <c:v>1.1524818311894061</c:v>
                </c:pt>
                <c:pt idx="71">
                  <c:v>1.1524818311894061</c:v>
                </c:pt>
                <c:pt idx="72">
                  <c:v>1.1524818311894061</c:v>
                </c:pt>
                <c:pt idx="73">
                  <c:v>1.1524818311894061</c:v>
                </c:pt>
                <c:pt idx="74">
                  <c:v>1.1524818311894061</c:v>
                </c:pt>
                <c:pt idx="75">
                  <c:v>1.1524818311894061</c:v>
                </c:pt>
                <c:pt idx="76">
                  <c:v>1.1524818311894061</c:v>
                </c:pt>
                <c:pt idx="77">
                  <c:v>1.1524818311894061</c:v>
                </c:pt>
                <c:pt idx="78">
                  <c:v>1.1524818311894061</c:v>
                </c:pt>
                <c:pt idx="79">
                  <c:v>1.1524818311894061</c:v>
                </c:pt>
                <c:pt idx="80">
                  <c:v>1.1524818311894061</c:v>
                </c:pt>
                <c:pt idx="81">
                  <c:v>1.1524818311894061</c:v>
                </c:pt>
                <c:pt idx="82">
                  <c:v>1.1524818311894061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1F8-4FE2-9752-761A9C6A0D4E}"/>
            </c:ext>
          </c:extLst>
        </c:ser>
        <c:ser>
          <c:idx val="6"/>
          <c:order val="6"/>
          <c:tx>
            <c:strRef>
              <c:f>RTC!$B$70</c:f>
              <c:strCache>
                <c:ptCount val="1"/>
                <c:pt idx="0">
                  <c:v>Mreq(Vin_max, Vout,π/4 )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  <a:alpha val="99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RTC!$C$70:$CG$70</c:f>
              <c:numCache>
                <c:formatCode>General</c:formatCode>
                <c:ptCount val="83"/>
                <c:pt idx="0">
                  <c:v>1.411496212121212</c:v>
                </c:pt>
                <c:pt idx="1">
                  <c:v>1.411496212121212</c:v>
                </c:pt>
                <c:pt idx="2">
                  <c:v>1.411496212121212</c:v>
                </c:pt>
                <c:pt idx="3">
                  <c:v>1.411496212121212</c:v>
                </c:pt>
                <c:pt idx="4">
                  <c:v>1.411496212121212</c:v>
                </c:pt>
                <c:pt idx="5">
                  <c:v>1.411496212121212</c:v>
                </c:pt>
                <c:pt idx="6">
                  <c:v>1.411496212121212</c:v>
                </c:pt>
                <c:pt idx="7">
                  <c:v>1.411496212121212</c:v>
                </c:pt>
                <c:pt idx="8">
                  <c:v>1.411496212121212</c:v>
                </c:pt>
                <c:pt idx="9">
                  <c:v>1.411496212121212</c:v>
                </c:pt>
                <c:pt idx="10">
                  <c:v>1.411496212121212</c:v>
                </c:pt>
                <c:pt idx="11">
                  <c:v>1.411496212121212</c:v>
                </c:pt>
                <c:pt idx="12">
                  <c:v>1.411496212121212</c:v>
                </c:pt>
                <c:pt idx="13">
                  <c:v>1.411496212121212</c:v>
                </c:pt>
                <c:pt idx="14">
                  <c:v>1.411496212121212</c:v>
                </c:pt>
                <c:pt idx="15">
                  <c:v>1.411496212121212</c:v>
                </c:pt>
                <c:pt idx="16">
                  <c:v>1.411496212121212</c:v>
                </c:pt>
                <c:pt idx="17">
                  <c:v>1.411496212121212</c:v>
                </c:pt>
                <c:pt idx="18">
                  <c:v>1.411496212121212</c:v>
                </c:pt>
                <c:pt idx="19">
                  <c:v>1.411496212121212</c:v>
                </c:pt>
                <c:pt idx="20">
                  <c:v>1.411496212121212</c:v>
                </c:pt>
                <c:pt idx="21">
                  <c:v>1.411496212121212</c:v>
                </c:pt>
                <c:pt idx="22">
                  <c:v>1.411496212121212</c:v>
                </c:pt>
                <c:pt idx="23">
                  <c:v>1.411496212121212</c:v>
                </c:pt>
                <c:pt idx="24">
                  <c:v>1.411496212121212</c:v>
                </c:pt>
                <c:pt idx="25">
                  <c:v>1.411496212121212</c:v>
                </c:pt>
                <c:pt idx="26">
                  <c:v>1.411496212121212</c:v>
                </c:pt>
                <c:pt idx="27">
                  <c:v>1.411496212121212</c:v>
                </c:pt>
                <c:pt idx="28">
                  <c:v>1.411496212121212</c:v>
                </c:pt>
                <c:pt idx="29">
                  <c:v>1.411496212121212</c:v>
                </c:pt>
                <c:pt idx="30">
                  <c:v>1.411496212121212</c:v>
                </c:pt>
                <c:pt idx="31">
                  <c:v>1.411496212121212</c:v>
                </c:pt>
                <c:pt idx="32">
                  <c:v>1.411496212121212</c:v>
                </c:pt>
                <c:pt idx="33">
                  <c:v>1.411496212121212</c:v>
                </c:pt>
                <c:pt idx="34">
                  <c:v>1.411496212121212</c:v>
                </c:pt>
                <c:pt idx="35">
                  <c:v>1.411496212121212</c:v>
                </c:pt>
                <c:pt idx="36">
                  <c:v>1.411496212121212</c:v>
                </c:pt>
                <c:pt idx="37">
                  <c:v>1.411496212121212</c:v>
                </c:pt>
                <c:pt idx="38">
                  <c:v>1.411496212121212</c:v>
                </c:pt>
                <c:pt idx="39">
                  <c:v>1.411496212121212</c:v>
                </c:pt>
                <c:pt idx="40">
                  <c:v>1.411496212121212</c:v>
                </c:pt>
                <c:pt idx="41">
                  <c:v>1.411496212121212</c:v>
                </c:pt>
                <c:pt idx="42">
                  <c:v>1.411496212121212</c:v>
                </c:pt>
                <c:pt idx="43">
                  <c:v>1.411496212121212</c:v>
                </c:pt>
                <c:pt idx="44">
                  <c:v>1.411496212121212</c:v>
                </c:pt>
                <c:pt idx="45">
                  <c:v>1.411496212121212</c:v>
                </c:pt>
                <c:pt idx="46">
                  <c:v>1.411496212121212</c:v>
                </c:pt>
                <c:pt idx="47">
                  <c:v>1.411496212121212</c:v>
                </c:pt>
                <c:pt idx="48">
                  <c:v>1.411496212121212</c:v>
                </c:pt>
                <c:pt idx="49">
                  <c:v>1.411496212121212</c:v>
                </c:pt>
                <c:pt idx="50">
                  <c:v>1.411496212121212</c:v>
                </c:pt>
                <c:pt idx="51">
                  <c:v>1.411496212121212</c:v>
                </c:pt>
                <c:pt idx="52">
                  <c:v>1.411496212121212</c:v>
                </c:pt>
                <c:pt idx="53">
                  <c:v>1.411496212121212</c:v>
                </c:pt>
                <c:pt idx="54">
                  <c:v>1.411496212121212</c:v>
                </c:pt>
                <c:pt idx="55">
                  <c:v>1.411496212121212</c:v>
                </c:pt>
                <c:pt idx="56">
                  <c:v>1.411496212121212</c:v>
                </c:pt>
                <c:pt idx="57">
                  <c:v>1.411496212121212</c:v>
                </c:pt>
                <c:pt idx="58">
                  <c:v>1.411496212121212</c:v>
                </c:pt>
                <c:pt idx="59">
                  <c:v>1.411496212121212</c:v>
                </c:pt>
                <c:pt idx="60">
                  <c:v>1.411496212121212</c:v>
                </c:pt>
                <c:pt idx="61">
                  <c:v>1.411496212121212</c:v>
                </c:pt>
                <c:pt idx="62">
                  <c:v>1.411496212121212</c:v>
                </c:pt>
                <c:pt idx="63">
                  <c:v>1.411496212121212</c:v>
                </c:pt>
                <c:pt idx="64">
                  <c:v>1.411496212121212</c:v>
                </c:pt>
                <c:pt idx="65">
                  <c:v>1.411496212121212</c:v>
                </c:pt>
                <c:pt idx="66">
                  <c:v>1.411496212121212</c:v>
                </c:pt>
                <c:pt idx="67">
                  <c:v>1.411496212121212</c:v>
                </c:pt>
                <c:pt idx="68">
                  <c:v>1.411496212121212</c:v>
                </c:pt>
                <c:pt idx="69">
                  <c:v>1.411496212121212</c:v>
                </c:pt>
                <c:pt idx="70">
                  <c:v>1.411496212121212</c:v>
                </c:pt>
                <c:pt idx="71">
                  <c:v>1.411496212121212</c:v>
                </c:pt>
                <c:pt idx="72">
                  <c:v>1.411496212121212</c:v>
                </c:pt>
                <c:pt idx="73">
                  <c:v>1.411496212121212</c:v>
                </c:pt>
                <c:pt idx="74">
                  <c:v>1.411496212121212</c:v>
                </c:pt>
                <c:pt idx="75">
                  <c:v>1.411496212121212</c:v>
                </c:pt>
                <c:pt idx="76">
                  <c:v>1.411496212121212</c:v>
                </c:pt>
                <c:pt idx="77">
                  <c:v>1.411496212121212</c:v>
                </c:pt>
                <c:pt idx="78">
                  <c:v>1.411496212121212</c:v>
                </c:pt>
                <c:pt idx="79">
                  <c:v>1.411496212121212</c:v>
                </c:pt>
                <c:pt idx="80">
                  <c:v>1.411496212121212</c:v>
                </c:pt>
                <c:pt idx="81">
                  <c:v>1.411496212121212</c:v>
                </c:pt>
                <c:pt idx="82">
                  <c:v>1.411496212121212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1F8-4FE2-9752-761A9C6A0D4E}"/>
            </c:ext>
          </c:extLst>
        </c:ser>
        <c:ser>
          <c:idx val="7"/>
          <c:order val="7"/>
          <c:tx>
            <c:strRef>
              <c:f>RTC!$B$29</c:f>
              <c:strCache>
                <c:ptCount val="1"/>
                <c:pt idx="0">
                  <c:v>M.Z(fn)</c:v>
                </c:pt>
              </c:strCache>
            </c:strRef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RTC!$C$29:$CG$29</c:f>
              <c:numCache>
                <c:formatCode>General</c:formatCode>
                <c:ptCount val="8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1921.5837087114464</c:v>
                </c:pt>
                <c:pt idx="39">
                  <c:v>6.499999999999007</c:v>
                </c:pt>
                <c:pt idx="40">
                  <c:v>3.2529106029008803</c:v>
                </c:pt>
                <c:pt idx="41">
                  <c:v>2.4982667258847973</c:v>
                </c:pt>
                <c:pt idx="42">
                  <c:v>2.1257309304031207</c:v>
                </c:pt>
                <c:pt idx="43">
                  <c:v>1.8960339956097945</c:v>
                </c:pt>
                <c:pt idx="44">
                  <c:v>1.7376131616797115</c:v>
                </c:pt>
                <c:pt idx="45">
                  <c:v>1.6206354136476369</c:v>
                </c:pt>
                <c:pt idx="46">
                  <c:v>1.5301841113520063</c:v>
                </c:pt>
                <c:pt idx="47">
                  <c:v>1.4578754741100259</c:v>
                </c:pt>
                <c:pt idx="48">
                  <c:v>1.3985939180008431</c:v>
                </c:pt>
                <c:pt idx="49">
                  <c:v>1.3490213172523273</c:v>
                </c:pt>
                <c:pt idx="50">
                  <c:v>1.3069011244615849</c:v>
                </c:pt>
                <c:pt idx="51">
                  <c:v>1.2706396576782892</c:v>
                </c:pt>
                <c:pt idx="52">
                  <c:v>1.2390760932765092</c:v>
                </c:pt>
                <c:pt idx="53">
                  <c:v>1.2113428740117067</c:v>
                </c:pt>
                <c:pt idx="54">
                  <c:v>1.1867773590313537</c:v>
                </c:pt>
                <c:pt idx="55">
                  <c:v>1.1648638953701158</c:v>
                </c:pt>
                <c:pt idx="56">
                  <c:v>1.1451946731274369</c:v>
                </c:pt>
                <c:pt idx="57">
                  <c:v>1.1274425752841599</c:v>
                </c:pt>
                <c:pt idx="58">
                  <c:v>1.1113419135083229</c:v>
                </c:pt>
                <c:pt idx="59">
                  <c:v>1.0966744827478272</c:v>
                </c:pt>
                <c:pt idx="60">
                  <c:v>1.0832592849365161</c:v>
                </c:pt>
                <c:pt idx="61">
                  <c:v>1.0709448350980926</c:v>
                </c:pt>
                <c:pt idx="62">
                  <c:v>1.0596033179556184</c:v>
                </c:pt>
                <c:pt idx="63">
                  <c:v>1.0491260922331147</c:v>
                </c:pt>
                <c:pt idx="64">
                  <c:v>1.0394201909627108</c:v>
                </c:pt>
                <c:pt idx="65">
                  <c:v>1.0304055677788071</c:v>
                </c:pt>
                <c:pt idx="66">
                  <c:v>1.022012908801389</c:v>
                </c:pt>
                <c:pt idx="67">
                  <c:v>1.0141818781648655</c:v>
                </c:pt>
                <c:pt idx="68">
                  <c:v>1.0068596994765564</c:v>
                </c:pt>
                <c:pt idx="69">
                  <c:v>1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1F8-4FE2-9752-761A9C6A0D4E}"/>
            </c:ext>
          </c:extLst>
        </c:ser>
        <c:ser>
          <c:idx val="8"/>
          <c:order val="8"/>
          <c:tx>
            <c:strRef>
              <c:f>RTC!$B$31</c:f>
              <c:strCache>
                <c:ptCount val="1"/>
                <c:pt idx="0">
                  <c:v>Minf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RTC!$C$31:$CG$31</c:f>
              <c:numCache>
                <c:formatCode>General</c:formatCode>
                <c:ptCount val="83"/>
                <c:pt idx="0">
                  <c:v>0.68571428571428572</c:v>
                </c:pt>
                <c:pt idx="1">
                  <c:v>0.68571428571428572</c:v>
                </c:pt>
                <c:pt idx="2">
                  <c:v>0.68571428571428572</c:v>
                </c:pt>
                <c:pt idx="3">
                  <c:v>0.68571428571428572</c:v>
                </c:pt>
                <c:pt idx="4">
                  <c:v>0.68571428571428572</c:v>
                </c:pt>
                <c:pt idx="5">
                  <c:v>0.68571428571428572</c:v>
                </c:pt>
                <c:pt idx="6">
                  <c:v>0.68571428571428572</c:v>
                </c:pt>
                <c:pt idx="7">
                  <c:v>0.68571428571428572</c:v>
                </c:pt>
                <c:pt idx="8">
                  <c:v>0.68571428571428572</c:v>
                </c:pt>
                <c:pt idx="9">
                  <c:v>0.68571428571428572</c:v>
                </c:pt>
                <c:pt idx="10">
                  <c:v>0.68571428571428572</c:v>
                </c:pt>
                <c:pt idx="11">
                  <c:v>0.68571428571428572</c:v>
                </c:pt>
                <c:pt idx="12">
                  <c:v>0.68571428571428572</c:v>
                </c:pt>
                <c:pt idx="13">
                  <c:v>0.68571428571428572</c:v>
                </c:pt>
                <c:pt idx="14">
                  <c:v>0.68571428571428572</c:v>
                </c:pt>
                <c:pt idx="15">
                  <c:v>0.68571428571428572</c:v>
                </c:pt>
                <c:pt idx="16">
                  <c:v>0.68571428571428572</c:v>
                </c:pt>
                <c:pt idx="17">
                  <c:v>0.68571428571428572</c:v>
                </c:pt>
                <c:pt idx="18">
                  <c:v>0.68571428571428572</c:v>
                </c:pt>
                <c:pt idx="19">
                  <c:v>0.68571428571428572</c:v>
                </c:pt>
                <c:pt idx="20">
                  <c:v>0.68571428571428572</c:v>
                </c:pt>
                <c:pt idx="21">
                  <c:v>0.68571428571428572</c:v>
                </c:pt>
                <c:pt idx="22">
                  <c:v>0.68571428571428572</c:v>
                </c:pt>
                <c:pt idx="23">
                  <c:v>0.68571428571428572</c:v>
                </c:pt>
                <c:pt idx="24">
                  <c:v>0.68571428571428572</c:v>
                </c:pt>
                <c:pt idx="25">
                  <c:v>0.68571428571428572</c:v>
                </c:pt>
                <c:pt idx="26">
                  <c:v>0.68571428571428572</c:v>
                </c:pt>
                <c:pt idx="27">
                  <c:v>0.68571428571428572</c:v>
                </c:pt>
                <c:pt idx="28">
                  <c:v>0.68571428571428572</c:v>
                </c:pt>
                <c:pt idx="29">
                  <c:v>0.68571428571428572</c:v>
                </c:pt>
                <c:pt idx="30">
                  <c:v>0.68571428571428572</c:v>
                </c:pt>
                <c:pt idx="31">
                  <c:v>0.68571428571428572</c:v>
                </c:pt>
                <c:pt idx="32">
                  <c:v>0.68571428571428572</c:v>
                </c:pt>
                <c:pt idx="33">
                  <c:v>0.68571428571428572</c:v>
                </c:pt>
                <c:pt idx="34">
                  <c:v>0.68571428571428572</c:v>
                </c:pt>
                <c:pt idx="35">
                  <c:v>0.68571428571428572</c:v>
                </c:pt>
                <c:pt idx="36">
                  <c:v>0.68571428571428572</c:v>
                </c:pt>
                <c:pt idx="37">
                  <c:v>0.68571428571428572</c:v>
                </c:pt>
                <c:pt idx="38">
                  <c:v>0.68571428571428572</c:v>
                </c:pt>
                <c:pt idx="39">
                  <c:v>0.68571428571428572</c:v>
                </c:pt>
                <c:pt idx="40">
                  <c:v>0.68571428571428572</c:v>
                </c:pt>
                <c:pt idx="41">
                  <c:v>0.68571428571428572</c:v>
                </c:pt>
                <c:pt idx="42">
                  <c:v>0.68571428571428572</c:v>
                </c:pt>
                <c:pt idx="43">
                  <c:v>0.68571428571428572</c:v>
                </c:pt>
                <c:pt idx="44">
                  <c:v>0.68571428571428572</c:v>
                </c:pt>
                <c:pt idx="45">
                  <c:v>0.68571428571428572</c:v>
                </c:pt>
                <c:pt idx="46">
                  <c:v>0.68571428571428572</c:v>
                </c:pt>
                <c:pt idx="47">
                  <c:v>0.68571428571428572</c:v>
                </c:pt>
                <c:pt idx="48">
                  <c:v>0.68571428571428572</c:v>
                </c:pt>
                <c:pt idx="49">
                  <c:v>0.68571428571428572</c:v>
                </c:pt>
                <c:pt idx="50">
                  <c:v>0.68571428571428572</c:v>
                </c:pt>
                <c:pt idx="51">
                  <c:v>0.68571428571428572</c:v>
                </c:pt>
                <c:pt idx="52">
                  <c:v>0.68571428571428572</c:v>
                </c:pt>
                <c:pt idx="53">
                  <c:v>0.68571428571428572</c:v>
                </c:pt>
                <c:pt idx="54">
                  <c:v>0.68571428571428572</c:v>
                </c:pt>
                <c:pt idx="55">
                  <c:v>0.68571428571428572</c:v>
                </c:pt>
                <c:pt idx="56">
                  <c:v>0.68571428571428572</c:v>
                </c:pt>
                <c:pt idx="57">
                  <c:v>0.68571428571428572</c:v>
                </c:pt>
                <c:pt idx="58">
                  <c:v>0.68571428571428572</c:v>
                </c:pt>
                <c:pt idx="59">
                  <c:v>0.68571428571428572</c:v>
                </c:pt>
                <c:pt idx="60">
                  <c:v>0.68571428571428572</c:v>
                </c:pt>
                <c:pt idx="61">
                  <c:v>0.68571428571428572</c:v>
                </c:pt>
                <c:pt idx="62">
                  <c:v>0.68571428571428572</c:v>
                </c:pt>
                <c:pt idx="63">
                  <c:v>0.68571428571428572</c:v>
                </c:pt>
                <c:pt idx="64">
                  <c:v>0.68571428571428572</c:v>
                </c:pt>
                <c:pt idx="65">
                  <c:v>0.68571428571428572</c:v>
                </c:pt>
                <c:pt idx="66">
                  <c:v>0.68571428571428572</c:v>
                </c:pt>
                <c:pt idx="67">
                  <c:v>0.68571428571428572</c:v>
                </c:pt>
                <c:pt idx="68">
                  <c:v>0.68571428571428572</c:v>
                </c:pt>
                <c:pt idx="69">
                  <c:v>0.68571428571428572</c:v>
                </c:pt>
                <c:pt idx="70">
                  <c:v>0.68571428571428572</c:v>
                </c:pt>
                <c:pt idx="71">
                  <c:v>0.68571428571428572</c:v>
                </c:pt>
                <c:pt idx="72">
                  <c:v>0.68571428571428572</c:v>
                </c:pt>
                <c:pt idx="73">
                  <c:v>0.68571428571428572</c:v>
                </c:pt>
                <c:pt idx="74">
                  <c:v>0.68571428571428572</c:v>
                </c:pt>
                <c:pt idx="75">
                  <c:v>0.68571428571428572</c:v>
                </c:pt>
                <c:pt idx="76">
                  <c:v>0.68571428571428572</c:v>
                </c:pt>
                <c:pt idx="77">
                  <c:v>0.68571428571428572</c:v>
                </c:pt>
                <c:pt idx="78">
                  <c:v>0.68571428571428572</c:v>
                </c:pt>
                <c:pt idx="79">
                  <c:v>0.68571428571428572</c:v>
                </c:pt>
                <c:pt idx="80">
                  <c:v>0.68571428571428572</c:v>
                </c:pt>
                <c:pt idx="81">
                  <c:v>0.68571428571428572</c:v>
                </c:pt>
                <c:pt idx="82">
                  <c:v>0.68571428571428572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1F8-4FE2-9752-761A9C6A0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431"/>
        <c:axId val="1407976511"/>
      </c:scatterChart>
      <c:valAx>
        <c:axId val="1407978431"/>
        <c:scaling>
          <c:orientation val="minMax"/>
          <c:max val="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fn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6511"/>
        <c:crosses val="autoZero"/>
        <c:crossBetween val="midCat"/>
        <c:majorUnit val="1"/>
        <c:minorUnit val="1"/>
      </c:valAx>
      <c:valAx>
        <c:axId val="1407976511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Required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8431"/>
        <c:crosses val="autoZero"/>
        <c:crossBetween val="midCat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521611350258314"/>
          <c:y val="0.16914286715838636"/>
          <c:w val="0.26779254848536477"/>
          <c:h val="0.4208069750739368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5.9230971128608922E-2"/>
                  <c:y val="0.167932706328375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RTC!$CI$150:$CI$154</c:f>
              <c:numCache>
                <c:formatCode>General</c:formatCode>
                <c:ptCount val="5"/>
                <c:pt idx="0">
                  <c:v>0.78500000000000003</c:v>
                </c:pt>
                <c:pt idx="1">
                  <c:v>1.0466666666666666</c:v>
                </c:pt>
                <c:pt idx="2">
                  <c:v>1.57</c:v>
                </c:pt>
                <c:pt idx="3">
                  <c:v>2.0933333333333333</c:v>
                </c:pt>
                <c:pt idx="4">
                  <c:v>2.355</c:v>
                </c:pt>
              </c:numCache>
            </c:numRef>
          </c:xVal>
          <c:yVal>
            <c:numRef>
              <c:f>RTC!$CJ$150:$CJ$154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0.71014492753623282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1A-47F0-92E3-61BC0816F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934191"/>
        <c:axId val="407933231"/>
      </c:scatterChart>
      <c:valAx>
        <c:axId val="407934191"/>
        <c:scaling>
          <c:orientation val="minMax"/>
          <c:max val="3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933231"/>
        <c:crosses val="autoZero"/>
        <c:crossBetween val="midCat"/>
      </c:valAx>
      <c:valAx>
        <c:axId val="40793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934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Gain curve vs Minimum Required Gain for PFC </a:t>
            </a:r>
            <a:r>
              <a:rPr lang="en-US" sz="1400"/>
              <a:t>regulation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@Vin_min- 100% Load</a:t>
            </a:r>
            <a:endParaRPr lang="el-GR" sz="1400"/>
          </a:p>
        </c:rich>
      </c:tx>
      <c:layout>
        <c:manualLayout>
          <c:xMode val="edge"/>
          <c:yMode val="edge"/>
          <c:x val="0.16144385855423607"/>
          <c:y val="2.3272468193682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537278270281668"/>
          <c:y val="0.14180179759007025"/>
          <c:w val="0.82634951881014873"/>
          <c:h val="0.73685758765226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RTC!$B$28</c:f>
              <c:strCache>
                <c:ptCount val="1"/>
                <c:pt idx="0">
                  <c:v>M.OL(fn)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RTC!$C$28:$CG$28</c:f>
              <c:numCache>
                <c:formatCode>General</c:formatCode>
                <c:ptCount val="83"/>
                <c:pt idx="0">
                  <c:v>2.1818182512396718E-8</c:v>
                </c:pt>
                <c:pt idx="1">
                  <c:v>1.2886419367458453E-3</c:v>
                </c:pt>
                <c:pt idx="2">
                  <c:v>3.2957540508757933E-3</c:v>
                </c:pt>
                <c:pt idx="3">
                  <c:v>6.2466838217803949E-3</c:v>
                </c:pt>
                <c:pt idx="4">
                  <c:v>1.0165634844491057E-2</c:v>
                </c:pt>
                <c:pt idx="5">
                  <c:v>1.5085230808885637E-2</c:v>
                </c:pt>
                <c:pt idx="6">
                  <c:v>2.104720710419164E-2</c:v>
                </c:pt>
                <c:pt idx="7">
                  <c:v>2.8103319587713758E-2</c:v>
                </c:pt>
                <c:pt idx="8">
                  <c:v>3.6316508449383139E-2</c:v>
                </c:pt>
                <c:pt idx="9">
                  <c:v>4.5762367743434479E-2</c:v>
                </c:pt>
                <c:pt idx="10">
                  <c:v>5.6530987448607108E-2</c:v>
                </c:pt>
                <c:pt idx="11">
                  <c:v>6.8729256295102084E-2</c:v>
                </c:pt>
                <c:pt idx="12">
                  <c:v>8.2483742085161724E-2</c:v>
                </c:pt>
                <c:pt idx="13">
                  <c:v>9.7944304735298124E-2</c:v>
                </c:pt>
                <c:pt idx="14">
                  <c:v>0.11528864999952876</c:v>
                </c:pt>
                <c:pt idx="15">
                  <c:v>0.1347281050187448</c:v>
                </c:pt>
                <c:pt idx="16">
                  <c:v>0.15651499980883612</c:v>
                </c:pt>
                <c:pt idx="17">
                  <c:v>0.18095218575415503</c:v>
                </c:pt>
                <c:pt idx="18">
                  <c:v>0.20840543512238516</c:v>
                </c:pt>
                <c:pt idx="19">
                  <c:v>0.23931977930378859</c:v>
                </c:pt>
                <c:pt idx="20">
                  <c:v>0.27424131386312434</c:v>
                </c:pt>
                <c:pt idx="21">
                  <c:v>0.31384671772931005</c:v>
                </c:pt>
                <c:pt idx="22">
                  <c:v>0.3589838574142431</c:v>
                </c:pt>
                <c:pt idx="23">
                  <c:v>0.41072864448862639</c:v>
                </c:pt>
                <c:pt idx="24">
                  <c:v>0.47046626668653735</c:v>
                </c:pt>
                <c:pt idx="25">
                  <c:v>0.54000990781304037</c:v>
                </c:pt>
                <c:pt idx="26">
                  <c:v>0.62177881033586746</c:v>
                </c:pt>
                <c:pt idx="27">
                  <c:v>0.71907341857608231</c:v>
                </c:pt>
                <c:pt idx="28">
                  <c:v>0.83651551018079373</c:v>
                </c:pt>
                <c:pt idx="29">
                  <c:v>0.98078153994784389</c:v>
                </c:pt>
                <c:pt idx="30">
                  <c:v>1.1618855338834528</c:v>
                </c:pt>
                <c:pt idx="31">
                  <c:v>1.3955605407023011</c:v>
                </c:pt>
                <c:pt idx="32">
                  <c:v>1.70801881699095</c:v>
                </c:pt>
                <c:pt idx="33">
                  <c:v>2.1464163817304032</c:v>
                </c:pt>
                <c:pt idx="34">
                  <c:v>2.8049873938594398</c:v>
                </c:pt>
                <c:pt idx="35">
                  <c:v>3.9033273688464369</c:v>
                </c:pt>
                <c:pt idx="36">
                  <c:v>6.098718634915044</c:v>
                </c:pt>
                <c:pt idx="37">
                  <c:v>12.659566924581251</c:v>
                </c:pt>
                <c:pt idx="38">
                  <c:v>1921.5837087114464</c:v>
                </c:pt>
                <c:pt idx="39">
                  <c:v>42.249999999987104</c:v>
                </c:pt>
                <c:pt idx="40">
                  <c:v>10.581427390464974</c:v>
                </c:pt>
                <c:pt idx="41">
                  <c:v>6.2413366336631526</c:v>
                </c:pt>
                <c:pt idx="42">
                  <c:v>4.5187319884725161</c:v>
                </c:pt>
                <c:pt idx="43">
                  <c:v>3.5949449125080415</c:v>
                </c:pt>
                <c:pt idx="44">
                  <c:v>3.0192994996425648</c:v>
                </c:pt>
                <c:pt idx="45">
                  <c:v>2.6264591439688467</c:v>
                </c:pt>
                <c:pt idx="46">
                  <c:v>2.3414634146341284</c:v>
                </c:pt>
                <c:pt idx="47">
                  <c:v>2.1254008980115326</c:v>
                </c:pt>
                <c:pt idx="48">
                  <c:v>1.9560649474689491</c:v>
                </c:pt>
                <c:pt idx="49">
                  <c:v>1.8198585144012047</c:v>
                </c:pt>
                <c:pt idx="50">
                  <c:v>1.7079905491189553</c:v>
                </c:pt>
                <c:pt idx="51">
                  <c:v>1.6145251396647997</c:v>
                </c:pt>
                <c:pt idx="52">
                  <c:v>1.5353095649293769</c:v>
                </c:pt>
                <c:pt idx="53">
                  <c:v>1.4673515584189416</c:v>
                </c:pt>
                <c:pt idx="54">
                  <c:v>1.4084404999094342</c:v>
                </c:pt>
                <c:pt idx="55">
                  <c:v>1.35690789473684</c:v>
                </c:pt>
                <c:pt idx="56">
                  <c:v>1.3114708393594574</c:v>
                </c:pt>
                <c:pt idx="57">
                  <c:v>1.2711267605633787</c:v>
                </c:pt>
                <c:pt idx="58">
                  <c:v>1.2350808487203404</c:v>
                </c:pt>
                <c:pt idx="59">
                  <c:v>1.2026949211102145</c:v>
                </c:pt>
                <c:pt idx="60">
                  <c:v>1.1734506784011727</c:v>
                </c:pt>
                <c:pt idx="61">
                  <c:v>1.1469228398232809</c:v>
                </c:pt>
                <c:pt idx="62">
                  <c:v>1.1227591914225556</c:v>
                </c:pt>
                <c:pt idx="63">
                  <c:v>1.1006655574043258</c:v>
                </c:pt>
                <c:pt idx="64">
                  <c:v>1.080394333380958</c:v>
                </c:pt>
                <c:pt idx="65">
                  <c:v>1.0617356341095658</c:v>
                </c:pt>
                <c:pt idx="66">
                  <c:v>1.0445103857566764</c:v>
                </c:pt>
                <c:pt idx="67">
                  <c:v>1.0285648819980142</c:v>
                </c:pt>
                <c:pt idx="68">
                  <c:v>1.0137664544300213</c:v>
                </c:pt>
                <c:pt idx="69">
                  <c:v>1</c:v>
                </c:pt>
                <c:pt idx="70">
                  <c:v>0.96756638701644149</c:v>
                </c:pt>
                <c:pt idx="71">
                  <c:v>0.94029649207737387</c:v>
                </c:pt>
                <c:pt idx="72">
                  <c:v>0.9170912797089299</c:v>
                </c:pt>
                <c:pt idx="73">
                  <c:v>0.89713972557044763</c:v>
                </c:pt>
                <c:pt idx="74">
                  <c:v>0.87983058019429439</c:v>
                </c:pt>
                <c:pt idx="75">
                  <c:v>0.86469466359597535</c:v>
                </c:pt>
                <c:pt idx="76">
                  <c:v>0.85136604264766635</c:v>
                </c:pt>
                <c:pt idx="77">
                  <c:v>0.83955525874231718</c:v>
                </c:pt>
                <c:pt idx="78">
                  <c:v>0.82903045930975283</c:v>
                </c:pt>
                <c:pt idx="79">
                  <c:v>0.81960384055727298</c:v>
                </c:pt>
                <c:pt idx="80">
                  <c:v>0.81112173694104106</c:v>
                </c:pt>
                <c:pt idx="81">
                  <c:v>0.80345726326884537</c:v>
                </c:pt>
                <c:pt idx="82">
                  <c:v>0.7965047748976446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B8-4D03-B96C-85783B0FE3CA}"/>
            </c:ext>
          </c:extLst>
        </c:ser>
        <c:ser>
          <c:idx val="1"/>
          <c:order val="1"/>
          <c:tx>
            <c:strRef>
              <c:f>RTC!$B$47</c:f>
              <c:strCache>
                <c:ptCount val="1"/>
                <c:pt idx="0">
                  <c:v>M(fn,Po,π/2)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RTC!$C$47:$CG$47</c:f>
              <c:numCache>
                <c:formatCode>General</c:formatCode>
                <c:ptCount val="83"/>
                <c:pt idx="0">
                  <c:v>2.1818182382492675E-8</c:v>
                </c:pt>
                <c:pt idx="1">
                  <c:v>1.2881887010930794E-3</c:v>
                </c:pt>
                <c:pt idx="2">
                  <c:v>3.2927886442313385E-3</c:v>
                </c:pt>
                <c:pt idx="3">
                  <c:v>6.2360266346062031E-3</c:v>
                </c:pt>
                <c:pt idx="4">
                  <c:v>1.0137396704165301E-2</c:v>
                </c:pt>
                <c:pt idx="5">
                  <c:v>1.5023007895528954E-2</c:v>
                </c:pt>
                <c:pt idx="6">
                  <c:v>2.0925987778792478E-2</c:v>
                </c:pt>
                <c:pt idx="7">
                  <c:v>2.7887001276361342E-2</c:v>
                </c:pt>
                <c:pt idx="8">
                  <c:v>3.5954897539339017E-2</c:v>
                </c:pt>
                <c:pt idx="9">
                  <c:v>4.5187500817546217E-2</c:v>
                </c:pt>
                <c:pt idx="10">
                  <c:v>5.5652564835327163E-2</c:v>
                </c:pt>
                <c:pt idx="11">
                  <c:v>6.7428914152122668E-2</c:v>
                </c:pt>
                <c:pt idx="12">
                  <c:v>8.0607800331455051E-2</c:v>
                </c:pt>
                <c:pt idx="13">
                  <c:v>9.5294505365001059E-2</c:v>
                </c:pt>
                <c:pt idx="14">
                  <c:v>0.11161022945863958</c:v>
                </c:pt>
                <c:pt idx="15">
                  <c:v>0.12969430450041747</c:v>
                </c:pt>
                <c:pt idx="16">
                  <c:v>0.14970677740192706</c:v>
                </c:pt>
                <c:pt idx="17">
                  <c:v>0.17183140745740369</c:v>
                </c:pt>
                <c:pt idx="18">
                  <c:v>0.19627911619524036</c:v>
                </c:pt>
                <c:pt idx="19">
                  <c:v>0.22329191235764032</c:v>
                </c:pt>
                <c:pt idx="20">
                  <c:v>0.25314728109657647</c:v>
                </c:pt>
                <c:pt idx="21">
                  <c:v>0.28616296286546417</c:v>
                </c:pt>
                <c:pt idx="22">
                  <c:v>0.32270193381356715</c:v>
                </c:pt>
                <c:pt idx="23">
                  <c:v>0.36317720380577329</c:v>
                </c:pt>
                <c:pt idx="24">
                  <c:v>0.40805572039200749</c:v>
                </c:pt>
                <c:pt idx="25">
                  <c:v>0.45786013065995684</c:v>
                </c:pt>
                <c:pt idx="26">
                  <c:v>0.51316629609248432</c:v>
                </c:pt>
                <c:pt idx="27">
                  <c:v>0.57459312657902117</c:v>
                </c:pt>
                <c:pt idx="28">
                  <c:v>0.64277932160959372</c:v>
                </c:pt>
                <c:pt idx="29">
                  <c:v>0.71833884691119299</c:v>
                </c:pt>
                <c:pt idx="30">
                  <c:v>0.80178354597124124</c:v>
                </c:pt>
                <c:pt idx="31">
                  <c:v>0.89339801137383779</c:v>
                </c:pt>
                <c:pt idx="32">
                  <c:v>0.99305115057053139</c:v>
                </c:pt>
                <c:pt idx="33">
                  <c:v>1.0999361156437204</c:v>
                </c:pt>
                <c:pt idx="34">
                  <c:v>1.2122544795938535</c:v>
                </c:pt>
                <c:pt idx="35">
                  <c:v>1.3269116345880969</c:v>
                </c:pt>
                <c:pt idx="36">
                  <c:v>1.4393666612797296</c:v>
                </c:pt>
                <c:pt idx="37">
                  <c:v>1.5438437181055409</c:v>
                </c:pt>
                <c:pt idx="38">
                  <c:v>1.634075089047597</c:v>
                </c:pt>
                <c:pt idx="39">
                  <c:v>1.6593385553953328</c:v>
                </c:pt>
                <c:pt idx="40">
                  <c:v>1.7224809596753172</c:v>
                </c:pt>
                <c:pt idx="41">
                  <c:v>1.7617858065342098</c:v>
                </c:pt>
                <c:pt idx="42">
                  <c:v>1.7775007606476596</c:v>
                </c:pt>
                <c:pt idx="43">
                  <c:v>1.7723770936820213</c:v>
                </c:pt>
                <c:pt idx="44">
                  <c:v>1.7506688032071991</c:v>
                </c:pt>
                <c:pt idx="45">
                  <c:v>1.7170352094878036</c:v>
                </c:pt>
                <c:pt idx="46">
                  <c:v>1.6757354437264311</c:v>
                </c:pt>
                <c:pt idx="47">
                  <c:v>1.6302254633798372</c:v>
                </c:pt>
                <c:pt idx="48">
                  <c:v>1.5830741957458498</c:v>
                </c:pt>
                <c:pt idx="49">
                  <c:v>1.5360596375513149</c:v>
                </c:pt>
                <c:pt idx="50">
                  <c:v>1.4903324554146884</c:v>
                </c:pt>
                <c:pt idx="51">
                  <c:v>1.446581713956461</c:v>
                </c:pt>
                <c:pt idx="52">
                  <c:v>1.4051745142564538</c:v>
                </c:pt>
                <c:pt idx="53">
                  <c:v>1.3662628198799427</c:v>
                </c:pt>
                <c:pt idx="54">
                  <c:v>1.329860503810347</c:v>
                </c:pt>
                <c:pt idx="55">
                  <c:v>1.2958967576600455</c:v>
                </c:pt>
                <c:pt idx="56">
                  <c:v>1.2642520414530216</c:v>
                </c:pt>
                <c:pt idx="57">
                  <c:v>1.2347816882910965</c:v>
                </c:pt>
                <c:pt idx="58">
                  <c:v>1.2073310266874606</c:v>
                </c:pt>
                <c:pt idx="59">
                  <c:v>1.1817447922027622</c:v>
                </c:pt>
                <c:pt idx="60">
                  <c:v>1.1578727557635651</c:v>
                </c:pt>
                <c:pt idx="61">
                  <c:v>1.1355728820271946</c:v>
                </c:pt>
                <c:pt idx="62">
                  <c:v>1.1147129003379874</c:v>
                </c:pt>
                <c:pt idx="63">
                  <c:v>1.0951708751382412</c:v>
                </c:pt>
                <c:pt idx="64">
                  <c:v>1.0768351626045636</c:v>
                </c:pt>
                <c:pt idx="65">
                  <c:v>1.0596040061373857</c:v>
                </c:pt>
                <c:pt idx="66">
                  <c:v>1.0433849339971508</c:v>
                </c:pt>
                <c:pt idx="67">
                  <c:v>1.0280940632015909</c:v>
                </c:pt>
                <c:pt idx="68">
                  <c:v>1.0136553747908899</c:v>
                </c:pt>
                <c:pt idx="69">
                  <c:v>1</c:v>
                </c:pt>
                <c:pt idx="70">
                  <c:v>0.96691322680906977</c:v>
                </c:pt>
                <c:pt idx="71">
                  <c:v>0.93798852959219836</c:v>
                </c:pt>
                <c:pt idx="72">
                  <c:v>0.91245116941174087</c:v>
                </c:pt>
                <c:pt idx="73">
                  <c:v>0.88969658878492341</c:v>
                </c:pt>
                <c:pt idx="74">
                  <c:v>0.86924871266921189</c:v>
                </c:pt>
                <c:pt idx="75">
                  <c:v>0.85072914348639261</c:v>
                </c:pt>
                <c:pt idx="76">
                  <c:v>0.83383437970660179</c:v>
                </c:pt>
                <c:pt idx="77">
                  <c:v>0.81831887609351994</c:v>
                </c:pt>
                <c:pt idx="78">
                  <c:v>0.80398235120407913</c:v>
                </c:pt>
                <c:pt idx="79">
                  <c:v>0.7906601946781564</c:v>
                </c:pt>
                <c:pt idx="80">
                  <c:v>0.77821615163793834</c:v>
                </c:pt>
                <c:pt idx="81">
                  <c:v>0.76653669311334505</c:v>
                </c:pt>
                <c:pt idx="82">
                  <c:v>0.75552664554189064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B8-4D03-B96C-85783B0FE3CA}"/>
            </c:ext>
          </c:extLst>
        </c:ser>
        <c:ser>
          <c:idx val="4"/>
          <c:order val="2"/>
          <c:tx>
            <c:strRef>
              <c:f>RTC!$B$53</c:f>
              <c:strCache>
                <c:ptCount val="1"/>
                <c:pt idx="0">
                  <c:v>Mreq(Vin_min, Vout,π/2 )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RTC!$C$53:$CG$53</c:f>
              <c:numCache>
                <c:formatCode>General</c:formatCode>
                <c:ptCount val="83"/>
                <c:pt idx="0">
                  <c:v>1.5209591835918568</c:v>
                </c:pt>
                <c:pt idx="1">
                  <c:v>1.5209591835918568</c:v>
                </c:pt>
                <c:pt idx="2">
                  <c:v>1.5209591835918568</c:v>
                </c:pt>
                <c:pt idx="3">
                  <c:v>1.5209591835918568</c:v>
                </c:pt>
                <c:pt idx="4">
                  <c:v>1.5209591835918568</c:v>
                </c:pt>
                <c:pt idx="5">
                  <c:v>1.5209591835918568</c:v>
                </c:pt>
                <c:pt idx="6">
                  <c:v>1.5209591835918568</c:v>
                </c:pt>
                <c:pt idx="7">
                  <c:v>1.5209591835918568</c:v>
                </c:pt>
                <c:pt idx="8">
                  <c:v>1.5209591835918568</c:v>
                </c:pt>
                <c:pt idx="9">
                  <c:v>1.5209591835918568</c:v>
                </c:pt>
                <c:pt idx="10">
                  <c:v>1.5209591835918568</c:v>
                </c:pt>
                <c:pt idx="11">
                  <c:v>1.5209591835918568</c:v>
                </c:pt>
                <c:pt idx="12">
                  <c:v>1.5209591835918568</c:v>
                </c:pt>
                <c:pt idx="13">
                  <c:v>1.5209591835918568</c:v>
                </c:pt>
                <c:pt idx="14">
                  <c:v>1.5209591835918568</c:v>
                </c:pt>
                <c:pt idx="15">
                  <c:v>1.5209591835918568</c:v>
                </c:pt>
                <c:pt idx="16">
                  <c:v>1.5209591835918568</c:v>
                </c:pt>
                <c:pt idx="17">
                  <c:v>1.5209591835918568</c:v>
                </c:pt>
                <c:pt idx="18">
                  <c:v>1.5209591835918568</c:v>
                </c:pt>
                <c:pt idx="19">
                  <c:v>1.5209591835918568</c:v>
                </c:pt>
                <c:pt idx="20">
                  <c:v>1.5209591835918568</c:v>
                </c:pt>
                <c:pt idx="21">
                  <c:v>1.5209591835918568</c:v>
                </c:pt>
                <c:pt idx="22">
                  <c:v>1.5209591835918568</c:v>
                </c:pt>
                <c:pt idx="23">
                  <c:v>1.5209591835918568</c:v>
                </c:pt>
                <c:pt idx="24">
                  <c:v>1.5209591835918568</c:v>
                </c:pt>
                <c:pt idx="25">
                  <c:v>1.5209591835918568</c:v>
                </c:pt>
                <c:pt idx="26">
                  <c:v>1.5209591835918568</c:v>
                </c:pt>
                <c:pt idx="27">
                  <c:v>1.5209591835918568</c:v>
                </c:pt>
                <c:pt idx="28">
                  <c:v>1.5209591835918568</c:v>
                </c:pt>
                <c:pt idx="29">
                  <c:v>1.5209591835918568</c:v>
                </c:pt>
                <c:pt idx="30">
                  <c:v>1.5209591835918568</c:v>
                </c:pt>
                <c:pt idx="31">
                  <c:v>1.5209591835918568</c:v>
                </c:pt>
                <c:pt idx="32">
                  <c:v>1.5209591835918568</c:v>
                </c:pt>
                <c:pt idx="33">
                  <c:v>1.5209591835918568</c:v>
                </c:pt>
                <c:pt idx="34">
                  <c:v>1.5209591835918568</c:v>
                </c:pt>
                <c:pt idx="35">
                  <c:v>1.5209591835918568</c:v>
                </c:pt>
                <c:pt idx="36">
                  <c:v>1.5209591835918568</c:v>
                </c:pt>
                <c:pt idx="37">
                  <c:v>1.5209591835918568</c:v>
                </c:pt>
                <c:pt idx="38">
                  <c:v>1.5209591835918568</c:v>
                </c:pt>
                <c:pt idx="39">
                  <c:v>1.5209591835918568</c:v>
                </c:pt>
                <c:pt idx="40">
                  <c:v>1.5209591835918568</c:v>
                </c:pt>
                <c:pt idx="41">
                  <c:v>1.5209591835918568</c:v>
                </c:pt>
                <c:pt idx="42">
                  <c:v>1.5209591835918568</c:v>
                </c:pt>
                <c:pt idx="43">
                  <c:v>1.5209591835918568</c:v>
                </c:pt>
                <c:pt idx="44">
                  <c:v>1.5209591835918568</c:v>
                </c:pt>
                <c:pt idx="45">
                  <c:v>1.5209591835918568</c:v>
                </c:pt>
                <c:pt idx="46">
                  <c:v>1.5209591835918568</c:v>
                </c:pt>
                <c:pt idx="47">
                  <c:v>1.5209591835918568</c:v>
                </c:pt>
                <c:pt idx="48">
                  <c:v>1.5209591835918568</c:v>
                </c:pt>
                <c:pt idx="49">
                  <c:v>1.5209591835918568</c:v>
                </c:pt>
                <c:pt idx="50">
                  <c:v>1.5209591835918568</c:v>
                </c:pt>
                <c:pt idx="51">
                  <c:v>1.5209591835918568</c:v>
                </c:pt>
                <c:pt idx="52">
                  <c:v>1.5209591835918568</c:v>
                </c:pt>
                <c:pt idx="53">
                  <c:v>1.5209591835918568</c:v>
                </c:pt>
                <c:pt idx="54">
                  <c:v>1.5209591835918568</c:v>
                </c:pt>
                <c:pt idx="55">
                  <c:v>1.5209591835918568</c:v>
                </c:pt>
                <c:pt idx="56">
                  <c:v>1.5209591835918568</c:v>
                </c:pt>
                <c:pt idx="57">
                  <c:v>1.5209591835918568</c:v>
                </c:pt>
                <c:pt idx="58">
                  <c:v>1.5209591835918568</c:v>
                </c:pt>
                <c:pt idx="59">
                  <c:v>1.5209591835918568</c:v>
                </c:pt>
                <c:pt idx="60">
                  <c:v>1.5209591835918568</c:v>
                </c:pt>
                <c:pt idx="61">
                  <c:v>1.5209591835918568</c:v>
                </c:pt>
                <c:pt idx="62">
                  <c:v>1.5209591835918568</c:v>
                </c:pt>
                <c:pt idx="63">
                  <c:v>1.5209591835918568</c:v>
                </c:pt>
                <c:pt idx="64">
                  <c:v>1.5209591835918568</c:v>
                </c:pt>
                <c:pt idx="65">
                  <c:v>1.5209591835918568</c:v>
                </c:pt>
                <c:pt idx="66">
                  <c:v>1.5209591835918568</c:v>
                </c:pt>
                <c:pt idx="67">
                  <c:v>1.5209591835918568</c:v>
                </c:pt>
                <c:pt idx="68">
                  <c:v>1.5209591835918568</c:v>
                </c:pt>
                <c:pt idx="69">
                  <c:v>1.5209591835918568</c:v>
                </c:pt>
                <c:pt idx="70">
                  <c:v>1.5209591835918568</c:v>
                </c:pt>
                <c:pt idx="71">
                  <c:v>1.5209591835918568</c:v>
                </c:pt>
                <c:pt idx="72">
                  <c:v>1.5209591835918568</c:v>
                </c:pt>
                <c:pt idx="73">
                  <c:v>1.5209591835918568</c:v>
                </c:pt>
                <c:pt idx="74">
                  <c:v>1.5209591835918568</c:v>
                </c:pt>
                <c:pt idx="75">
                  <c:v>1.5209591835918568</c:v>
                </c:pt>
                <c:pt idx="76">
                  <c:v>1.5209591835918568</c:v>
                </c:pt>
                <c:pt idx="77">
                  <c:v>1.5209591835918568</c:v>
                </c:pt>
                <c:pt idx="78">
                  <c:v>1.5209591835918568</c:v>
                </c:pt>
                <c:pt idx="79">
                  <c:v>1.5209591835918568</c:v>
                </c:pt>
                <c:pt idx="80">
                  <c:v>1.5209591835918568</c:v>
                </c:pt>
                <c:pt idx="81">
                  <c:v>1.5209591835918568</c:v>
                </c:pt>
                <c:pt idx="82">
                  <c:v>1.5209591835918568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EB8-4D03-B96C-85783B0FE3CA}"/>
            </c:ext>
          </c:extLst>
        </c:ser>
        <c:ser>
          <c:idx val="7"/>
          <c:order val="3"/>
          <c:tx>
            <c:strRef>
              <c:f>RTC!$B$29</c:f>
              <c:strCache>
                <c:ptCount val="1"/>
                <c:pt idx="0">
                  <c:v>M.Z(fn)</c:v>
                </c:pt>
              </c:strCache>
            </c:strRef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RTC!$C$29:$CG$29</c:f>
              <c:numCache>
                <c:formatCode>General</c:formatCode>
                <c:ptCount val="8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1921.5837087114464</c:v>
                </c:pt>
                <c:pt idx="39">
                  <c:v>6.499999999999007</c:v>
                </c:pt>
                <c:pt idx="40">
                  <c:v>3.2529106029008803</c:v>
                </c:pt>
                <c:pt idx="41">
                  <c:v>2.4982667258847973</c:v>
                </c:pt>
                <c:pt idx="42">
                  <c:v>2.1257309304031207</c:v>
                </c:pt>
                <c:pt idx="43">
                  <c:v>1.8960339956097945</c:v>
                </c:pt>
                <c:pt idx="44">
                  <c:v>1.7376131616797115</c:v>
                </c:pt>
                <c:pt idx="45">
                  <c:v>1.6206354136476369</c:v>
                </c:pt>
                <c:pt idx="46">
                  <c:v>1.5301841113520063</c:v>
                </c:pt>
                <c:pt idx="47">
                  <c:v>1.4578754741100259</c:v>
                </c:pt>
                <c:pt idx="48">
                  <c:v>1.3985939180008431</c:v>
                </c:pt>
                <c:pt idx="49">
                  <c:v>1.3490213172523273</c:v>
                </c:pt>
                <c:pt idx="50">
                  <c:v>1.3069011244615849</c:v>
                </c:pt>
                <c:pt idx="51">
                  <c:v>1.2706396576782892</c:v>
                </c:pt>
                <c:pt idx="52">
                  <c:v>1.2390760932765092</c:v>
                </c:pt>
                <c:pt idx="53">
                  <c:v>1.2113428740117067</c:v>
                </c:pt>
                <c:pt idx="54">
                  <c:v>1.1867773590313537</c:v>
                </c:pt>
                <c:pt idx="55">
                  <c:v>1.1648638953701158</c:v>
                </c:pt>
                <c:pt idx="56">
                  <c:v>1.1451946731274369</c:v>
                </c:pt>
                <c:pt idx="57">
                  <c:v>1.1274425752841599</c:v>
                </c:pt>
                <c:pt idx="58">
                  <c:v>1.1113419135083229</c:v>
                </c:pt>
                <c:pt idx="59">
                  <c:v>1.0966744827478272</c:v>
                </c:pt>
                <c:pt idx="60">
                  <c:v>1.0832592849365161</c:v>
                </c:pt>
                <c:pt idx="61">
                  <c:v>1.0709448350980926</c:v>
                </c:pt>
                <c:pt idx="62">
                  <c:v>1.0596033179556184</c:v>
                </c:pt>
                <c:pt idx="63">
                  <c:v>1.0491260922331147</c:v>
                </c:pt>
                <c:pt idx="64">
                  <c:v>1.0394201909627108</c:v>
                </c:pt>
                <c:pt idx="65">
                  <c:v>1.0304055677788071</c:v>
                </c:pt>
                <c:pt idx="66">
                  <c:v>1.022012908801389</c:v>
                </c:pt>
                <c:pt idx="67">
                  <c:v>1.0141818781648655</c:v>
                </c:pt>
                <c:pt idx="68">
                  <c:v>1.0068596994765564</c:v>
                </c:pt>
                <c:pt idx="69">
                  <c:v>1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EB8-4D03-B96C-85783B0FE3CA}"/>
            </c:ext>
          </c:extLst>
        </c:ser>
        <c:ser>
          <c:idx val="8"/>
          <c:order val="4"/>
          <c:tx>
            <c:strRef>
              <c:f>RTC!$B$31</c:f>
              <c:strCache>
                <c:ptCount val="1"/>
                <c:pt idx="0">
                  <c:v>Minf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RTC!$C$31:$CG$31</c:f>
              <c:numCache>
                <c:formatCode>General</c:formatCode>
                <c:ptCount val="83"/>
                <c:pt idx="0">
                  <c:v>0.68571428571428572</c:v>
                </c:pt>
                <c:pt idx="1">
                  <c:v>0.68571428571428572</c:v>
                </c:pt>
                <c:pt idx="2">
                  <c:v>0.68571428571428572</c:v>
                </c:pt>
                <c:pt idx="3">
                  <c:v>0.68571428571428572</c:v>
                </c:pt>
                <c:pt idx="4">
                  <c:v>0.68571428571428572</c:v>
                </c:pt>
                <c:pt idx="5">
                  <c:v>0.68571428571428572</c:v>
                </c:pt>
                <c:pt idx="6">
                  <c:v>0.68571428571428572</c:v>
                </c:pt>
                <c:pt idx="7">
                  <c:v>0.68571428571428572</c:v>
                </c:pt>
                <c:pt idx="8">
                  <c:v>0.68571428571428572</c:v>
                </c:pt>
                <c:pt idx="9">
                  <c:v>0.68571428571428572</c:v>
                </c:pt>
                <c:pt idx="10">
                  <c:v>0.68571428571428572</c:v>
                </c:pt>
                <c:pt idx="11">
                  <c:v>0.68571428571428572</c:v>
                </c:pt>
                <c:pt idx="12">
                  <c:v>0.68571428571428572</c:v>
                </c:pt>
                <c:pt idx="13">
                  <c:v>0.68571428571428572</c:v>
                </c:pt>
                <c:pt idx="14">
                  <c:v>0.68571428571428572</c:v>
                </c:pt>
                <c:pt idx="15">
                  <c:v>0.68571428571428572</c:v>
                </c:pt>
                <c:pt idx="16">
                  <c:v>0.68571428571428572</c:v>
                </c:pt>
                <c:pt idx="17">
                  <c:v>0.68571428571428572</c:v>
                </c:pt>
                <c:pt idx="18">
                  <c:v>0.68571428571428572</c:v>
                </c:pt>
                <c:pt idx="19">
                  <c:v>0.68571428571428572</c:v>
                </c:pt>
                <c:pt idx="20">
                  <c:v>0.68571428571428572</c:v>
                </c:pt>
                <c:pt idx="21">
                  <c:v>0.68571428571428572</c:v>
                </c:pt>
                <c:pt idx="22">
                  <c:v>0.68571428571428572</c:v>
                </c:pt>
                <c:pt idx="23">
                  <c:v>0.68571428571428572</c:v>
                </c:pt>
                <c:pt idx="24">
                  <c:v>0.68571428571428572</c:v>
                </c:pt>
                <c:pt idx="25">
                  <c:v>0.68571428571428572</c:v>
                </c:pt>
                <c:pt idx="26">
                  <c:v>0.68571428571428572</c:v>
                </c:pt>
                <c:pt idx="27">
                  <c:v>0.68571428571428572</c:v>
                </c:pt>
                <c:pt idx="28">
                  <c:v>0.68571428571428572</c:v>
                </c:pt>
                <c:pt idx="29">
                  <c:v>0.68571428571428572</c:v>
                </c:pt>
                <c:pt idx="30">
                  <c:v>0.68571428571428572</c:v>
                </c:pt>
                <c:pt idx="31">
                  <c:v>0.68571428571428572</c:v>
                </c:pt>
                <c:pt idx="32">
                  <c:v>0.68571428571428572</c:v>
                </c:pt>
                <c:pt idx="33">
                  <c:v>0.68571428571428572</c:v>
                </c:pt>
                <c:pt idx="34">
                  <c:v>0.68571428571428572</c:v>
                </c:pt>
                <c:pt idx="35">
                  <c:v>0.68571428571428572</c:v>
                </c:pt>
                <c:pt idx="36">
                  <c:v>0.68571428571428572</c:v>
                </c:pt>
                <c:pt idx="37">
                  <c:v>0.68571428571428572</c:v>
                </c:pt>
                <c:pt idx="38">
                  <c:v>0.68571428571428572</c:v>
                </c:pt>
                <c:pt idx="39">
                  <c:v>0.68571428571428572</c:v>
                </c:pt>
                <c:pt idx="40">
                  <c:v>0.68571428571428572</c:v>
                </c:pt>
                <c:pt idx="41">
                  <c:v>0.68571428571428572</c:v>
                </c:pt>
                <c:pt idx="42">
                  <c:v>0.68571428571428572</c:v>
                </c:pt>
                <c:pt idx="43">
                  <c:v>0.68571428571428572</c:v>
                </c:pt>
                <c:pt idx="44">
                  <c:v>0.68571428571428572</c:v>
                </c:pt>
                <c:pt idx="45">
                  <c:v>0.68571428571428572</c:v>
                </c:pt>
                <c:pt idx="46">
                  <c:v>0.68571428571428572</c:v>
                </c:pt>
                <c:pt idx="47">
                  <c:v>0.68571428571428572</c:v>
                </c:pt>
                <c:pt idx="48">
                  <c:v>0.68571428571428572</c:v>
                </c:pt>
                <c:pt idx="49">
                  <c:v>0.68571428571428572</c:v>
                </c:pt>
                <c:pt idx="50">
                  <c:v>0.68571428571428572</c:v>
                </c:pt>
                <c:pt idx="51">
                  <c:v>0.68571428571428572</c:v>
                </c:pt>
                <c:pt idx="52">
                  <c:v>0.68571428571428572</c:v>
                </c:pt>
                <c:pt idx="53">
                  <c:v>0.68571428571428572</c:v>
                </c:pt>
                <c:pt idx="54">
                  <c:v>0.68571428571428572</c:v>
                </c:pt>
                <c:pt idx="55">
                  <c:v>0.68571428571428572</c:v>
                </c:pt>
                <c:pt idx="56">
                  <c:v>0.68571428571428572</c:v>
                </c:pt>
                <c:pt idx="57">
                  <c:v>0.68571428571428572</c:v>
                </c:pt>
                <c:pt idx="58">
                  <c:v>0.68571428571428572</c:v>
                </c:pt>
                <c:pt idx="59">
                  <c:v>0.68571428571428572</c:v>
                </c:pt>
                <c:pt idx="60">
                  <c:v>0.68571428571428572</c:v>
                </c:pt>
                <c:pt idx="61">
                  <c:v>0.68571428571428572</c:v>
                </c:pt>
                <c:pt idx="62">
                  <c:v>0.68571428571428572</c:v>
                </c:pt>
                <c:pt idx="63">
                  <c:v>0.68571428571428572</c:v>
                </c:pt>
                <c:pt idx="64">
                  <c:v>0.68571428571428572</c:v>
                </c:pt>
                <c:pt idx="65">
                  <c:v>0.68571428571428572</c:v>
                </c:pt>
                <c:pt idx="66">
                  <c:v>0.68571428571428572</c:v>
                </c:pt>
                <c:pt idx="67">
                  <c:v>0.68571428571428572</c:v>
                </c:pt>
                <c:pt idx="68">
                  <c:v>0.68571428571428572</c:v>
                </c:pt>
                <c:pt idx="69">
                  <c:v>0.68571428571428572</c:v>
                </c:pt>
                <c:pt idx="70">
                  <c:v>0.68571428571428572</c:v>
                </c:pt>
                <c:pt idx="71">
                  <c:v>0.68571428571428572</c:v>
                </c:pt>
                <c:pt idx="72">
                  <c:v>0.68571428571428572</c:v>
                </c:pt>
                <c:pt idx="73">
                  <c:v>0.68571428571428572</c:v>
                </c:pt>
                <c:pt idx="74">
                  <c:v>0.68571428571428572</c:v>
                </c:pt>
                <c:pt idx="75">
                  <c:v>0.68571428571428572</c:v>
                </c:pt>
                <c:pt idx="76">
                  <c:v>0.68571428571428572</c:v>
                </c:pt>
                <c:pt idx="77">
                  <c:v>0.68571428571428572</c:v>
                </c:pt>
                <c:pt idx="78">
                  <c:v>0.68571428571428572</c:v>
                </c:pt>
                <c:pt idx="79">
                  <c:v>0.68571428571428572</c:v>
                </c:pt>
                <c:pt idx="80">
                  <c:v>0.68571428571428572</c:v>
                </c:pt>
                <c:pt idx="81">
                  <c:v>0.68571428571428572</c:v>
                </c:pt>
                <c:pt idx="82">
                  <c:v>0.68571428571428572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EB8-4D03-B96C-85783B0FE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431"/>
        <c:axId val="1407976511"/>
      </c:scatterChart>
      <c:valAx>
        <c:axId val="1407978431"/>
        <c:scaling>
          <c:orientation val="minMax"/>
          <c:max val="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fn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6511"/>
        <c:crosses val="autoZero"/>
        <c:crossBetween val="midCat"/>
        <c:majorUnit val="1"/>
        <c:minorUnit val="1"/>
      </c:valAx>
      <c:valAx>
        <c:axId val="1407976511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Required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8431"/>
        <c:crosses val="autoZero"/>
        <c:crossBetween val="midCat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6888263213995636"/>
          <c:y val="0.16027563224159808"/>
          <c:w val="0.26492290775178096"/>
          <c:h val="0.42061995684821901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Gain curve vs Minimum Required Gain for PFC </a:t>
            </a:r>
            <a:r>
              <a:rPr lang="en-US" sz="1400"/>
              <a:t>regulation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@Vin_max- Variable Load @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π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/2</a:t>
            </a:r>
            <a:endParaRPr lang="el-GR" sz="1400"/>
          </a:p>
        </c:rich>
      </c:tx>
      <c:layout>
        <c:manualLayout>
          <c:xMode val="edge"/>
          <c:yMode val="edge"/>
          <c:x val="0.16144385855423607"/>
          <c:y val="2.3272468193682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537263861003059"/>
          <c:y val="0.14181437112537784"/>
          <c:w val="0.82634951881014873"/>
          <c:h val="0.73685758765226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RTC!$B$28</c:f>
              <c:strCache>
                <c:ptCount val="1"/>
                <c:pt idx="0">
                  <c:v>M.OL(fn)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RTC!$C$28:$CG$28</c:f>
              <c:numCache>
                <c:formatCode>General</c:formatCode>
                <c:ptCount val="83"/>
                <c:pt idx="0">
                  <c:v>2.1818182512396718E-8</c:v>
                </c:pt>
                <c:pt idx="1">
                  <c:v>1.2886419367458453E-3</c:v>
                </c:pt>
                <c:pt idx="2">
                  <c:v>3.2957540508757933E-3</c:v>
                </c:pt>
                <c:pt idx="3">
                  <c:v>6.2466838217803949E-3</c:v>
                </c:pt>
                <c:pt idx="4">
                  <c:v>1.0165634844491057E-2</c:v>
                </c:pt>
                <c:pt idx="5">
                  <c:v>1.5085230808885637E-2</c:v>
                </c:pt>
                <c:pt idx="6">
                  <c:v>2.104720710419164E-2</c:v>
                </c:pt>
                <c:pt idx="7">
                  <c:v>2.8103319587713758E-2</c:v>
                </c:pt>
                <c:pt idx="8">
                  <c:v>3.6316508449383139E-2</c:v>
                </c:pt>
                <c:pt idx="9">
                  <c:v>4.5762367743434479E-2</c:v>
                </c:pt>
                <c:pt idx="10">
                  <c:v>5.6530987448607108E-2</c:v>
                </c:pt>
                <c:pt idx="11">
                  <c:v>6.8729256295102084E-2</c:v>
                </c:pt>
                <c:pt idx="12">
                  <c:v>8.2483742085161724E-2</c:v>
                </c:pt>
                <c:pt idx="13">
                  <c:v>9.7944304735298124E-2</c:v>
                </c:pt>
                <c:pt idx="14">
                  <c:v>0.11528864999952876</c:v>
                </c:pt>
                <c:pt idx="15">
                  <c:v>0.1347281050187448</c:v>
                </c:pt>
                <c:pt idx="16">
                  <c:v>0.15651499980883612</c:v>
                </c:pt>
                <c:pt idx="17">
                  <c:v>0.18095218575415503</c:v>
                </c:pt>
                <c:pt idx="18">
                  <c:v>0.20840543512238516</c:v>
                </c:pt>
                <c:pt idx="19">
                  <c:v>0.23931977930378859</c:v>
                </c:pt>
                <c:pt idx="20">
                  <c:v>0.27424131386312434</c:v>
                </c:pt>
                <c:pt idx="21">
                  <c:v>0.31384671772931005</c:v>
                </c:pt>
                <c:pt idx="22">
                  <c:v>0.3589838574142431</c:v>
                </c:pt>
                <c:pt idx="23">
                  <c:v>0.41072864448862639</c:v>
                </c:pt>
                <c:pt idx="24">
                  <c:v>0.47046626668653735</c:v>
                </c:pt>
                <c:pt idx="25">
                  <c:v>0.54000990781304037</c:v>
                </c:pt>
                <c:pt idx="26">
                  <c:v>0.62177881033586746</c:v>
                </c:pt>
                <c:pt idx="27">
                  <c:v>0.71907341857608231</c:v>
                </c:pt>
                <c:pt idx="28">
                  <c:v>0.83651551018079373</c:v>
                </c:pt>
                <c:pt idx="29">
                  <c:v>0.98078153994784389</c:v>
                </c:pt>
                <c:pt idx="30">
                  <c:v>1.1618855338834528</c:v>
                </c:pt>
                <c:pt idx="31">
                  <c:v>1.3955605407023011</c:v>
                </c:pt>
                <c:pt idx="32">
                  <c:v>1.70801881699095</c:v>
                </c:pt>
                <c:pt idx="33">
                  <c:v>2.1464163817304032</c:v>
                </c:pt>
                <c:pt idx="34">
                  <c:v>2.8049873938594398</c:v>
                </c:pt>
                <c:pt idx="35">
                  <c:v>3.9033273688464369</c:v>
                </c:pt>
                <c:pt idx="36">
                  <c:v>6.098718634915044</c:v>
                </c:pt>
                <c:pt idx="37">
                  <c:v>12.659566924581251</c:v>
                </c:pt>
                <c:pt idx="38">
                  <c:v>1921.5837087114464</c:v>
                </c:pt>
                <c:pt idx="39">
                  <c:v>42.249999999987104</c:v>
                </c:pt>
                <c:pt idx="40">
                  <c:v>10.581427390464974</c:v>
                </c:pt>
                <c:pt idx="41">
                  <c:v>6.2413366336631526</c:v>
                </c:pt>
                <c:pt idx="42">
                  <c:v>4.5187319884725161</c:v>
                </c:pt>
                <c:pt idx="43">
                  <c:v>3.5949449125080415</c:v>
                </c:pt>
                <c:pt idx="44">
                  <c:v>3.0192994996425648</c:v>
                </c:pt>
                <c:pt idx="45">
                  <c:v>2.6264591439688467</c:v>
                </c:pt>
                <c:pt idx="46">
                  <c:v>2.3414634146341284</c:v>
                </c:pt>
                <c:pt idx="47">
                  <c:v>2.1254008980115326</c:v>
                </c:pt>
                <c:pt idx="48">
                  <c:v>1.9560649474689491</c:v>
                </c:pt>
                <c:pt idx="49">
                  <c:v>1.8198585144012047</c:v>
                </c:pt>
                <c:pt idx="50">
                  <c:v>1.7079905491189553</c:v>
                </c:pt>
                <c:pt idx="51">
                  <c:v>1.6145251396647997</c:v>
                </c:pt>
                <c:pt idx="52">
                  <c:v>1.5353095649293769</c:v>
                </c:pt>
                <c:pt idx="53">
                  <c:v>1.4673515584189416</c:v>
                </c:pt>
                <c:pt idx="54">
                  <c:v>1.4084404999094342</c:v>
                </c:pt>
                <c:pt idx="55">
                  <c:v>1.35690789473684</c:v>
                </c:pt>
                <c:pt idx="56">
                  <c:v>1.3114708393594574</c:v>
                </c:pt>
                <c:pt idx="57">
                  <c:v>1.2711267605633787</c:v>
                </c:pt>
                <c:pt idx="58">
                  <c:v>1.2350808487203404</c:v>
                </c:pt>
                <c:pt idx="59">
                  <c:v>1.2026949211102145</c:v>
                </c:pt>
                <c:pt idx="60">
                  <c:v>1.1734506784011727</c:v>
                </c:pt>
                <c:pt idx="61">
                  <c:v>1.1469228398232809</c:v>
                </c:pt>
                <c:pt idx="62">
                  <c:v>1.1227591914225556</c:v>
                </c:pt>
                <c:pt idx="63">
                  <c:v>1.1006655574043258</c:v>
                </c:pt>
                <c:pt idx="64">
                  <c:v>1.080394333380958</c:v>
                </c:pt>
                <c:pt idx="65">
                  <c:v>1.0617356341095658</c:v>
                </c:pt>
                <c:pt idx="66">
                  <c:v>1.0445103857566764</c:v>
                </c:pt>
                <c:pt idx="67">
                  <c:v>1.0285648819980142</c:v>
                </c:pt>
                <c:pt idx="68">
                  <c:v>1.0137664544300213</c:v>
                </c:pt>
                <c:pt idx="69">
                  <c:v>1</c:v>
                </c:pt>
                <c:pt idx="70">
                  <c:v>0.96756638701644149</c:v>
                </c:pt>
                <c:pt idx="71">
                  <c:v>0.94029649207737387</c:v>
                </c:pt>
                <c:pt idx="72">
                  <c:v>0.9170912797089299</c:v>
                </c:pt>
                <c:pt idx="73">
                  <c:v>0.89713972557044763</c:v>
                </c:pt>
                <c:pt idx="74">
                  <c:v>0.87983058019429439</c:v>
                </c:pt>
                <c:pt idx="75">
                  <c:v>0.86469466359597535</c:v>
                </c:pt>
                <c:pt idx="76">
                  <c:v>0.85136604264766635</c:v>
                </c:pt>
                <c:pt idx="77">
                  <c:v>0.83955525874231718</c:v>
                </c:pt>
                <c:pt idx="78">
                  <c:v>0.82903045930975283</c:v>
                </c:pt>
                <c:pt idx="79">
                  <c:v>0.81960384055727298</c:v>
                </c:pt>
                <c:pt idx="80">
                  <c:v>0.81112173694104106</c:v>
                </c:pt>
                <c:pt idx="81">
                  <c:v>0.80345726326884537</c:v>
                </c:pt>
                <c:pt idx="82">
                  <c:v>0.7965047748976446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8C-4A5C-A513-6CCA2F65B2B6}"/>
            </c:ext>
          </c:extLst>
        </c:ser>
        <c:ser>
          <c:idx val="4"/>
          <c:order val="1"/>
          <c:tx>
            <c:strRef>
              <c:f>RTC!$B$67</c:f>
              <c:strCache>
                <c:ptCount val="1"/>
                <c:pt idx="0">
                  <c:v>Mreq(Vin_max, Vout,π/2 )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RTC!$C$67:$CG$67</c:f>
              <c:numCache>
                <c:formatCode>General</c:formatCode>
                <c:ptCount val="83"/>
                <c:pt idx="0">
                  <c:v>0.99807854321003453</c:v>
                </c:pt>
                <c:pt idx="1">
                  <c:v>0.99807854321003453</c:v>
                </c:pt>
                <c:pt idx="2">
                  <c:v>0.99807854321003453</c:v>
                </c:pt>
                <c:pt idx="3">
                  <c:v>0.99807854321003453</c:v>
                </c:pt>
                <c:pt idx="4">
                  <c:v>0.99807854321003453</c:v>
                </c:pt>
                <c:pt idx="5">
                  <c:v>0.99807854321003453</c:v>
                </c:pt>
                <c:pt idx="6">
                  <c:v>0.99807854321003453</c:v>
                </c:pt>
                <c:pt idx="7">
                  <c:v>0.99807854321003453</c:v>
                </c:pt>
                <c:pt idx="8">
                  <c:v>0.99807854321003453</c:v>
                </c:pt>
                <c:pt idx="9">
                  <c:v>0.99807854321003453</c:v>
                </c:pt>
                <c:pt idx="10">
                  <c:v>0.99807854321003453</c:v>
                </c:pt>
                <c:pt idx="11">
                  <c:v>0.99807854321003453</c:v>
                </c:pt>
                <c:pt idx="12">
                  <c:v>0.99807854321003453</c:v>
                </c:pt>
                <c:pt idx="13">
                  <c:v>0.99807854321003453</c:v>
                </c:pt>
                <c:pt idx="14">
                  <c:v>0.99807854321003453</c:v>
                </c:pt>
                <c:pt idx="15">
                  <c:v>0.99807854321003453</c:v>
                </c:pt>
                <c:pt idx="16">
                  <c:v>0.99807854321003453</c:v>
                </c:pt>
                <c:pt idx="17">
                  <c:v>0.99807854321003453</c:v>
                </c:pt>
                <c:pt idx="18">
                  <c:v>0.99807854321003453</c:v>
                </c:pt>
                <c:pt idx="19">
                  <c:v>0.99807854321003453</c:v>
                </c:pt>
                <c:pt idx="20">
                  <c:v>0.99807854321003453</c:v>
                </c:pt>
                <c:pt idx="21">
                  <c:v>0.99807854321003453</c:v>
                </c:pt>
                <c:pt idx="22">
                  <c:v>0.99807854321003453</c:v>
                </c:pt>
                <c:pt idx="23">
                  <c:v>0.99807854321003453</c:v>
                </c:pt>
                <c:pt idx="24">
                  <c:v>0.99807854321003453</c:v>
                </c:pt>
                <c:pt idx="25">
                  <c:v>0.99807854321003453</c:v>
                </c:pt>
                <c:pt idx="26">
                  <c:v>0.99807854321003453</c:v>
                </c:pt>
                <c:pt idx="27">
                  <c:v>0.99807854321003453</c:v>
                </c:pt>
                <c:pt idx="28">
                  <c:v>0.99807854321003453</c:v>
                </c:pt>
                <c:pt idx="29">
                  <c:v>0.99807854321003453</c:v>
                </c:pt>
                <c:pt idx="30">
                  <c:v>0.99807854321003453</c:v>
                </c:pt>
                <c:pt idx="31">
                  <c:v>0.99807854321003453</c:v>
                </c:pt>
                <c:pt idx="32">
                  <c:v>0.99807854321003453</c:v>
                </c:pt>
                <c:pt idx="33">
                  <c:v>0.99807854321003453</c:v>
                </c:pt>
                <c:pt idx="34">
                  <c:v>0.99807854321003453</c:v>
                </c:pt>
                <c:pt idx="35">
                  <c:v>0.99807854321003453</c:v>
                </c:pt>
                <c:pt idx="36">
                  <c:v>0.99807854321003453</c:v>
                </c:pt>
                <c:pt idx="37">
                  <c:v>0.99807854321003453</c:v>
                </c:pt>
                <c:pt idx="38">
                  <c:v>0.99807854321003453</c:v>
                </c:pt>
                <c:pt idx="39">
                  <c:v>0.99807854321003453</c:v>
                </c:pt>
                <c:pt idx="40">
                  <c:v>0.99807854321003453</c:v>
                </c:pt>
                <c:pt idx="41">
                  <c:v>0.99807854321003453</c:v>
                </c:pt>
                <c:pt idx="42">
                  <c:v>0.99807854321003453</c:v>
                </c:pt>
                <c:pt idx="43">
                  <c:v>0.99807854321003453</c:v>
                </c:pt>
                <c:pt idx="44">
                  <c:v>0.99807854321003453</c:v>
                </c:pt>
                <c:pt idx="45">
                  <c:v>0.99807854321003453</c:v>
                </c:pt>
                <c:pt idx="46">
                  <c:v>0.99807854321003453</c:v>
                </c:pt>
                <c:pt idx="47">
                  <c:v>0.99807854321003453</c:v>
                </c:pt>
                <c:pt idx="48">
                  <c:v>0.99807854321003453</c:v>
                </c:pt>
                <c:pt idx="49">
                  <c:v>0.99807854321003453</c:v>
                </c:pt>
                <c:pt idx="50">
                  <c:v>0.99807854321003453</c:v>
                </c:pt>
                <c:pt idx="51">
                  <c:v>0.99807854321003453</c:v>
                </c:pt>
                <c:pt idx="52">
                  <c:v>0.99807854321003453</c:v>
                </c:pt>
                <c:pt idx="53">
                  <c:v>0.99807854321003453</c:v>
                </c:pt>
                <c:pt idx="54">
                  <c:v>0.99807854321003453</c:v>
                </c:pt>
                <c:pt idx="55">
                  <c:v>0.99807854321003453</c:v>
                </c:pt>
                <c:pt idx="56">
                  <c:v>0.99807854321003453</c:v>
                </c:pt>
                <c:pt idx="57">
                  <c:v>0.99807854321003453</c:v>
                </c:pt>
                <c:pt idx="58">
                  <c:v>0.99807854321003453</c:v>
                </c:pt>
                <c:pt idx="59">
                  <c:v>0.99807854321003453</c:v>
                </c:pt>
                <c:pt idx="60">
                  <c:v>0.99807854321003453</c:v>
                </c:pt>
                <c:pt idx="61">
                  <c:v>0.99807854321003453</c:v>
                </c:pt>
                <c:pt idx="62">
                  <c:v>0.99807854321003453</c:v>
                </c:pt>
                <c:pt idx="63">
                  <c:v>0.99807854321003453</c:v>
                </c:pt>
                <c:pt idx="64">
                  <c:v>0.99807854321003453</c:v>
                </c:pt>
                <c:pt idx="65">
                  <c:v>0.99807854321003453</c:v>
                </c:pt>
                <c:pt idx="66">
                  <c:v>0.99807854321003453</c:v>
                </c:pt>
                <c:pt idx="67">
                  <c:v>0.99807854321003453</c:v>
                </c:pt>
                <c:pt idx="68">
                  <c:v>0.99807854321003453</c:v>
                </c:pt>
                <c:pt idx="69">
                  <c:v>0.99807854321003453</c:v>
                </c:pt>
                <c:pt idx="70">
                  <c:v>0.99807854321003453</c:v>
                </c:pt>
                <c:pt idx="71">
                  <c:v>0.99807854321003453</c:v>
                </c:pt>
                <c:pt idx="72">
                  <c:v>0.99807854321003453</c:v>
                </c:pt>
                <c:pt idx="73">
                  <c:v>0.99807854321003453</c:v>
                </c:pt>
                <c:pt idx="74">
                  <c:v>0.99807854321003453</c:v>
                </c:pt>
                <c:pt idx="75">
                  <c:v>0.99807854321003453</c:v>
                </c:pt>
                <c:pt idx="76">
                  <c:v>0.99807854321003453</c:v>
                </c:pt>
                <c:pt idx="77">
                  <c:v>0.99807854321003453</c:v>
                </c:pt>
                <c:pt idx="78">
                  <c:v>0.99807854321003453</c:v>
                </c:pt>
                <c:pt idx="79">
                  <c:v>0.99807854321003453</c:v>
                </c:pt>
                <c:pt idx="80">
                  <c:v>0.99807854321003453</c:v>
                </c:pt>
                <c:pt idx="81">
                  <c:v>0.99807854321003453</c:v>
                </c:pt>
                <c:pt idx="82">
                  <c:v>0.99807854321003453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B8C-4A5C-A513-6CCA2F65B2B6}"/>
            </c:ext>
          </c:extLst>
        </c:ser>
        <c:ser>
          <c:idx val="7"/>
          <c:order val="2"/>
          <c:tx>
            <c:strRef>
              <c:f>RTC!$B$29</c:f>
              <c:strCache>
                <c:ptCount val="1"/>
                <c:pt idx="0">
                  <c:v>M.Z(fn)</c:v>
                </c:pt>
              </c:strCache>
            </c:strRef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RTC!$C$29:$CG$29</c:f>
              <c:numCache>
                <c:formatCode>General</c:formatCode>
                <c:ptCount val="8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1921.5837087114464</c:v>
                </c:pt>
                <c:pt idx="39">
                  <c:v>6.499999999999007</c:v>
                </c:pt>
                <c:pt idx="40">
                  <c:v>3.2529106029008803</c:v>
                </c:pt>
                <c:pt idx="41">
                  <c:v>2.4982667258847973</c:v>
                </c:pt>
                <c:pt idx="42">
                  <c:v>2.1257309304031207</c:v>
                </c:pt>
                <c:pt idx="43">
                  <c:v>1.8960339956097945</c:v>
                </c:pt>
                <c:pt idx="44">
                  <c:v>1.7376131616797115</c:v>
                </c:pt>
                <c:pt idx="45">
                  <c:v>1.6206354136476369</c:v>
                </c:pt>
                <c:pt idx="46">
                  <c:v>1.5301841113520063</c:v>
                </c:pt>
                <c:pt idx="47">
                  <c:v>1.4578754741100259</c:v>
                </c:pt>
                <c:pt idx="48">
                  <c:v>1.3985939180008431</c:v>
                </c:pt>
                <c:pt idx="49">
                  <c:v>1.3490213172523273</c:v>
                </c:pt>
                <c:pt idx="50">
                  <c:v>1.3069011244615849</c:v>
                </c:pt>
                <c:pt idx="51">
                  <c:v>1.2706396576782892</c:v>
                </c:pt>
                <c:pt idx="52">
                  <c:v>1.2390760932765092</c:v>
                </c:pt>
                <c:pt idx="53">
                  <c:v>1.2113428740117067</c:v>
                </c:pt>
                <c:pt idx="54">
                  <c:v>1.1867773590313537</c:v>
                </c:pt>
                <c:pt idx="55">
                  <c:v>1.1648638953701158</c:v>
                </c:pt>
                <c:pt idx="56">
                  <c:v>1.1451946731274369</c:v>
                </c:pt>
                <c:pt idx="57">
                  <c:v>1.1274425752841599</c:v>
                </c:pt>
                <c:pt idx="58">
                  <c:v>1.1113419135083229</c:v>
                </c:pt>
                <c:pt idx="59">
                  <c:v>1.0966744827478272</c:v>
                </c:pt>
                <c:pt idx="60">
                  <c:v>1.0832592849365161</c:v>
                </c:pt>
                <c:pt idx="61">
                  <c:v>1.0709448350980926</c:v>
                </c:pt>
                <c:pt idx="62">
                  <c:v>1.0596033179556184</c:v>
                </c:pt>
                <c:pt idx="63">
                  <c:v>1.0491260922331147</c:v>
                </c:pt>
                <c:pt idx="64">
                  <c:v>1.0394201909627108</c:v>
                </c:pt>
                <c:pt idx="65">
                  <c:v>1.0304055677788071</c:v>
                </c:pt>
                <c:pt idx="66">
                  <c:v>1.022012908801389</c:v>
                </c:pt>
                <c:pt idx="67">
                  <c:v>1.0141818781648655</c:v>
                </c:pt>
                <c:pt idx="68">
                  <c:v>1.0068596994765564</c:v>
                </c:pt>
                <c:pt idx="69">
                  <c:v>1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B8C-4A5C-A513-6CCA2F65B2B6}"/>
            </c:ext>
          </c:extLst>
        </c:ser>
        <c:ser>
          <c:idx val="8"/>
          <c:order val="3"/>
          <c:tx>
            <c:strRef>
              <c:f>RTC!$B$31</c:f>
              <c:strCache>
                <c:ptCount val="1"/>
                <c:pt idx="0">
                  <c:v>Minf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RTC!$C$31:$CG$31</c:f>
              <c:numCache>
                <c:formatCode>General</c:formatCode>
                <c:ptCount val="83"/>
                <c:pt idx="0">
                  <c:v>0.68571428571428572</c:v>
                </c:pt>
                <c:pt idx="1">
                  <c:v>0.68571428571428572</c:v>
                </c:pt>
                <c:pt idx="2">
                  <c:v>0.68571428571428572</c:v>
                </c:pt>
                <c:pt idx="3">
                  <c:v>0.68571428571428572</c:v>
                </c:pt>
                <c:pt idx="4">
                  <c:v>0.68571428571428572</c:v>
                </c:pt>
                <c:pt idx="5">
                  <c:v>0.68571428571428572</c:v>
                </c:pt>
                <c:pt idx="6">
                  <c:v>0.68571428571428572</c:v>
                </c:pt>
                <c:pt idx="7">
                  <c:v>0.68571428571428572</c:v>
                </c:pt>
                <c:pt idx="8">
                  <c:v>0.68571428571428572</c:v>
                </c:pt>
                <c:pt idx="9">
                  <c:v>0.68571428571428572</c:v>
                </c:pt>
                <c:pt idx="10">
                  <c:v>0.68571428571428572</c:v>
                </c:pt>
                <c:pt idx="11">
                  <c:v>0.68571428571428572</c:v>
                </c:pt>
                <c:pt idx="12">
                  <c:v>0.68571428571428572</c:v>
                </c:pt>
                <c:pt idx="13">
                  <c:v>0.68571428571428572</c:v>
                </c:pt>
                <c:pt idx="14">
                  <c:v>0.68571428571428572</c:v>
                </c:pt>
                <c:pt idx="15">
                  <c:v>0.68571428571428572</c:v>
                </c:pt>
                <c:pt idx="16">
                  <c:v>0.68571428571428572</c:v>
                </c:pt>
                <c:pt idx="17">
                  <c:v>0.68571428571428572</c:v>
                </c:pt>
                <c:pt idx="18">
                  <c:v>0.68571428571428572</c:v>
                </c:pt>
                <c:pt idx="19">
                  <c:v>0.68571428571428572</c:v>
                </c:pt>
                <c:pt idx="20">
                  <c:v>0.68571428571428572</c:v>
                </c:pt>
                <c:pt idx="21">
                  <c:v>0.68571428571428572</c:v>
                </c:pt>
                <c:pt idx="22">
                  <c:v>0.68571428571428572</c:v>
                </c:pt>
                <c:pt idx="23">
                  <c:v>0.68571428571428572</c:v>
                </c:pt>
                <c:pt idx="24">
                  <c:v>0.68571428571428572</c:v>
                </c:pt>
                <c:pt idx="25">
                  <c:v>0.68571428571428572</c:v>
                </c:pt>
                <c:pt idx="26">
                  <c:v>0.68571428571428572</c:v>
                </c:pt>
                <c:pt idx="27">
                  <c:v>0.68571428571428572</c:v>
                </c:pt>
                <c:pt idx="28">
                  <c:v>0.68571428571428572</c:v>
                </c:pt>
                <c:pt idx="29">
                  <c:v>0.68571428571428572</c:v>
                </c:pt>
                <c:pt idx="30">
                  <c:v>0.68571428571428572</c:v>
                </c:pt>
                <c:pt idx="31">
                  <c:v>0.68571428571428572</c:v>
                </c:pt>
                <c:pt idx="32">
                  <c:v>0.68571428571428572</c:v>
                </c:pt>
                <c:pt idx="33">
                  <c:v>0.68571428571428572</c:v>
                </c:pt>
                <c:pt idx="34">
                  <c:v>0.68571428571428572</c:v>
                </c:pt>
                <c:pt idx="35">
                  <c:v>0.68571428571428572</c:v>
                </c:pt>
                <c:pt idx="36">
                  <c:v>0.68571428571428572</c:v>
                </c:pt>
                <c:pt idx="37">
                  <c:v>0.68571428571428572</c:v>
                </c:pt>
                <c:pt idx="38">
                  <c:v>0.68571428571428572</c:v>
                </c:pt>
                <c:pt idx="39">
                  <c:v>0.68571428571428572</c:v>
                </c:pt>
                <c:pt idx="40">
                  <c:v>0.68571428571428572</c:v>
                </c:pt>
                <c:pt idx="41">
                  <c:v>0.68571428571428572</c:v>
                </c:pt>
                <c:pt idx="42">
                  <c:v>0.68571428571428572</c:v>
                </c:pt>
                <c:pt idx="43">
                  <c:v>0.68571428571428572</c:v>
                </c:pt>
                <c:pt idx="44">
                  <c:v>0.68571428571428572</c:v>
                </c:pt>
                <c:pt idx="45">
                  <c:v>0.68571428571428572</c:v>
                </c:pt>
                <c:pt idx="46">
                  <c:v>0.68571428571428572</c:v>
                </c:pt>
                <c:pt idx="47">
                  <c:v>0.68571428571428572</c:v>
                </c:pt>
                <c:pt idx="48">
                  <c:v>0.68571428571428572</c:v>
                </c:pt>
                <c:pt idx="49">
                  <c:v>0.68571428571428572</c:v>
                </c:pt>
                <c:pt idx="50">
                  <c:v>0.68571428571428572</c:v>
                </c:pt>
                <c:pt idx="51">
                  <c:v>0.68571428571428572</c:v>
                </c:pt>
                <c:pt idx="52">
                  <c:v>0.68571428571428572</c:v>
                </c:pt>
                <c:pt idx="53">
                  <c:v>0.68571428571428572</c:v>
                </c:pt>
                <c:pt idx="54">
                  <c:v>0.68571428571428572</c:v>
                </c:pt>
                <c:pt idx="55">
                  <c:v>0.68571428571428572</c:v>
                </c:pt>
                <c:pt idx="56">
                  <c:v>0.68571428571428572</c:v>
                </c:pt>
                <c:pt idx="57">
                  <c:v>0.68571428571428572</c:v>
                </c:pt>
                <c:pt idx="58">
                  <c:v>0.68571428571428572</c:v>
                </c:pt>
                <c:pt idx="59">
                  <c:v>0.68571428571428572</c:v>
                </c:pt>
                <c:pt idx="60">
                  <c:v>0.68571428571428572</c:v>
                </c:pt>
                <c:pt idx="61">
                  <c:v>0.68571428571428572</c:v>
                </c:pt>
                <c:pt idx="62">
                  <c:v>0.68571428571428572</c:v>
                </c:pt>
                <c:pt idx="63">
                  <c:v>0.68571428571428572</c:v>
                </c:pt>
                <c:pt idx="64">
                  <c:v>0.68571428571428572</c:v>
                </c:pt>
                <c:pt idx="65">
                  <c:v>0.68571428571428572</c:v>
                </c:pt>
                <c:pt idx="66">
                  <c:v>0.68571428571428572</c:v>
                </c:pt>
                <c:pt idx="67">
                  <c:v>0.68571428571428572</c:v>
                </c:pt>
                <c:pt idx="68">
                  <c:v>0.68571428571428572</c:v>
                </c:pt>
                <c:pt idx="69">
                  <c:v>0.68571428571428572</c:v>
                </c:pt>
                <c:pt idx="70">
                  <c:v>0.68571428571428572</c:v>
                </c:pt>
                <c:pt idx="71">
                  <c:v>0.68571428571428572</c:v>
                </c:pt>
                <c:pt idx="72">
                  <c:v>0.68571428571428572</c:v>
                </c:pt>
                <c:pt idx="73">
                  <c:v>0.68571428571428572</c:v>
                </c:pt>
                <c:pt idx="74">
                  <c:v>0.68571428571428572</c:v>
                </c:pt>
                <c:pt idx="75">
                  <c:v>0.68571428571428572</c:v>
                </c:pt>
                <c:pt idx="76">
                  <c:v>0.68571428571428572</c:v>
                </c:pt>
                <c:pt idx="77">
                  <c:v>0.68571428571428572</c:v>
                </c:pt>
                <c:pt idx="78">
                  <c:v>0.68571428571428572</c:v>
                </c:pt>
                <c:pt idx="79">
                  <c:v>0.68571428571428572</c:v>
                </c:pt>
                <c:pt idx="80">
                  <c:v>0.68571428571428572</c:v>
                </c:pt>
                <c:pt idx="81">
                  <c:v>0.68571428571428572</c:v>
                </c:pt>
                <c:pt idx="82">
                  <c:v>0.68571428571428572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B8C-4A5C-A513-6CCA2F65B2B6}"/>
            </c:ext>
          </c:extLst>
        </c:ser>
        <c:ser>
          <c:idx val="1"/>
          <c:order val="4"/>
          <c:tx>
            <c:strRef>
              <c:f>RTC!$B$99</c:f>
              <c:strCache>
                <c:ptCount val="1"/>
                <c:pt idx="0">
                  <c:v>M(fn,100% Po,π/2)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RTC!$C$99:$CG$99</c:f>
              <c:numCache>
                <c:formatCode>General</c:formatCode>
                <c:ptCount val="83"/>
                <c:pt idx="0">
                  <c:v>2.1818182382492675E-8</c:v>
                </c:pt>
                <c:pt idx="1">
                  <c:v>1.2881887010930794E-3</c:v>
                </c:pt>
                <c:pt idx="2">
                  <c:v>3.2927886442313385E-3</c:v>
                </c:pt>
                <c:pt idx="3">
                  <c:v>6.2360266346062031E-3</c:v>
                </c:pt>
                <c:pt idx="4">
                  <c:v>1.0137396704165301E-2</c:v>
                </c:pt>
                <c:pt idx="5">
                  <c:v>1.5023007895528954E-2</c:v>
                </c:pt>
                <c:pt idx="6">
                  <c:v>2.0925987778792478E-2</c:v>
                </c:pt>
                <c:pt idx="7">
                  <c:v>2.7887001276361342E-2</c:v>
                </c:pt>
                <c:pt idx="8">
                  <c:v>3.5954897539339017E-2</c:v>
                </c:pt>
                <c:pt idx="9">
                  <c:v>4.5187500817546217E-2</c:v>
                </c:pt>
                <c:pt idx="10">
                  <c:v>5.5652564835327163E-2</c:v>
                </c:pt>
                <c:pt idx="11">
                  <c:v>6.7428914152122668E-2</c:v>
                </c:pt>
                <c:pt idx="12">
                  <c:v>8.0607800331455051E-2</c:v>
                </c:pt>
                <c:pt idx="13">
                  <c:v>9.5294505365001059E-2</c:v>
                </c:pt>
                <c:pt idx="14">
                  <c:v>0.11161022945863958</c:v>
                </c:pt>
                <c:pt idx="15">
                  <c:v>0.12969430450041747</c:v>
                </c:pt>
                <c:pt idx="16">
                  <c:v>0.14970677740192706</c:v>
                </c:pt>
                <c:pt idx="17">
                  <c:v>0.17183140745740369</c:v>
                </c:pt>
                <c:pt idx="18">
                  <c:v>0.19627911619524036</c:v>
                </c:pt>
                <c:pt idx="19">
                  <c:v>0.22329191235764032</c:v>
                </c:pt>
                <c:pt idx="20">
                  <c:v>0.25314728109657647</c:v>
                </c:pt>
                <c:pt idx="21">
                  <c:v>0.28616296286546417</c:v>
                </c:pt>
                <c:pt idx="22">
                  <c:v>0.32270193381356715</c:v>
                </c:pt>
                <c:pt idx="23">
                  <c:v>0.36317720380577329</c:v>
                </c:pt>
                <c:pt idx="24">
                  <c:v>0.40805572039200749</c:v>
                </c:pt>
                <c:pt idx="25">
                  <c:v>0.45786013065995684</c:v>
                </c:pt>
                <c:pt idx="26">
                  <c:v>0.51316629609248432</c:v>
                </c:pt>
                <c:pt idx="27">
                  <c:v>0.57459312657902117</c:v>
                </c:pt>
                <c:pt idx="28">
                  <c:v>0.64277932160959372</c:v>
                </c:pt>
                <c:pt idx="29">
                  <c:v>0.71833884691119299</c:v>
                </c:pt>
                <c:pt idx="30">
                  <c:v>0.80178354597124124</c:v>
                </c:pt>
                <c:pt idx="31">
                  <c:v>0.89339801137383779</c:v>
                </c:pt>
                <c:pt idx="32">
                  <c:v>0.99305115057053139</c:v>
                </c:pt>
                <c:pt idx="33">
                  <c:v>1.0999361156437204</c:v>
                </c:pt>
                <c:pt idx="34">
                  <c:v>1.2122544795938535</c:v>
                </c:pt>
                <c:pt idx="35">
                  <c:v>1.3269116345880969</c:v>
                </c:pt>
                <c:pt idx="36">
                  <c:v>1.4393666612797296</c:v>
                </c:pt>
                <c:pt idx="37">
                  <c:v>1.5438437181055409</c:v>
                </c:pt>
                <c:pt idx="38">
                  <c:v>1.634075089047597</c:v>
                </c:pt>
                <c:pt idx="39">
                  <c:v>1.6593385553953328</c:v>
                </c:pt>
                <c:pt idx="40">
                  <c:v>1.7224809596753172</c:v>
                </c:pt>
                <c:pt idx="41">
                  <c:v>1.7617858065342098</c:v>
                </c:pt>
                <c:pt idx="42">
                  <c:v>1.7775007606476596</c:v>
                </c:pt>
                <c:pt idx="43">
                  <c:v>1.7723770936820213</c:v>
                </c:pt>
                <c:pt idx="44">
                  <c:v>1.7506688032071991</c:v>
                </c:pt>
                <c:pt idx="45">
                  <c:v>1.7170352094878036</c:v>
                </c:pt>
                <c:pt idx="46">
                  <c:v>1.6757354437264311</c:v>
                </c:pt>
                <c:pt idx="47">
                  <c:v>1.6302254633798372</c:v>
                </c:pt>
                <c:pt idx="48">
                  <c:v>1.5830741957458498</c:v>
                </c:pt>
                <c:pt idx="49">
                  <c:v>1.5360596375513149</c:v>
                </c:pt>
                <c:pt idx="50">
                  <c:v>1.4903324554146884</c:v>
                </c:pt>
                <c:pt idx="51">
                  <c:v>1.446581713956461</c:v>
                </c:pt>
                <c:pt idx="52">
                  <c:v>1.4051745142564538</c:v>
                </c:pt>
                <c:pt idx="53">
                  <c:v>1.3662628198799427</c:v>
                </c:pt>
                <c:pt idx="54">
                  <c:v>1.329860503810347</c:v>
                </c:pt>
                <c:pt idx="55">
                  <c:v>1.2958967576600455</c:v>
                </c:pt>
                <c:pt idx="56">
                  <c:v>1.2642520414530216</c:v>
                </c:pt>
                <c:pt idx="57">
                  <c:v>1.2347816882910965</c:v>
                </c:pt>
                <c:pt idx="58">
                  <c:v>1.2073310266874606</c:v>
                </c:pt>
                <c:pt idx="59">
                  <c:v>1.1817447922027622</c:v>
                </c:pt>
                <c:pt idx="60">
                  <c:v>1.1578727557635651</c:v>
                </c:pt>
                <c:pt idx="61">
                  <c:v>1.1355728820271946</c:v>
                </c:pt>
                <c:pt idx="62">
                  <c:v>1.1147129003379874</c:v>
                </c:pt>
                <c:pt idx="63">
                  <c:v>1.0951708751382412</c:v>
                </c:pt>
                <c:pt idx="64">
                  <c:v>1.0768351626045636</c:v>
                </c:pt>
                <c:pt idx="65">
                  <c:v>1.0596040061373857</c:v>
                </c:pt>
                <c:pt idx="66">
                  <c:v>1.0433849339971508</c:v>
                </c:pt>
                <c:pt idx="67">
                  <c:v>1.0280940632015909</c:v>
                </c:pt>
                <c:pt idx="68">
                  <c:v>1.0136553747908899</c:v>
                </c:pt>
                <c:pt idx="69">
                  <c:v>1</c:v>
                </c:pt>
                <c:pt idx="70">
                  <c:v>0.96691322680906977</c:v>
                </c:pt>
                <c:pt idx="71">
                  <c:v>0.93798852959219836</c:v>
                </c:pt>
                <c:pt idx="72">
                  <c:v>0.91245116941174087</c:v>
                </c:pt>
                <c:pt idx="73">
                  <c:v>0.88969658878492341</c:v>
                </c:pt>
                <c:pt idx="74">
                  <c:v>0.86924871266921189</c:v>
                </c:pt>
                <c:pt idx="75">
                  <c:v>0.85072914348639261</c:v>
                </c:pt>
                <c:pt idx="76">
                  <c:v>0.83383437970660179</c:v>
                </c:pt>
                <c:pt idx="77">
                  <c:v>0.81831887609351994</c:v>
                </c:pt>
                <c:pt idx="78">
                  <c:v>0.80398235120407913</c:v>
                </c:pt>
                <c:pt idx="79">
                  <c:v>0.7906601946781564</c:v>
                </c:pt>
                <c:pt idx="80">
                  <c:v>0.77821615163793834</c:v>
                </c:pt>
                <c:pt idx="81">
                  <c:v>0.76653669311334505</c:v>
                </c:pt>
                <c:pt idx="82">
                  <c:v>0.75552664554189064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B8C-4A5C-A513-6CCA2F65B2B6}"/>
            </c:ext>
          </c:extLst>
        </c:ser>
        <c:ser>
          <c:idx val="2"/>
          <c:order val="5"/>
          <c:tx>
            <c:strRef>
              <c:f>RTC!$B$100</c:f>
              <c:strCache>
                <c:ptCount val="1"/>
                <c:pt idx="0">
                  <c:v>M(fn,75% Po,π/2)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RTC!$C$100:$CG$100</c:f>
              <c:numCache>
                <c:formatCode>General</c:formatCode>
                <c:ptCount val="83"/>
                <c:pt idx="0">
                  <c:v>2.1818182439325691E-8</c:v>
                </c:pt>
                <c:pt idx="1">
                  <c:v>1.288386932838223E-3</c:v>
                </c:pt>
                <c:pt idx="2">
                  <c:v>3.294085024357045E-3</c:v>
                </c:pt>
                <c:pt idx="3">
                  <c:v>6.2406824378399874E-3</c:v>
                </c:pt>
                <c:pt idx="4">
                  <c:v>1.0149721903320651E-2</c:v>
                </c:pt>
                <c:pt idx="5">
                  <c:v>1.5050135523851146E-2</c:v>
                </c:pt>
                <c:pt idx="6">
                  <c:v>2.0978762930202923E-2</c:v>
                </c:pt>
                <c:pt idx="7">
                  <c:v>2.7981024024538607E-2</c:v>
                </c:pt>
                <c:pt idx="8">
                  <c:v>3.6111767932241016E-2</c:v>
                </c:pt>
                <c:pt idx="9">
                  <c:v>4.5436326096875805E-2</c:v>
                </c:pt>
                <c:pt idx="10">
                  <c:v>5.6031805097773307E-2</c:v>
                </c:pt>
                <c:pt idx="11">
                  <c:v>6.7988664131966317E-2</c:v>
                </c:pt>
                <c:pt idx="12">
                  <c:v>8.1412633661487821E-2</c:v>
                </c:pt>
                <c:pt idx="13">
                  <c:v>9.6427046070027292E-2</c:v>
                </c:pt>
                <c:pt idx="14">
                  <c:v>0.11317566700622338</c:v>
                </c:pt>
                <c:pt idx="15">
                  <c:v>0.13182613823889974</c:v>
                </c:pt>
                <c:pt idx="16">
                  <c:v>0.15257417021874703</c:v>
                </c:pt>
                <c:pt idx="17">
                  <c:v>0.17564865601082361</c:v>
                </c:pt>
                <c:pt idx="18">
                  <c:v>0.20131791842768321</c:v>
                </c:pt>
                <c:pt idx="19">
                  <c:v>0.22989734881129481</c:v>
                </c:pt>
                <c:pt idx="20">
                  <c:v>0.26175874677386279</c:v>
                </c:pt>
                <c:pt idx="21">
                  <c:v>0.29734171889440625</c:v>
                </c:pt>
                <c:pt idx="22">
                  <c:v>0.33716752587048926</c:v>
                </c:pt>
                <c:pt idx="23">
                  <c:v>0.38185574987982202</c:v>
                </c:pt>
                <c:pt idx="24">
                  <c:v>0.43214402159173204</c:v>
                </c:pt>
                <c:pt idx="25">
                  <c:v>0.48891067008148414</c:v>
                </c:pt>
                <c:pt idx="26">
                  <c:v>0.55319928820362751</c:v>
                </c:pt>
                <c:pt idx="27">
                  <c:v>0.62624236450510695</c:v>
                </c:pt>
                <c:pt idx="28">
                  <c:v>0.70947743818119824</c:v>
                </c:pt>
                <c:pt idx="29">
                  <c:v>0.80454211618310545</c:v>
                </c:pt>
                <c:pt idx="30">
                  <c:v>0.91322115987396435</c:v>
                </c:pt>
                <c:pt idx="31">
                  <c:v>1.0372960664446651</c:v>
                </c:pt>
                <c:pt idx="32">
                  <c:v>1.1782121374140364</c:v>
                </c:pt>
                <c:pt idx="33">
                  <c:v>1.3364349780829283</c:v>
                </c:pt>
                <c:pt idx="34">
                  <c:v>1.510352267256434</c:v>
                </c:pt>
                <c:pt idx="35">
                  <c:v>1.6946933621753784</c:v>
                </c:pt>
                <c:pt idx="36">
                  <c:v>1.8788872930725189</c:v>
                </c:pt>
                <c:pt idx="37">
                  <c:v>2.0466553898913222</c:v>
                </c:pt>
                <c:pt idx="38">
                  <c:v>2.1787661726775807</c:v>
                </c:pt>
                <c:pt idx="39">
                  <c:v>2.2111254628172499</c:v>
                </c:pt>
                <c:pt idx="40">
                  <c:v>2.2733341619235312</c:v>
                </c:pt>
                <c:pt idx="41">
                  <c:v>2.279475815657614</c:v>
                </c:pt>
                <c:pt idx="42">
                  <c:v>2.2390917769355316</c:v>
                </c:pt>
                <c:pt idx="43">
                  <c:v>2.1671764851446018</c:v>
                </c:pt>
                <c:pt idx="44">
                  <c:v>2.0782664827564981</c:v>
                </c:pt>
                <c:pt idx="45">
                  <c:v>1.9833491584035785</c:v>
                </c:pt>
                <c:pt idx="46">
                  <c:v>1.8894370266624958</c:v>
                </c:pt>
                <c:pt idx="47">
                  <c:v>1.8004036122547353</c:v>
                </c:pt>
                <c:pt idx="48">
                  <c:v>1.7180362951962087</c:v>
                </c:pt>
                <c:pt idx="49">
                  <c:v>1.6428800535467103</c:v>
                </c:pt>
                <c:pt idx="50">
                  <c:v>1.5748033751254673</c:v>
                </c:pt>
                <c:pt idx="51">
                  <c:v>1.5133428875947135</c:v>
                </c:pt>
                <c:pt idx="52">
                  <c:v>1.4579001918992971</c:v>
                </c:pt>
                <c:pt idx="53">
                  <c:v>1.4078482374057373</c:v>
                </c:pt>
                <c:pt idx="54">
                  <c:v>1.3625851213657623</c:v>
                </c:pt>
                <c:pt idx="55">
                  <c:v>1.3215584444011077</c:v>
                </c:pt>
                <c:pt idx="56">
                  <c:v>1.2842737446429706</c:v>
                </c:pt>
                <c:pt idx="57">
                  <c:v>1.2502946995621886</c:v>
                </c:pt>
                <c:pt idx="58">
                  <c:v>1.2192393728204127</c:v>
                </c:pt>
                <c:pt idx="59">
                  <c:v>1.1907748312749207</c:v>
                </c:pt>
                <c:pt idx="60">
                  <c:v>1.1646113567059417</c:v>
                </c:pt>
                <c:pt idx="61">
                  <c:v>1.140496864502047</c:v>
                </c:pt>
                <c:pt idx="62">
                  <c:v>1.1182118061628268</c:v>
                </c:pt>
                <c:pt idx="63">
                  <c:v>1.0975646529978911</c:v>
                </c:pt>
                <c:pt idx="64">
                  <c:v>1.0783879659759421</c:v>
                </c:pt>
                <c:pt idx="65">
                  <c:v>1.0605350123336386</c:v>
                </c:pt>
                <c:pt idx="66">
                  <c:v>1.0438768713069297</c:v>
                </c:pt>
                <c:pt idx="67">
                  <c:v>1.0282999668555644</c:v>
                </c:pt>
                <c:pt idx="68">
                  <c:v>1.0137039676399553</c:v>
                </c:pt>
                <c:pt idx="69">
                  <c:v>1</c:v>
                </c:pt>
                <c:pt idx="70">
                  <c:v>0.96719882159524373</c:v>
                </c:pt>
                <c:pt idx="71">
                  <c:v>0.93899617000083535</c:v>
                </c:pt>
                <c:pt idx="72">
                  <c:v>0.91447253396452466</c:v>
                </c:pt>
                <c:pt idx="73">
                  <c:v>0.89293009103359888</c:v>
                </c:pt>
                <c:pt idx="74">
                  <c:v>0.87383107550355499</c:v>
                </c:pt>
                <c:pt idx="75">
                  <c:v>0.85675526471749119</c:v>
                </c:pt>
                <c:pt idx="76">
                  <c:v>0.84137012873404282</c:v>
                </c:pt>
                <c:pt idx="77">
                  <c:v>0.82740951576527788</c:v>
                </c:pt>
                <c:pt idx="78">
                  <c:v>0.81465819096376568</c:v>
                </c:pt>
                <c:pt idx="79">
                  <c:v>0.80294045572863604</c:v>
                </c:pt>
                <c:pt idx="80">
                  <c:v>0.79211165619735791</c:v>
                </c:pt>
                <c:pt idx="81">
                  <c:v>0.78205176741559146</c:v>
                </c:pt>
                <c:pt idx="82">
                  <c:v>0.77266048914876062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B8C-4A5C-A513-6CCA2F65B2B6}"/>
            </c:ext>
          </c:extLst>
        </c:ser>
        <c:ser>
          <c:idx val="3"/>
          <c:order val="6"/>
          <c:tx>
            <c:strRef>
              <c:f>RTC!$B$101</c:f>
              <c:strCache>
                <c:ptCount val="1"/>
                <c:pt idx="0">
                  <c:v>M(fn,50% Po,π/2)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RTC!$C$101:$CG$101</c:f>
              <c:numCache>
                <c:formatCode>General</c:formatCode>
                <c:ptCount val="83"/>
                <c:pt idx="0">
                  <c:v>2.1818182479920704E-8</c:v>
                </c:pt>
                <c:pt idx="1">
                  <c:v>1.2885285829841006E-3</c:v>
                </c:pt>
                <c:pt idx="2">
                  <c:v>3.2950119481721194E-3</c:v>
                </c:pt>
                <c:pt idx="3">
                  <c:v>6.2440144033623097E-3</c:v>
                </c:pt>
                <c:pt idx="4">
                  <c:v>1.0158553191859945E-2</c:v>
                </c:pt>
                <c:pt idx="5">
                  <c:v>1.5069602622699301E-2</c:v>
                </c:pt>
                <c:pt idx="6">
                  <c:v>2.1016704876682134E-2</c:v>
                </c:pt>
                <c:pt idx="7">
                  <c:v>2.8048768388947723E-2</c:v>
                </c:pt>
                <c:pt idx="8">
                  <c:v>3.6225083729408081E-2</c:v>
                </c:pt>
                <c:pt idx="9">
                  <c:v>4.5616596356075428E-2</c:v>
                </c:pt>
                <c:pt idx="10">
                  <c:v>5.6307487501055131E-2</c:v>
                </c:pt>
                <c:pt idx="11">
                  <c:v>6.83971296301875E-2</c:v>
                </c:pt>
                <c:pt idx="12">
                  <c:v>8.2002502564154742E-2</c:v>
                </c:pt>
                <c:pt idx="13">
                  <c:v>9.7261182059277002E-2</c:v>
                </c:pt>
                <c:pt idx="14">
                  <c:v>0.11433504662530793</c:v>
                </c:pt>
                <c:pt idx="15">
                  <c:v>0.13341489367348136</c:v>
                </c:pt>
                <c:pt idx="16">
                  <c:v>0.15472621704054584</c:v>
                </c:pt>
                <c:pt idx="17">
                  <c:v>0.17853648058534624</c:v>
                </c:pt>
                <c:pt idx="18">
                  <c:v>0.20516433548851423</c:v>
                </c:pt>
                <c:pt idx="19">
                  <c:v>0.23499138428974772</c:v>
                </c:pt>
                <c:pt idx="20">
                  <c:v>0.26847730985236462</c:v>
                </c:pt>
                <c:pt idx="21">
                  <c:v>0.306179486691594</c:v>
                </c:pt>
                <c:pt idx="22">
                  <c:v>0.34877860915110864</c:v>
                </c:pt>
                <c:pt idx="23">
                  <c:v>0.39711245078414559</c:v>
                </c:pt>
                <c:pt idx="24">
                  <c:v>0.45222066752110879</c:v>
                </c:pt>
                <c:pt idx="25">
                  <c:v>0.51540462938092035</c:v>
                </c:pt>
                <c:pt idx="26">
                  <c:v>0.58830762840615802</c:v>
                </c:pt>
                <c:pt idx="27">
                  <c:v>0.67302232488870162</c:v>
                </c:pt>
                <c:pt idx="28">
                  <c:v>0.77223333712321429</c:v>
                </c:pt>
                <c:pt idx="29">
                  <c:v>0.88940146434470002</c:v>
                </c:pt>
                <c:pt idx="30">
                  <c:v>1.0289864824494519</c:v>
                </c:pt>
                <c:pt idx="31">
                  <c:v>1.1966724314094623</c:v>
                </c:pt>
                <c:pt idx="32">
                  <c:v>1.3994632574174966</c:v>
                </c:pt>
                <c:pt idx="33">
                  <c:v>1.6452628496952004</c:v>
                </c:pt>
                <c:pt idx="34">
                  <c:v>1.9409529095430127</c:v>
                </c:pt>
                <c:pt idx="35">
                  <c:v>2.2868567113323426</c:v>
                </c:pt>
                <c:pt idx="36">
                  <c:v>2.6646897391488631</c:v>
                </c:pt>
                <c:pt idx="37">
                  <c:v>3.0210297534050929</c:v>
                </c:pt>
                <c:pt idx="38">
                  <c:v>3.2681466330811508</c:v>
                </c:pt>
                <c:pt idx="39">
                  <c:v>3.3110252196145509</c:v>
                </c:pt>
                <c:pt idx="40">
                  <c:v>3.3156909367168921</c:v>
                </c:pt>
                <c:pt idx="41">
                  <c:v>3.1654851290358881</c:v>
                </c:pt>
                <c:pt idx="42">
                  <c:v>2.9379147301897293</c:v>
                </c:pt>
                <c:pt idx="43">
                  <c:v>2.6956469422014</c:v>
                </c:pt>
                <c:pt idx="44">
                  <c:v>2.4705166769883409</c:v>
                </c:pt>
                <c:pt idx="45">
                  <c:v>2.2731978578150067</c:v>
                </c:pt>
                <c:pt idx="46">
                  <c:v>2.1043137440172504</c:v>
                </c:pt>
                <c:pt idx="47">
                  <c:v>1.9607997258777863</c:v>
                </c:pt>
                <c:pt idx="48">
                  <c:v>1.8387414801727384</c:v>
                </c:pt>
                <c:pt idx="49">
                  <c:v>1.7344475901781757</c:v>
                </c:pt>
                <c:pt idx="50">
                  <c:v>1.6447671953798582</c:v>
                </c:pt>
                <c:pt idx="51">
                  <c:v>1.5671176092543675</c:v>
                </c:pt>
                <c:pt idx="52">
                  <c:v>1.4994159312519777</c:v>
                </c:pt>
                <c:pt idx="53">
                  <c:v>1.4399901776491046</c:v>
                </c:pt>
                <c:pt idx="54">
                  <c:v>1.3874966034904137</c:v>
                </c:pt>
                <c:pt idx="55">
                  <c:v>1.3408506390314692</c:v>
                </c:pt>
                <c:pt idx="56">
                  <c:v>1.2991717638123261</c:v>
                </c:pt>
                <c:pt idx="57">
                  <c:v>1.2617403838170929</c:v>
                </c:pt>
                <c:pt idx="58">
                  <c:v>1.2279643637936826</c:v>
                </c:pt>
                <c:pt idx="59">
                  <c:v>1.1973530893088902</c:v>
                </c:pt>
                <c:pt idx="60">
                  <c:v>1.1694973196907215</c:v>
                </c:pt>
                <c:pt idx="61">
                  <c:v>1.1440534718277999</c:v>
                </c:pt>
                <c:pt idx="62">
                  <c:v>1.1207312935183062</c:v>
                </c:pt>
                <c:pt idx="63">
                  <c:v>1.0992841366401696</c:v>
                </c:pt>
                <c:pt idx="64">
                  <c:v>1.0795012330280616</c:v>
                </c:pt>
                <c:pt idx="65">
                  <c:v>1.0612015212514392</c:v>
                </c:pt>
                <c:pt idx="66">
                  <c:v>1.0442286814174895</c:v>
                </c:pt>
                <c:pt idx="67">
                  <c:v>1.028447116660097</c:v>
                </c:pt>
                <c:pt idx="68">
                  <c:v>1.0137386810967635</c:v>
                </c:pt>
                <c:pt idx="69">
                  <c:v>1</c:v>
                </c:pt>
                <c:pt idx="70">
                  <c:v>0.96740297287939647</c:v>
                </c:pt>
                <c:pt idx="71">
                  <c:v>0.9397179046098656</c:v>
                </c:pt>
                <c:pt idx="72">
                  <c:v>0.91592461846307416</c:v>
                </c:pt>
                <c:pt idx="73">
                  <c:v>0.89526144065932423</c:v>
                </c:pt>
                <c:pt idx="74">
                  <c:v>0.87714892036287673</c:v>
                </c:pt>
                <c:pt idx="75">
                  <c:v>0.86113889543855549</c:v>
                </c:pt>
                <c:pt idx="76">
                  <c:v>0.84687964305359276</c:v>
                </c:pt>
                <c:pt idx="77">
                  <c:v>0.83409151190731656</c:v>
                </c:pt>
                <c:pt idx="78">
                  <c:v>0.82254954889244947</c:v>
                </c:pt>
                <c:pt idx="79">
                  <c:v>0.81207089395729926</c:v>
                </c:pt>
                <c:pt idx="80">
                  <c:v>0.80250548884949624</c:v>
                </c:pt>
                <c:pt idx="81">
                  <c:v>0.79372912964468822</c:v>
                </c:pt>
                <c:pt idx="82">
                  <c:v>0.78563820355372027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B8C-4A5C-A513-6CCA2F65B2B6}"/>
            </c:ext>
          </c:extLst>
        </c:ser>
        <c:ser>
          <c:idx val="5"/>
          <c:order val="7"/>
          <c:tx>
            <c:strRef>
              <c:f>RTC!$B$102</c:f>
              <c:strCache>
                <c:ptCount val="1"/>
                <c:pt idx="0">
                  <c:v>M(fn,25% Po,π/2)</c:v>
                </c:pt>
              </c:strCache>
            </c:strRef>
          </c:tx>
          <c:spPr>
            <a:ln w="19050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RTC!$C$102:$CG$102</c:f>
              <c:numCache>
                <c:formatCode>General</c:formatCode>
                <c:ptCount val="83"/>
                <c:pt idx="0">
                  <c:v>2.1818182504277716E-8</c:v>
                </c:pt>
                <c:pt idx="1">
                  <c:v>1.2886135955008332E-3</c:v>
                </c:pt>
                <c:pt idx="2">
                  <c:v>3.2955684781936466E-3</c:v>
                </c:pt>
                <c:pt idx="3">
                  <c:v>6.2460161462191653E-3</c:v>
                </c:pt>
                <c:pt idx="4">
                  <c:v>1.0163863042965088E-2</c:v>
                </c:pt>
                <c:pt idx="5">
                  <c:v>1.5081319204381372E-2</c:v>
                </c:pt>
                <c:pt idx="6">
                  <c:v>2.1039569098202388E-2</c:v>
                </c:pt>
                <c:pt idx="7">
                  <c:v>2.8089651953662267E-2</c:v>
                </c:pt>
                <c:pt idx="8">
                  <c:v>3.6293587388214997E-2</c:v>
                </c:pt>
                <c:pt idx="9">
                  <c:v>4.5725793918706494E-2</c:v>
                </c:pt>
                <c:pt idx="10">
                  <c:v>5.6474863038622196E-2</c:v>
                </c:pt>
                <c:pt idx="11">
                  <c:v>6.8645771225195648E-2</c:v>
                </c:pt>
                <c:pt idx="12">
                  <c:v>8.2362638290634962E-2</c:v>
                </c:pt>
                <c:pt idx="13">
                  <c:v>9.777217543465197E-2</c:v>
                </c:pt>
                <c:pt idx="14">
                  <c:v>0.11504801381981522</c:v>
                </c:pt>
                <c:pt idx="15">
                  <c:v>0.1343961697659459</c:v>
                </c:pt>
                <c:pt idx="16">
                  <c:v>0.15606199356055589</c:v>
                </c:pt>
                <c:pt idx="17">
                  <c:v>0.18033907712619268</c:v>
                </c:pt>
                <c:pt idx="18">
                  <c:v>0.20758077920643064</c:v>
                </c:pt>
                <c:pt idx="19">
                  <c:v>0.23821529291505833</c:v>
                </c:pt>
                <c:pt idx="20">
                  <c:v>0.27276557284516439</c:v>
                </c:pt>
                <c:pt idx="21">
                  <c:v>0.3118760270307826</c:v>
                </c:pt>
                <c:pt idx="22">
                  <c:v>0.35634877663150372</c:v>
                </c:pt>
                <c:pt idx="23">
                  <c:v>0.40719368317894933</c:v>
                </c:pt>
                <c:pt idx="24">
                  <c:v>0.46569856393000625</c:v>
                </c:pt>
                <c:pt idx="25">
                  <c:v>0.53352962776885804</c:v>
                </c:pt>
                <c:pt idx="26">
                  <c:v>0.61287818547722495</c:v>
                </c:pt>
                <c:pt idx="27">
                  <c:v>0.70667999489874966</c:v>
                </c:pt>
                <c:pt idx="28">
                  <c:v>0.81895174017762684</c:v>
                </c:pt>
                <c:pt idx="29">
                  <c:v>0.95532197886781722</c:v>
                </c:pt>
                <c:pt idx="30">
                  <c:v>1.1238949075668698</c:v>
                </c:pt>
                <c:pt idx="31">
                  <c:v>1.336700784700356</c:v>
                </c:pt>
                <c:pt idx="32">
                  <c:v>1.6122041821848843</c:v>
                </c:pt>
                <c:pt idx="33">
                  <c:v>1.9797167331940804</c:v>
                </c:pt>
                <c:pt idx="34">
                  <c:v>2.4869471935964955</c:v>
                </c:pt>
                <c:pt idx="35">
                  <c:v>3.2103200546599164</c:v>
                </c:pt>
                <c:pt idx="36">
                  <c:v>4.2496371420859802</c:v>
                </c:pt>
                <c:pt idx="37">
                  <c:v>5.5838781280519623</c:v>
                </c:pt>
                <c:pt idx="38">
                  <c:v>6.536264906280671</c:v>
                </c:pt>
                <c:pt idx="39">
                  <c:v>6.5618770904865382</c:v>
                </c:pt>
                <c:pt idx="40">
                  <c:v>5.8283032893166329</c:v>
                </c:pt>
                <c:pt idx="41">
                  <c:v>4.7563696098705019</c:v>
                </c:pt>
                <c:pt idx="42">
                  <c:v>3.9015255964034536</c:v>
                </c:pt>
                <c:pt idx="43">
                  <c:v>3.2890887050132047</c:v>
                </c:pt>
                <c:pt idx="44">
                  <c:v>2.8486465633840918</c:v>
                </c:pt>
                <c:pt idx="45">
                  <c:v>2.5229481085899597</c:v>
                </c:pt>
                <c:pt idx="46">
                  <c:v>2.274741534759305</c:v>
                </c:pt>
                <c:pt idx="47">
                  <c:v>2.0803949878791861</c:v>
                </c:pt>
                <c:pt idx="48">
                  <c:v>1.9246409174621322</c:v>
                </c:pt>
                <c:pt idx="49">
                  <c:v>1.7973280730835068</c:v>
                </c:pt>
                <c:pt idx="50">
                  <c:v>1.6915035214697591</c:v>
                </c:pt>
                <c:pt idx="51">
                  <c:v>1.6022709678425973</c:v>
                </c:pt>
                <c:pt idx="52">
                  <c:v>1.5260949961030321</c:v>
                </c:pt>
                <c:pt idx="53">
                  <c:v>1.4603652308008392</c:v>
                </c:pt>
                <c:pt idx="54">
                  <c:v>1.4031157251568276</c:v>
                </c:pt>
                <c:pt idx="55">
                  <c:v>1.3528395535321116</c:v>
                </c:pt>
                <c:pt idx="56">
                  <c:v>1.3083633497339899</c:v>
                </c:pt>
                <c:pt idx="57">
                  <c:v>1.2687605397323707</c:v>
                </c:pt>
                <c:pt idx="58">
                  <c:v>1.2332901336794484</c:v>
                </c:pt>
                <c:pt idx="59">
                  <c:v>1.2013527629548135</c:v>
                </c:pt>
                <c:pt idx="60">
                  <c:v>1.1724585811910933</c:v>
                </c:pt>
                <c:pt idx="61">
                  <c:v>1.1462034742108889</c:v>
                </c:pt>
                <c:pt idx="62">
                  <c:v>1.1222511850942101</c:v>
                </c:pt>
                <c:pt idx="63">
                  <c:v>1.1003197140231982</c:v>
                </c:pt>
                <c:pt idx="64">
                  <c:v>1.0801708504954202</c:v>
                </c:pt>
                <c:pt idx="65">
                  <c:v>1.0616020302914293</c:v>
                </c:pt>
                <c:pt idx="66">
                  <c:v>1.0444399382984499</c:v>
                </c:pt>
                <c:pt idx="67">
                  <c:v>1.0285354368708968</c:v>
                </c:pt>
                <c:pt idx="68">
                  <c:v>1.0137595108827029</c:v>
                </c:pt>
                <c:pt idx="69">
                  <c:v>1</c:v>
                </c:pt>
                <c:pt idx="70">
                  <c:v>0.96752552571866779</c:v>
                </c:pt>
                <c:pt idx="71">
                  <c:v>0.94015174502363608</c:v>
                </c:pt>
                <c:pt idx="72">
                  <c:v>0.91679919649383013</c:v>
                </c:pt>
                <c:pt idx="73">
                  <c:v>0.89666904621600196</c:v>
                </c:pt>
                <c:pt idx="74">
                  <c:v>0.87915786000048757</c:v>
                </c:pt>
                <c:pt idx="75">
                  <c:v>0.86380159359385156</c:v>
                </c:pt>
                <c:pt idx="76">
                  <c:v>0.85023776125807737</c:v>
                </c:pt>
                <c:pt idx="77">
                  <c:v>0.83817926151400113</c:v>
                </c:pt>
                <c:pt idx="78">
                  <c:v>0.82739587966145289</c:v>
                </c:pt>
                <c:pt idx="79">
                  <c:v>0.81770096634061051</c:v>
                </c:pt>
                <c:pt idx="80">
                  <c:v>0.80894168016618251</c:v>
                </c:pt>
                <c:pt idx="81">
                  <c:v>0.80099173123418488</c:v>
                </c:pt>
                <c:pt idx="82">
                  <c:v>0.79374590961510494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B8C-4A5C-A513-6CCA2F65B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431"/>
        <c:axId val="1407976511"/>
      </c:scatterChart>
      <c:valAx>
        <c:axId val="1407978431"/>
        <c:scaling>
          <c:orientation val="minMax"/>
          <c:min val="0.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fn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6511"/>
        <c:crosses val="autoZero"/>
        <c:crossBetween val="midCat"/>
      </c:valAx>
      <c:valAx>
        <c:axId val="1407976511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Required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8431"/>
        <c:crossesAt val="0"/>
        <c:crossBetween val="midCat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8000612781186165"/>
          <c:y val="0.15775322462009125"/>
          <c:w val="0.25418044486855312"/>
          <c:h val="0.3256191011501736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Gain curve vs Minimum Required Gain for PFC </a:t>
            </a:r>
            <a:r>
              <a:rPr lang="en-US" sz="1400"/>
              <a:t>regulation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@Vin_min- Variable Load @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π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/2</a:t>
            </a:r>
            <a:endParaRPr lang="el-GR" sz="1400"/>
          </a:p>
        </c:rich>
      </c:tx>
      <c:layout>
        <c:manualLayout>
          <c:xMode val="edge"/>
          <c:yMode val="edge"/>
          <c:x val="0.16144385855423607"/>
          <c:y val="2.3272468193682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537263861003059"/>
          <c:y val="0.14181437112537784"/>
          <c:w val="0.82634951881014873"/>
          <c:h val="0.73685758765226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RTC!$B$28</c:f>
              <c:strCache>
                <c:ptCount val="1"/>
                <c:pt idx="0">
                  <c:v>M.OL(fn)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RTC!$C$28:$CG$28</c:f>
              <c:numCache>
                <c:formatCode>General</c:formatCode>
                <c:ptCount val="83"/>
                <c:pt idx="0">
                  <c:v>2.1818182512396718E-8</c:v>
                </c:pt>
                <c:pt idx="1">
                  <c:v>1.2886419367458453E-3</c:v>
                </c:pt>
                <c:pt idx="2">
                  <c:v>3.2957540508757933E-3</c:v>
                </c:pt>
                <c:pt idx="3">
                  <c:v>6.2466838217803949E-3</c:v>
                </c:pt>
                <c:pt idx="4">
                  <c:v>1.0165634844491057E-2</c:v>
                </c:pt>
                <c:pt idx="5">
                  <c:v>1.5085230808885637E-2</c:v>
                </c:pt>
                <c:pt idx="6">
                  <c:v>2.104720710419164E-2</c:v>
                </c:pt>
                <c:pt idx="7">
                  <c:v>2.8103319587713758E-2</c:v>
                </c:pt>
                <c:pt idx="8">
                  <c:v>3.6316508449383139E-2</c:v>
                </c:pt>
                <c:pt idx="9">
                  <c:v>4.5762367743434479E-2</c:v>
                </c:pt>
                <c:pt idx="10">
                  <c:v>5.6530987448607108E-2</c:v>
                </c:pt>
                <c:pt idx="11">
                  <c:v>6.8729256295102084E-2</c:v>
                </c:pt>
                <c:pt idx="12">
                  <c:v>8.2483742085161724E-2</c:v>
                </c:pt>
                <c:pt idx="13">
                  <c:v>9.7944304735298124E-2</c:v>
                </c:pt>
                <c:pt idx="14">
                  <c:v>0.11528864999952876</c:v>
                </c:pt>
                <c:pt idx="15">
                  <c:v>0.1347281050187448</c:v>
                </c:pt>
                <c:pt idx="16">
                  <c:v>0.15651499980883612</c:v>
                </c:pt>
                <c:pt idx="17">
                  <c:v>0.18095218575415503</c:v>
                </c:pt>
                <c:pt idx="18">
                  <c:v>0.20840543512238516</c:v>
                </c:pt>
                <c:pt idx="19">
                  <c:v>0.23931977930378859</c:v>
                </c:pt>
                <c:pt idx="20">
                  <c:v>0.27424131386312434</c:v>
                </c:pt>
                <c:pt idx="21">
                  <c:v>0.31384671772931005</c:v>
                </c:pt>
                <c:pt idx="22">
                  <c:v>0.3589838574142431</c:v>
                </c:pt>
                <c:pt idx="23">
                  <c:v>0.41072864448862639</c:v>
                </c:pt>
                <c:pt idx="24">
                  <c:v>0.47046626668653735</c:v>
                </c:pt>
                <c:pt idx="25">
                  <c:v>0.54000990781304037</c:v>
                </c:pt>
                <c:pt idx="26">
                  <c:v>0.62177881033586746</c:v>
                </c:pt>
                <c:pt idx="27">
                  <c:v>0.71907341857608231</c:v>
                </c:pt>
                <c:pt idx="28">
                  <c:v>0.83651551018079373</c:v>
                </c:pt>
                <c:pt idx="29">
                  <c:v>0.98078153994784389</c:v>
                </c:pt>
                <c:pt idx="30">
                  <c:v>1.1618855338834528</c:v>
                </c:pt>
                <c:pt idx="31">
                  <c:v>1.3955605407023011</c:v>
                </c:pt>
                <c:pt idx="32">
                  <c:v>1.70801881699095</c:v>
                </c:pt>
                <c:pt idx="33">
                  <c:v>2.1464163817304032</c:v>
                </c:pt>
                <c:pt idx="34">
                  <c:v>2.8049873938594398</c:v>
                </c:pt>
                <c:pt idx="35">
                  <c:v>3.9033273688464369</c:v>
                </c:pt>
                <c:pt idx="36">
                  <c:v>6.098718634915044</c:v>
                </c:pt>
                <c:pt idx="37">
                  <c:v>12.659566924581251</c:v>
                </c:pt>
                <c:pt idx="38">
                  <c:v>1921.5837087114464</c:v>
                </c:pt>
                <c:pt idx="39">
                  <c:v>42.249999999987104</c:v>
                </c:pt>
                <c:pt idx="40">
                  <c:v>10.581427390464974</c:v>
                </c:pt>
                <c:pt idx="41">
                  <c:v>6.2413366336631526</c:v>
                </c:pt>
                <c:pt idx="42">
                  <c:v>4.5187319884725161</c:v>
                </c:pt>
                <c:pt idx="43">
                  <c:v>3.5949449125080415</c:v>
                </c:pt>
                <c:pt idx="44">
                  <c:v>3.0192994996425648</c:v>
                </c:pt>
                <c:pt idx="45">
                  <c:v>2.6264591439688467</c:v>
                </c:pt>
                <c:pt idx="46">
                  <c:v>2.3414634146341284</c:v>
                </c:pt>
                <c:pt idx="47">
                  <c:v>2.1254008980115326</c:v>
                </c:pt>
                <c:pt idx="48">
                  <c:v>1.9560649474689491</c:v>
                </c:pt>
                <c:pt idx="49">
                  <c:v>1.8198585144012047</c:v>
                </c:pt>
                <c:pt idx="50">
                  <c:v>1.7079905491189553</c:v>
                </c:pt>
                <c:pt idx="51">
                  <c:v>1.6145251396647997</c:v>
                </c:pt>
                <c:pt idx="52">
                  <c:v>1.5353095649293769</c:v>
                </c:pt>
                <c:pt idx="53">
                  <c:v>1.4673515584189416</c:v>
                </c:pt>
                <c:pt idx="54">
                  <c:v>1.4084404999094342</c:v>
                </c:pt>
                <c:pt idx="55">
                  <c:v>1.35690789473684</c:v>
                </c:pt>
                <c:pt idx="56">
                  <c:v>1.3114708393594574</c:v>
                </c:pt>
                <c:pt idx="57">
                  <c:v>1.2711267605633787</c:v>
                </c:pt>
                <c:pt idx="58">
                  <c:v>1.2350808487203404</c:v>
                </c:pt>
                <c:pt idx="59">
                  <c:v>1.2026949211102145</c:v>
                </c:pt>
                <c:pt idx="60">
                  <c:v>1.1734506784011727</c:v>
                </c:pt>
                <c:pt idx="61">
                  <c:v>1.1469228398232809</c:v>
                </c:pt>
                <c:pt idx="62">
                  <c:v>1.1227591914225556</c:v>
                </c:pt>
                <c:pt idx="63">
                  <c:v>1.1006655574043258</c:v>
                </c:pt>
                <c:pt idx="64">
                  <c:v>1.080394333380958</c:v>
                </c:pt>
                <c:pt idx="65">
                  <c:v>1.0617356341095658</c:v>
                </c:pt>
                <c:pt idx="66">
                  <c:v>1.0445103857566764</c:v>
                </c:pt>
                <c:pt idx="67">
                  <c:v>1.0285648819980142</c:v>
                </c:pt>
                <c:pt idx="68">
                  <c:v>1.0137664544300213</c:v>
                </c:pt>
                <c:pt idx="69">
                  <c:v>1</c:v>
                </c:pt>
                <c:pt idx="70">
                  <c:v>0.96756638701644149</c:v>
                </c:pt>
                <c:pt idx="71">
                  <c:v>0.94029649207737387</c:v>
                </c:pt>
                <c:pt idx="72">
                  <c:v>0.9170912797089299</c:v>
                </c:pt>
                <c:pt idx="73">
                  <c:v>0.89713972557044763</c:v>
                </c:pt>
                <c:pt idx="74">
                  <c:v>0.87983058019429439</c:v>
                </c:pt>
                <c:pt idx="75">
                  <c:v>0.86469466359597535</c:v>
                </c:pt>
                <c:pt idx="76">
                  <c:v>0.85136604264766635</c:v>
                </c:pt>
                <c:pt idx="77">
                  <c:v>0.83955525874231718</c:v>
                </c:pt>
                <c:pt idx="78">
                  <c:v>0.82903045930975283</c:v>
                </c:pt>
                <c:pt idx="79">
                  <c:v>0.81960384055727298</c:v>
                </c:pt>
                <c:pt idx="80">
                  <c:v>0.81112173694104106</c:v>
                </c:pt>
                <c:pt idx="81">
                  <c:v>0.80345726326884537</c:v>
                </c:pt>
                <c:pt idx="82">
                  <c:v>0.7965047748976446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BB-41C5-9AD7-69145972AE19}"/>
            </c:ext>
          </c:extLst>
        </c:ser>
        <c:ser>
          <c:idx val="4"/>
          <c:order val="1"/>
          <c:tx>
            <c:strRef>
              <c:f>RTC!$B$53</c:f>
              <c:strCache>
                <c:ptCount val="1"/>
                <c:pt idx="0">
                  <c:v>Mreq(Vin_min, Vout,π/2 )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RTC!$C$53:$CG$53</c:f>
              <c:numCache>
                <c:formatCode>General</c:formatCode>
                <c:ptCount val="83"/>
                <c:pt idx="0">
                  <c:v>1.5209591835918568</c:v>
                </c:pt>
                <c:pt idx="1">
                  <c:v>1.5209591835918568</c:v>
                </c:pt>
                <c:pt idx="2">
                  <c:v>1.5209591835918568</c:v>
                </c:pt>
                <c:pt idx="3">
                  <c:v>1.5209591835918568</c:v>
                </c:pt>
                <c:pt idx="4">
                  <c:v>1.5209591835918568</c:v>
                </c:pt>
                <c:pt idx="5">
                  <c:v>1.5209591835918568</c:v>
                </c:pt>
                <c:pt idx="6">
                  <c:v>1.5209591835918568</c:v>
                </c:pt>
                <c:pt idx="7">
                  <c:v>1.5209591835918568</c:v>
                </c:pt>
                <c:pt idx="8">
                  <c:v>1.5209591835918568</c:v>
                </c:pt>
                <c:pt idx="9">
                  <c:v>1.5209591835918568</c:v>
                </c:pt>
                <c:pt idx="10">
                  <c:v>1.5209591835918568</c:v>
                </c:pt>
                <c:pt idx="11">
                  <c:v>1.5209591835918568</c:v>
                </c:pt>
                <c:pt idx="12">
                  <c:v>1.5209591835918568</c:v>
                </c:pt>
                <c:pt idx="13">
                  <c:v>1.5209591835918568</c:v>
                </c:pt>
                <c:pt idx="14">
                  <c:v>1.5209591835918568</c:v>
                </c:pt>
                <c:pt idx="15">
                  <c:v>1.5209591835918568</c:v>
                </c:pt>
                <c:pt idx="16">
                  <c:v>1.5209591835918568</c:v>
                </c:pt>
                <c:pt idx="17">
                  <c:v>1.5209591835918568</c:v>
                </c:pt>
                <c:pt idx="18">
                  <c:v>1.5209591835918568</c:v>
                </c:pt>
                <c:pt idx="19">
                  <c:v>1.5209591835918568</c:v>
                </c:pt>
                <c:pt idx="20">
                  <c:v>1.5209591835918568</c:v>
                </c:pt>
                <c:pt idx="21">
                  <c:v>1.5209591835918568</c:v>
                </c:pt>
                <c:pt idx="22">
                  <c:v>1.5209591835918568</c:v>
                </c:pt>
                <c:pt idx="23">
                  <c:v>1.5209591835918568</c:v>
                </c:pt>
                <c:pt idx="24">
                  <c:v>1.5209591835918568</c:v>
                </c:pt>
                <c:pt idx="25">
                  <c:v>1.5209591835918568</c:v>
                </c:pt>
                <c:pt idx="26">
                  <c:v>1.5209591835918568</c:v>
                </c:pt>
                <c:pt idx="27">
                  <c:v>1.5209591835918568</c:v>
                </c:pt>
                <c:pt idx="28">
                  <c:v>1.5209591835918568</c:v>
                </c:pt>
                <c:pt idx="29">
                  <c:v>1.5209591835918568</c:v>
                </c:pt>
                <c:pt idx="30">
                  <c:v>1.5209591835918568</c:v>
                </c:pt>
                <c:pt idx="31">
                  <c:v>1.5209591835918568</c:v>
                </c:pt>
                <c:pt idx="32">
                  <c:v>1.5209591835918568</c:v>
                </c:pt>
                <c:pt idx="33">
                  <c:v>1.5209591835918568</c:v>
                </c:pt>
                <c:pt idx="34">
                  <c:v>1.5209591835918568</c:v>
                </c:pt>
                <c:pt idx="35">
                  <c:v>1.5209591835918568</c:v>
                </c:pt>
                <c:pt idx="36">
                  <c:v>1.5209591835918568</c:v>
                </c:pt>
                <c:pt idx="37">
                  <c:v>1.5209591835918568</c:v>
                </c:pt>
                <c:pt idx="38">
                  <c:v>1.5209591835918568</c:v>
                </c:pt>
                <c:pt idx="39">
                  <c:v>1.5209591835918568</c:v>
                </c:pt>
                <c:pt idx="40">
                  <c:v>1.5209591835918568</c:v>
                </c:pt>
                <c:pt idx="41">
                  <c:v>1.5209591835918568</c:v>
                </c:pt>
                <c:pt idx="42">
                  <c:v>1.5209591835918568</c:v>
                </c:pt>
                <c:pt idx="43">
                  <c:v>1.5209591835918568</c:v>
                </c:pt>
                <c:pt idx="44">
                  <c:v>1.5209591835918568</c:v>
                </c:pt>
                <c:pt idx="45">
                  <c:v>1.5209591835918568</c:v>
                </c:pt>
                <c:pt idx="46">
                  <c:v>1.5209591835918568</c:v>
                </c:pt>
                <c:pt idx="47">
                  <c:v>1.5209591835918568</c:v>
                </c:pt>
                <c:pt idx="48">
                  <c:v>1.5209591835918568</c:v>
                </c:pt>
                <c:pt idx="49">
                  <c:v>1.5209591835918568</c:v>
                </c:pt>
                <c:pt idx="50">
                  <c:v>1.5209591835918568</c:v>
                </c:pt>
                <c:pt idx="51">
                  <c:v>1.5209591835918568</c:v>
                </c:pt>
                <c:pt idx="52">
                  <c:v>1.5209591835918568</c:v>
                </c:pt>
                <c:pt idx="53">
                  <c:v>1.5209591835918568</c:v>
                </c:pt>
                <c:pt idx="54">
                  <c:v>1.5209591835918568</c:v>
                </c:pt>
                <c:pt idx="55">
                  <c:v>1.5209591835918568</c:v>
                </c:pt>
                <c:pt idx="56">
                  <c:v>1.5209591835918568</c:v>
                </c:pt>
                <c:pt idx="57">
                  <c:v>1.5209591835918568</c:v>
                </c:pt>
                <c:pt idx="58">
                  <c:v>1.5209591835918568</c:v>
                </c:pt>
                <c:pt idx="59">
                  <c:v>1.5209591835918568</c:v>
                </c:pt>
                <c:pt idx="60">
                  <c:v>1.5209591835918568</c:v>
                </c:pt>
                <c:pt idx="61">
                  <c:v>1.5209591835918568</c:v>
                </c:pt>
                <c:pt idx="62">
                  <c:v>1.5209591835918568</c:v>
                </c:pt>
                <c:pt idx="63">
                  <c:v>1.5209591835918568</c:v>
                </c:pt>
                <c:pt idx="64">
                  <c:v>1.5209591835918568</c:v>
                </c:pt>
                <c:pt idx="65">
                  <c:v>1.5209591835918568</c:v>
                </c:pt>
                <c:pt idx="66">
                  <c:v>1.5209591835918568</c:v>
                </c:pt>
                <c:pt idx="67">
                  <c:v>1.5209591835918568</c:v>
                </c:pt>
                <c:pt idx="68">
                  <c:v>1.5209591835918568</c:v>
                </c:pt>
                <c:pt idx="69">
                  <c:v>1.5209591835918568</c:v>
                </c:pt>
                <c:pt idx="70">
                  <c:v>1.5209591835918568</c:v>
                </c:pt>
                <c:pt idx="71">
                  <c:v>1.5209591835918568</c:v>
                </c:pt>
                <c:pt idx="72">
                  <c:v>1.5209591835918568</c:v>
                </c:pt>
                <c:pt idx="73">
                  <c:v>1.5209591835918568</c:v>
                </c:pt>
                <c:pt idx="74">
                  <c:v>1.5209591835918568</c:v>
                </c:pt>
                <c:pt idx="75">
                  <c:v>1.5209591835918568</c:v>
                </c:pt>
                <c:pt idx="76">
                  <c:v>1.5209591835918568</c:v>
                </c:pt>
                <c:pt idx="77">
                  <c:v>1.5209591835918568</c:v>
                </c:pt>
                <c:pt idx="78">
                  <c:v>1.5209591835918568</c:v>
                </c:pt>
                <c:pt idx="79">
                  <c:v>1.5209591835918568</c:v>
                </c:pt>
                <c:pt idx="80">
                  <c:v>1.5209591835918568</c:v>
                </c:pt>
                <c:pt idx="81">
                  <c:v>1.5209591835918568</c:v>
                </c:pt>
                <c:pt idx="82">
                  <c:v>1.5209591835918568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7BB-41C5-9AD7-69145972AE19}"/>
            </c:ext>
          </c:extLst>
        </c:ser>
        <c:ser>
          <c:idx val="7"/>
          <c:order val="2"/>
          <c:tx>
            <c:strRef>
              <c:f>RTC!$B$29</c:f>
              <c:strCache>
                <c:ptCount val="1"/>
                <c:pt idx="0">
                  <c:v>M.Z(fn)</c:v>
                </c:pt>
              </c:strCache>
            </c:strRef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RTC!$C$29:$CG$29</c:f>
              <c:numCache>
                <c:formatCode>General</c:formatCode>
                <c:ptCount val="8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1921.5837087114464</c:v>
                </c:pt>
                <c:pt idx="39">
                  <c:v>6.499999999999007</c:v>
                </c:pt>
                <c:pt idx="40">
                  <c:v>3.2529106029008803</c:v>
                </c:pt>
                <c:pt idx="41">
                  <c:v>2.4982667258847973</c:v>
                </c:pt>
                <c:pt idx="42">
                  <c:v>2.1257309304031207</c:v>
                </c:pt>
                <c:pt idx="43">
                  <c:v>1.8960339956097945</c:v>
                </c:pt>
                <c:pt idx="44">
                  <c:v>1.7376131616797115</c:v>
                </c:pt>
                <c:pt idx="45">
                  <c:v>1.6206354136476369</c:v>
                </c:pt>
                <c:pt idx="46">
                  <c:v>1.5301841113520063</c:v>
                </c:pt>
                <c:pt idx="47">
                  <c:v>1.4578754741100259</c:v>
                </c:pt>
                <c:pt idx="48">
                  <c:v>1.3985939180008431</c:v>
                </c:pt>
                <c:pt idx="49">
                  <c:v>1.3490213172523273</c:v>
                </c:pt>
                <c:pt idx="50">
                  <c:v>1.3069011244615849</c:v>
                </c:pt>
                <c:pt idx="51">
                  <c:v>1.2706396576782892</c:v>
                </c:pt>
                <c:pt idx="52">
                  <c:v>1.2390760932765092</c:v>
                </c:pt>
                <c:pt idx="53">
                  <c:v>1.2113428740117067</c:v>
                </c:pt>
                <c:pt idx="54">
                  <c:v>1.1867773590313537</c:v>
                </c:pt>
                <c:pt idx="55">
                  <c:v>1.1648638953701158</c:v>
                </c:pt>
                <c:pt idx="56">
                  <c:v>1.1451946731274369</c:v>
                </c:pt>
                <c:pt idx="57">
                  <c:v>1.1274425752841599</c:v>
                </c:pt>
                <c:pt idx="58">
                  <c:v>1.1113419135083229</c:v>
                </c:pt>
                <c:pt idx="59">
                  <c:v>1.0966744827478272</c:v>
                </c:pt>
                <c:pt idx="60">
                  <c:v>1.0832592849365161</c:v>
                </c:pt>
                <c:pt idx="61">
                  <c:v>1.0709448350980926</c:v>
                </c:pt>
                <c:pt idx="62">
                  <c:v>1.0596033179556184</c:v>
                </c:pt>
                <c:pt idx="63">
                  <c:v>1.0491260922331147</c:v>
                </c:pt>
                <c:pt idx="64">
                  <c:v>1.0394201909627108</c:v>
                </c:pt>
                <c:pt idx="65">
                  <c:v>1.0304055677788071</c:v>
                </c:pt>
                <c:pt idx="66">
                  <c:v>1.022012908801389</c:v>
                </c:pt>
                <c:pt idx="67">
                  <c:v>1.0141818781648655</c:v>
                </c:pt>
                <c:pt idx="68">
                  <c:v>1.0068596994765564</c:v>
                </c:pt>
                <c:pt idx="69">
                  <c:v>1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7BB-41C5-9AD7-69145972AE19}"/>
            </c:ext>
          </c:extLst>
        </c:ser>
        <c:ser>
          <c:idx val="8"/>
          <c:order val="3"/>
          <c:tx>
            <c:strRef>
              <c:f>RTC!$B$31</c:f>
              <c:strCache>
                <c:ptCount val="1"/>
                <c:pt idx="0">
                  <c:v>Minf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RTC!$C$31:$CG$31</c:f>
              <c:numCache>
                <c:formatCode>General</c:formatCode>
                <c:ptCount val="83"/>
                <c:pt idx="0">
                  <c:v>0.68571428571428572</c:v>
                </c:pt>
                <c:pt idx="1">
                  <c:v>0.68571428571428572</c:v>
                </c:pt>
                <c:pt idx="2">
                  <c:v>0.68571428571428572</c:v>
                </c:pt>
                <c:pt idx="3">
                  <c:v>0.68571428571428572</c:v>
                </c:pt>
                <c:pt idx="4">
                  <c:v>0.68571428571428572</c:v>
                </c:pt>
                <c:pt idx="5">
                  <c:v>0.68571428571428572</c:v>
                </c:pt>
                <c:pt idx="6">
                  <c:v>0.68571428571428572</c:v>
                </c:pt>
                <c:pt idx="7">
                  <c:v>0.68571428571428572</c:v>
                </c:pt>
                <c:pt idx="8">
                  <c:v>0.68571428571428572</c:v>
                </c:pt>
                <c:pt idx="9">
                  <c:v>0.68571428571428572</c:v>
                </c:pt>
                <c:pt idx="10">
                  <c:v>0.68571428571428572</c:v>
                </c:pt>
                <c:pt idx="11">
                  <c:v>0.68571428571428572</c:v>
                </c:pt>
                <c:pt idx="12">
                  <c:v>0.68571428571428572</c:v>
                </c:pt>
                <c:pt idx="13">
                  <c:v>0.68571428571428572</c:v>
                </c:pt>
                <c:pt idx="14">
                  <c:v>0.68571428571428572</c:v>
                </c:pt>
                <c:pt idx="15">
                  <c:v>0.68571428571428572</c:v>
                </c:pt>
                <c:pt idx="16">
                  <c:v>0.68571428571428572</c:v>
                </c:pt>
                <c:pt idx="17">
                  <c:v>0.68571428571428572</c:v>
                </c:pt>
                <c:pt idx="18">
                  <c:v>0.68571428571428572</c:v>
                </c:pt>
                <c:pt idx="19">
                  <c:v>0.68571428571428572</c:v>
                </c:pt>
                <c:pt idx="20">
                  <c:v>0.68571428571428572</c:v>
                </c:pt>
                <c:pt idx="21">
                  <c:v>0.68571428571428572</c:v>
                </c:pt>
                <c:pt idx="22">
                  <c:v>0.68571428571428572</c:v>
                </c:pt>
                <c:pt idx="23">
                  <c:v>0.68571428571428572</c:v>
                </c:pt>
                <c:pt idx="24">
                  <c:v>0.68571428571428572</c:v>
                </c:pt>
                <c:pt idx="25">
                  <c:v>0.68571428571428572</c:v>
                </c:pt>
                <c:pt idx="26">
                  <c:v>0.68571428571428572</c:v>
                </c:pt>
                <c:pt idx="27">
                  <c:v>0.68571428571428572</c:v>
                </c:pt>
                <c:pt idx="28">
                  <c:v>0.68571428571428572</c:v>
                </c:pt>
                <c:pt idx="29">
                  <c:v>0.68571428571428572</c:v>
                </c:pt>
                <c:pt idx="30">
                  <c:v>0.68571428571428572</c:v>
                </c:pt>
                <c:pt idx="31">
                  <c:v>0.68571428571428572</c:v>
                </c:pt>
                <c:pt idx="32">
                  <c:v>0.68571428571428572</c:v>
                </c:pt>
                <c:pt idx="33">
                  <c:v>0.68571428571428572</c:v>
                </c:pt>
                <c:pt idx="34">
                  <c:v>0.68571428571428572</c:v>
                </c:pt>
                <c:pt idx="35">
                  <c:v>0.68571428571428572</c:v>
                </c:pt>
                <c:pt idx="36">
                  <c:v>0.68571428571428572</c:v>
                </c:pt>
                <c:pt idx="37">
                  <c:v>0.68571428571428572</c:v>
                </c:pt>
                <c:pt idx="38">
                  <c:v>0.68571428571428572</c:v>
                </c:pt>
                <c:pt idx="39">
                  <c:v>0.68571428571428572</c:v>
                </c:pt>
                <c:pt idx="40">
                  <c:v>0.68571428571428572</c:v>
                </c:pt>
                <c:pt idx="41">
                  <c:v>0.68571428571428572</c:v>
                </c:pt>
                <c:pt idx="42">
                  <c:v>0.68571428571428572</c:v>
                </c:pt>
                <c:pt idx="43">
                  <c:v>0.68571428571428572</c:v>
                </c:pt>
                <c:pt idx="44">
                  <c:v>0.68571428571428572</c:v>
                </c:pt>
                <c:pt idx="45">
                  <c:v>0.68571428571428572</c:v>
                </c:pt>
                <c:pt idx="46">
                  <c:v>0.68571428571428572</c:v>
                </c:pt>
                <c:pt idx="47">
                  <c:v>0.68571428571428572</c:v>
                </c:pt>
                <c:pt idx="48">
                  <c:v>0.68571428571428572</c:v>
                </c:pt>
                <c:pt idx="49">
                  <c:v>0.68571428571428572</c:v>
                </c:pt>
                <c:pt idx="50">
                  <c:v>0.68571428571428572</c:v>
                </c:pt>
                <c:pt idx="51">
                  <c:v>0.68571428571428572</c:v>
                </c:pt>
                <c:pt idx="52">
                  <c:v>0.68571428571428572</c:v>
                </c:pt>
                <c:pt idx="53">
                  <c:v>0.68571428571428572</c:v>
                </c:pt>
                <c:pt idx="54">
                  <c:v>0.68571428571428572</c:v>
                </c:pt>
                <c:pt idx="55">
                  <c:v>0.68571428571428572</c:v>
                </c:pt>
                <c:pt idx="56">
                  <c:v>0.68571428571428572</c:v>
                </c:pt>
                <c:pt idx="57">
                  <c:v>0.68571428571428572</c:v>
                </c:pt>
                <c:pt idx="58">
                  <c:v>0.68571428571428572</c:v>
                </c:pt>
                <c:pt idx="59">
                  <c:v>0.68571428571428572</c:v>
                </c:pt>
                <c:pt idx="60">
                  <c:v>0.68571428571428572</c:v>
                </c:pt>
                <c:pt idx="61">
                  <c:v>0.68571428571428572</c:v>
                </c:pt>
                <c:pt idx="62">
                  <c:v>0.68571428571428572</c:v>
                </c:pt>
                <c:pt idx="63">
                  <c:v>0.68571428571428572</c:v>
                </c:pt>
                <c:pt idx="64">
                  <c:v>0.68571428571428572</c:v>
                </c:pt>
                <c:pt idx="65">
                  <c:v>0.68571428571428572</c:v>
                </c:pt>
                <c:pt idx="66">
                  <c:v>0.68571428571428572</c:v>
                </c:pt>
                <c:pt idx="67">
                  <c:v>0.68571428571428572</c:v>
                </c:pt>
                <c:pt idx="68">
                  <c:v>0.68571428571428572</c:v>
                </c:pt>
                <c:pt idx="69">
                  <c:v>0.68571428571428572</c:v>
                </c:pt>
                <c:pt idx="70">
                  <c:v>0.68571428571428572</c:v>
                </c:pt>
                <c:pt idx="71">
                  <c:v>0.68571428571428572</c:v>
                </c:pt>
                <c:pt idx="72">
                  <c:v>0.68571428571428572</c:v>
                </c:pt>
                <c:pt idx="73">
                  <c:v>0.68571428571428572</c:v>
                </c:pt>
                <c:pt idx="74">
                  <c:v>0.68571428571428572</c:v>
                </c:pt>
                <c:pt idx="75">
                  <c:v>0.68571428571428572</c:v>
                </c:pt>
                <c:pt idx="76">
                  <c:v>0.68571428571428572</c:v>
                </c:pt>
                <c:pt idx="77">
                  <c:v>0.68571428571428572</c:v>
                </c:pt>
                <c:pt idx="78">
                  <c:v>0.68571428571428572</c:v>
                </c:pt>
                <c:pt idx="79">
                  <c:v>0.68571428571428572</c:v>
                </c:pt>
                <c:pt idx="80">
                  <c:v>0.68571428571428572</c:v>
                </c:pt>
                <c:pt idx="81">
                  <c:v>0.68571428571428572</c:v>
                </c:pt>
                <c:pt idx="82">
                  <c:v>0.68571428571428572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7BB-41C5-9AD7-69145972AE19}"/>
            </c:ext>
          </c:extLst>
        </c:ser>
        <c:ser>
          <c:idx val="1"/>
          <c:order val="4"/>
          <c:tx>
            <c:strRef>
              <c:f>RTC!$B$99</c:f>
              <c:strCache>
                <c:ptCount val="1"/>
                <c:pt idx="0">
                  <c:v>M(fn,100% Po,π/2)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RTC!$C$99:$CG$99</c:f>
              <c:numCache>
                <c:formatCode>General</c:formatCode>
                <c:ptCount val="83"/>
                <c:pt idx="0">
                  <c:v>2.1818182382492675E-8</c:v>
                </c:pt>
                <c:pt idx="1">
                  <c:v>1.2881887010930794E-3</c:v>
                </c:pt>
                <c:pt idx="2">
                  <c:v>3.2927886442313385E-3</c:v>
                </c:pt>
                <c:pt idx="3">
                  <c:v>6.2360266346062031E-3</c:v>
                </c:pt>
                <c:pt idx="4">
                  <c:v>1.0137396704165301E-2</c:v>
                </c:pt>
                <c:pt idx="5">
                  <c:v>1.5023007895528954E-2</c:v>
                </c:pt>
                <c:pt idx="6">
                  <c:v>2.0925987778792478E-2</c:v>
                </c:pt>
                <c:pt idx="7">
                  <c:v>2.7887001276361342E-2</c:v>
                </c:pt>
                <c:pt idx="8">
                  <c:v>3.5954897539339017E-2</c:v>
                </c:pt>
                <c:pt idx="9">
                  <c:v>4.5187500817546217E-2</c:v>
                </c:pt>
                <c:pt idx="10">
                  <c:v>5.5652564835327163E-2</c:v>
                </c:pt>
                <c:pt idx="11">
                  <c:v>6.7428914152122668E-2</c:v>
                </c:pt>
                <c:pt idx="12">
                  <c:v>8.0607800331455051E-2</c:v>
                </c:pt>
                <c:pt idx="13">
                  <c:v>9.5294505365001059E-2</c:v>
                </c:pt>
                <c:pt idx="14">
                  <c:v>0.11161022945863958</c:v>
                </c:pt>
                <c:pt idx="15">
                  <c:v>0.12969430450041747</c:v>
                </c:pt>
                <c:pt idx="16">
                  <c:v>0.14970677740192706</c:v>
                </c:pt>
                <c:pt idx="17">
                  <c:v>0.17183140745740369</c:v>
                </c:pt>
                <c:pt idx="18">
                  <c:v>0.19627911619524036</c:v>
                </c:pt>
                <c:pt idx="19">
                  <c:v>0.22329191235764032</c:v>
                </c:pt>
                <c:pt idx="20">
                  <c:v>0.25314728109657647</c:v>
                </c:pt>
                <c:pt idx="21">
                  <c:v>0.28616296286546417</c:v>
                </c:pt>
                <c:pt idx="22">
                  <c:v>0.32270193381356715</c:v>
                </c:pt>
                <c:pt idx="23">
                  <c:v>0.36317720380577329</c:v>
                </c:pt>
                <c:pt idx="24">
                  <c:v>0.40805572039200749</c:v>
                </c:pt>
                <c:pt idx="25">
                  <c:v>0.45786013065995684</c:v>
                </c:pt>
                <c:pt idx="26">
                  <c:v>0.51316629609248432</c:v>
                </c:pt>
                <c:pt idx="27">
                  <c:v>0.57459312657902117</c:v>
                </c:pt>
                <c:pt idx="28">
                  <c:v>0.64277932160959372</c:v>
                </c:pt>
                <c:pt idx="29">
                  <c:v>0.71833884691119299</c:v>
                </c:pt>
                <c:pt idx="30">
                  <c:v>0.80178354597124124</c:v>
                </c:pt>
                <c:pt idx="31">
                  <c:v>0.89339801137383779</c:v>
                </c:pt>
                <c:pt idx="32">
                  <c:v>0.99305115057053139</c:v>
                </c:pt>
                <c:pt idx="33">
                  <c:v>1.0999361156437204</c:v>
                </c:pt>
                <c:pt idx="34">
                  <c:v>1.2122544795938535</c:v>
                </c:pt>
                <c:pt idx="35">
                  <c:v>1.3269116345880969</c:v>
                </c:pt>
                <c:pt idx="36">
                  <c:v>1.4393666612797296</c:v>
                </c:pt>
                <c:pt idx="37">
                  <c:v>1.5438437181055409</c:v>
                </c:pt>
                <c:pt idx="38">
                  <c:v>1.634075089047597</c:v>
                </c:pt>
                <c:pt idx="39">
                  <c:v>1.6593385553953328</c:v>
                </c:pt>
                <c:pt idx="40">
                  <c:v>1.7224809596753172</c:v>
                </c:pt>
                <c:pt idx="41">
                  <c:v>1.7617858065342098</c:v>
                </c:pt>
                <c:pt idx="42">
                  <c:v>1.7775007606476596</c:v>
                </c:pt>
                <c:pt idx="43">
                  <c:v>1.7723770936820213</c:v>
                </c:pt>
                <c:pt idx="44">
                  <c:v>1.7506688032071991</c:v>
                </c:pt>
                <c:pt idx="45">
                  <c:v>1.7170352094878036</c:v>
                </c:pt>
                <c:pt idx="46">
                  <c:v>1.6757354437264311</c:v>
                </c:pt>
                <c:pt idx="47">
                  <c:v>1.6302254633798372</c:v>
                </c:pt>
                <c:pt idx="48">
                  <c:v>1.5830741957458498</c:v>
                </c:pt>
                <c:pt idx="49">
                  <c:v>1.5360596375513149</c:v>
                </c:pt>
                <c:pt idx="50">
                  <c:v>1.4903324554146884</c:v>
                </c:pt>
                <c:pt idx="51">
                  <c:v>1.446581713956461</c:v>
                </c:pt>
                <c:pt idx="52">
                  <c:v>1.4051745142564538</c:v>
                </c:pt>
                <c:pt idx="53">
                  <c:v>1.3662628198799427</c:v>
                </c:pt>
                <c:pt idx="54">
                  <c:v>1.329860503810347</c:v>
                </c:pt>
                <c:pt idx="55">
                  <c:v>1.2958967576600455</c:v>
                </c:pt>
                <c:pt idx="56">
                  <c:v>1.2642520414530216</c:v>
                </c:pt>
                <c:pt idx="57">
                  <c:v>1.2347816882910965</c:v>
                </c:pt>
                <c:pt idx="58">
                  <c:v>1.2073310266874606</c:v>
                </c:pt>
                <c:pt idx="59">
                  <c:v>1.1817447922027622</c:v>
                </c:pt>
                <c:pt idx="60">
                  <c:v>1.1578727557635651</c:v>
                </c:pt>
                <c:pt idx="61">
                  <c:v>1.1355728820271946</c:v>
                </c:pt>
                <c:pt idx="62">
                  <c:v>1.1147129003379874</c:v>
                </c:pt>
                <c:pt idx="63">
                  <c:v>1.0951708751382412</c:v>
                </c:pt>
                <c:pt idx="64">
                  <c:v>1.0768351626045636</c:v>
                </c:pt>
                <c:pt idx="65">
                  <c:v>1.0596040061373857</c:v>
                </c:pt>
                <c:pt idx="66">
                  <c:v>1.0433849339971508</c:v>
                </c:pt>
                <c:pt idx="67">
                  <c:v>1.0280940632015909</c:v>
                </c:pt>
                <c:pt idx="68">
                  <c:v>1.0136553747908899</c:v>
                </c:pt>
                <c:pt idx="69">
                  <c:v>1</c:v>
                </c:pt>
                <c:pt idx="70">
                  <c:v>0.96691322680906977</c:v>
                </c:pt>
                <c:pt idx="71">
                  <c:v>0.93798852959219836</c:v>
                </c:pt>
                <c:pt idx="72">
                  <c:v>0.91245116941174087</c:v>
                </c:pt>
                <c:pt idx="73">
                  <c:v>0.88969658878492341</c:v>
                </c:pt>
                <c:pt idx="74">
                  <c:v>0.86924871266921189</c:v>
                </c:pt>
                <c:pt idx="75">
                  <c:v>0.85072914348639261</c:v>
                </c:pt>
                <c:pt idx="76">
                  <c:v>0.83383437970660179</c:v>
                </c:pt>
                <c:pt idx="77">
                  <c:v>0.81831887609351994</c:v>
                </c:pt>
                <c:pt idx="78">
                  <c:v>0.80398235120407913</c:v>
                </c:pt>
                <c:pt idx="79">
                  <c:v>0.7906601946781564</c:v>
                </c:pt>
                <c:pt idx="80">
                  <c:v>0.77821615163793834</c:v>
                </c:pt>
                <c:pt idx="81">
                  <c:v>0.76653669311334505</c:v>
                </c:pt>
                <c:pt idx="82">
                  <c:v>0.75552664554189064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7BB-41C5-9AD7-69145972AE19}"/>
            </c:ext>
          </c:extLst>
        </c:ser>
        <c:ser>
          <c:idx val="2"/>
          <c:order val="5"/>
          <c:tx>
            <c:strRef>
              <c:f>RTC!$B$100</c:f>
              <c:strCache>
                <c:ptCount val="1"/>
                <c:pt idx="0">
                  <c:v>M(fn,75% Po,π/2)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RTC!$C$100:$CG$100</c:f>
              <c:numCache>
                <c:formatCode>General</c:formatCode>
                <c:ptCount val="83"/>
                <c:pt idx="0">
                  <c:v>2.1818182439325691E-8</c:v>
                </c:pt>
                <c:pt idx="1">
                  <c:v>1.288386932838223E-3</c:v>
                </c:pt>
                <c:pt idx="2">
                  <c:v>3.294085024357045E-3</c:v>
                </c:pt>
                <c:pt idx="3">
                  <c:v>6.2406824378399874E-3</c:v>
                </c:pt>
                <c:pt idx="4">
                  <c:v>1.0149721903320651E-2</c:v>
                </c:pt>
                <c:pt idx="5">
                  <c:v>1.5050135523851146E-2</c:v>
                </c:pt>
                <c:pt idx="6">
                  <c:v>2.0978762930202923E-2</c:v>
                </c:pt>
                <c:pt idx="7">
                  <c:v>2.7981024024538607E-2</c:v>
                </c:pt>
                <c:pt idx="8">
                  <c:v>3.6111767932241016E-2</c:v>
                </c:pt>
                <c:pt idx="9">
                  <c:v>4.5436326096875805E-2</c:v>
                </c:pt>
                <c:pt idx="10">
                  <c:v>5.6031805097773307E-2</c:v>
                </c:pt>
                <c:pt idx="11">
                  <c:v>6.7988664131966317E-2</c:v>
                </c:pt>
                <c:pt idx="12">
                  <c:v>8.1412633661487821E-2</c:v>
                </c:pt>
                <c:pt idx="13">
                  <c:v>9.6427046070027292E-2</c:v>
                </c:pt>
                <c:pt idx="14">
                  <c:v>0.11317566700622338</c:v>
                </c:pt>
                <c:pt idx="15">
                  <c:v>0.13182613823889974</c:v>
                </c:pt>
                <c:pt idx="16">
                  <c:v>0.15257417021874703</c:v>
                </c:pt>
                <c:pt idx="17">
                  <c:v>0.17564865601082361</c:v>
                </c:pt>
                <c:pt idx="18">
                  <c:v>0.20131791842768321</c:v>
                </c:pt>
                <c:pt idx="19">
                  <c:v>0.22989734881129481</c:v>
                </c:pt>
                <c:pt idx="20">
                  <c:v>0.26175874677386279</c:v>
                </c:pt>
                <c:pt idx="21">
                  <c:v>0.29734171889440625</c:v>
                </c:pt>
                <c:pt idx="22">
                  <c:v>0.33716752587048926</c:v>
                </c:pt>
                <c:pt idx="23">
                  <c:v>0.38185574987982202</c:v>
                </c:pt>
                <c:pt idx="24">
                  <c:v>0.43214402159173204</c:v>
                </c:pt>
                <c:pt idx="25">
                  <c:v>0.48891067008148414</c:v>
                </c:pt>
                <c:pt idx="26">
                  <c:v>0.55319928820362751</c:v>
                </c:pt>
                <c:pt idx="27">
                  <c:v>0.62624236450510695</c:v>
                </c:pt>
                <c:pt idx="28">
                  <c:v>0.70947743818119824</c:v>
                </c:pt>
                <c:pt idx="29">
                  <c:v>0.80454211618310545</c:v>
                </c:pt>
                <c:pt idx="30">
                  <c:v>0.91322115987396435</c:v>
                </c:pt>
                <c:pt idx="31">
                  <c:v>1.0372960664446651</c:v>
                </c:pt>
                <c:pt idx="32">
                  <c:v>1.1782121374140364</c:v>
                </c:pt>
                <c:pt idx="33">
                  <c:v>1.3364349780829283</c:v>
                </c:pt>
                <c:pt idx="34">
                  <c:v>1.510352267256434</c:v>
                </c:pt>
                <c:pt idx="35">
                  <c:v>1.6946933621753784</c:v>
                </c:pt>
                <c:pt idx="36">
                  <c:v>1.8788872930725189</c:v>
                </c:pt>
                <c:pt idx="37">
                  <c:v>2.0466553898913222</c:v>
                </c:pt>
                <c:pt idx="38">
                  <c:v>2.1787661726775807</c:v>
                </c:pt>
                <c:pt idx="39">
                  <c:v>2.2111254628172499</c:v>
                </c:pt>
                <c:pt idx="40">
                  <c:v>2.2733341619235312</c:v>
                </c:pt>
                <c:pt idx="41">
                  <c:v>2.279475815657614</c:v>
                </c:pt>
                <c:pt idx="42">
                  <c:v>2.2390917769355316</c:v>
                </c:pt>
                <c:pt idx="43">
                  <c:v>2.1671764851446018</c:v>
                </c:pt>
                <c:pt idx="44">
                  <c:v>2.0782664827564981</c:v>
                </c:pt>
                <c:pt idx="45">
                  <c:v>1.9833491584035785</c:v>
                </c:pt>
                <c:pt idx="46">
                  <c:v>1.8894370266624958</c:v>
                </c:pt>
                <c:pt idx="47">
                  <c:v>1.8004036122547353</c:v>
                </c:pt>
                <c:pt idx="48">
                  <c:v>1.7180362951962087</c:v>
                </c:pt>
                <c:pt idx="49">
                  <c:v>1.6428800535467103</c:v>
                </c:pt>
                <c:pt idx="50">
                  <c:v>1.5748033751254673</c:v>
                </c:pt>
                <c:pt idx="51">
                  <c:v>1.5133428875947135</c:v>
                </c:pt>
                <c:pt idx="52">
                  <c:v>1.4579001918992971</c:v>
                </c:pt>
                <c:pt idx="53">
                  <c:v>1.4078482374057373</c:v>
                </c:pt>
                <c:pt idx="54">
                  <c:v>1.3625851213657623</c:v>
                </c:pt>
                <c:pt idx="55">
                  <c:v>1.3215584444011077</c:v>
                </c:pt>
                <c:pt idx="56">
                  <c:v>1.2842737446429706</c:v>
                </c:pt>
                <c:pt idx="57">
                  <c:v>1.2502946995621886</c:v>
                </c:pt>
                <c:pt idx="58">
                  <c:v>1.2192393728204127</c:v>
                </c:pt>
                <c:pt idx="59">
                  <c:v>1.1907748312749207</c:v>
                </c:pt>
                <c:pt idx="60">
                  <c:v>1.1646113567059417</c:v>
                </c:pt>
                <c:pt idx="61">
                  <c:v>1.140496864502047</c:v>
                </c:pt>
                <c:pt idx="62">
                  <c:v>1.1182118061628268</c:v>
                </c:pt>
                <c:pt idx="63">
                  <c:v>1.0975646529978911</c:v>
                </c:pt>
                <c:pt idx="64">
                  <c:v>1.0783879659759421</c:v>
                </c:pt>
                <c:pt idx="65">
                  <c:v>1.0605350123336386</c:v>
                </c:pt>
                <c:pt idx="66">
                  <c:v>1.0438768713069297</c:v>
                </c:pt>
                <c:pt idx="67">
                  <c:v>1.0282999668555644</c:v>
                </c:pt>
                <c:pt idx="68">
                  <c:v>1.0137039676399553</c:v>
                </c:pt>
                <c:pt idx="69">
                  <c:v>1</c:v>
                </c:pt>
                <c:pt idx="70">
                  <c:v>0.96719882159524373</c:v>
                </c:pt>
                <c:pt idx="71">
                  <c:v>0.93899617000083535</c:v>
                </c:pt>
                <c:pt idx="72">
                  <c:v>0.91447253396452466</c:v>
                </c:pt>
                <c:pt idx="73">
                  <c:v>0.89293009103359888</c:v>
                </c:pt>
                <c:pt idx="74">
                  <c:v>0.87383107550355499</c:v>
                </c:pt>
                <c:pt idx="75">
                  <c:v>0.85675526471749119</c:v>
                </c:pt>
                <c:pt idx="76">
                  <c:v>0.84137012873404282</c:v>
                </c:pt>
                <c:pt idx="77">
                  <c:v>0.82740951576527788</c:v>
                </c:pt>
                <c:pt idx="78">
                  <c:v>0.81465819096376568</c:v>
                </c:pt>
                <c:pt idx="79">
                  <c:v>0.80294045572863604</c:v>
                </c:pt>
                <c:pt idx="80">
                  <c:v>0.79211165619735791</c:v>
                </c:pt>
                <c:pt idx="81">
                  <c:v>0.78205176741559146</c:v>
                </c:pt>
                <c:pt idx="82">
                  <c:v>0.77266048914876062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7BB-41C5-9AD7-69145972AE19}"/>
            </c:ext>
          </c:extLst>
        </c:ser>
        <c:ser>
          <c:idx val="3"/>
          <c:order val="6"/>
          <c:tx>
            <c:strRef>
              <c:f>RTC!$B$101</c:f>
              <c:strCache>
                <c:ptCount val="1"/>
                <c:pt idx="0">
                  <c:v>M(fn,50% Po,π/2)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RTC!$C$101:$CG$101</c:f>
              <c:numCache>
                <c:formatCode>General</c:formatCode>
                <c:ptCount val="83"/>
                <c:pt idx="0">
                  <c:v>2.1818182479920704E-8</c:v>
                </c:pt>
                <c:pt idx="1">
                  <c:v>1.2885285829841006E-3</c:v>
                </c:pt>
                <c:pt idx="2">
                  <c:v>3.2950119481721194E-3</c:v>
                </c:pt>
                <c:pt idx="3">
                  <c:v>6.2440144033623097E-3</c:v>
                </c:pt>
                <c:pt idx="4">
                  <c:v>1.0158553191859945E-2</c:v>
                </c:pt>
                <c:pt idx="5">
                  <c:v>1.5069602622699301E-2</c:v>
                </c:pt>
                <c:pt idx="6">
                  <c:v>2.1016704876682134E-2</c:v>
                </c:pt>
                <c:pt idx="7">
                  <c:v>2.8048768388947723E-2</c:v>
                </c:pt>
                <c:pt idx="8">
                  <c:v>3.6225083729408081E-2</c:v>
                </c:pt>
                <c:pt idx="9">
                  <c:v>4.5616596356075428E-2</c:v>
                </c:pt>
                <c:pt idx="10">
                  <c:v>5.6307487501055131E-2</c:v>
                </c:pt>
                <c:pt idx="11">
                  <c:v>6.83971296301875E-2</c:v>
                </c:pt>
                <c:pt idx="12">
                  <c:v>8.2002502564154742E-2</c:v>
                </c:pt>
                <c:pt idx="13">
                  <c:v>9.7261182059277002E-2</c:v>
                </c:pt>
                <c:pt idx="14">
                  <c:v>0.11433504662530793</c:v>
                </c:pt>
                <c:pt idx="15">
                  <c:v>0.13341489367348136</c:v>
                </c:pt>
                <c:pt idx="16">
                  <c:v>0.15472621704054584</c:v>
                </c:pt>
                <c:pt idx="17">
                  <c:v>0.17853648058534624</c:v>
                </c:pt>
                <c:pt idx="18">
                  <c:v>0.20516433548851423</c:v>
                </c:pt>
                <c:pt idx="19">
                  <c:v>0.23499138428974772</c:v>
                </c:pt>
                <c:pt idx="20">
                  <c:v>0.26847730985236462</c:v>
                </c:pt>
                <c:pt idx="21">
                  <c:v>0.306179486691594</c:v>
                </c:pt>
                <c:pt idx="22">
                  <c:v>0.34877860915110864</c:v>
                </c:pt>
                <c:pt idx="23">
                  <c:v>0.39711245078414559</c:v>
                </c:pt>
                <c:pt idx="24">
                  <c:v>0.45222066752110879</c:v>
                </c:pt>
                <c:pt idx="25">
                  <c:v>0.51540462938092035</c:v>
                </c:pt>
                <c:pt idx="26">
                  <c:v>0.58830762840615802</c:v>
                </c:pt>
                <c:pt idx="27">
                  <c:v>0.67302232488870162</c:v>
                </c:pt>
                <c:pt idx="28">
                  <c:v>0.77223333712321429</c:v>
                </c:pt>
                <c:pt idx="29">
                  <c:v>0.88940146434470002</c:v>
                </c:pt>
                <c:pt idx="30">
                  <c:v>1.0289864824494519</c:v>
                </c:pt>
                <c:pt idx="31">
                  <c:v>1.1966724314094623</c:v>
                </c:pt>
                <c:pt idx="32">
                  <c:v>1.3994632574174966</c:v>
                </c:pt>
                <c:pt idx="33">
                  <c:v>1.6452628496952004</c:v>
                </c:pt>
                <c:pt idx="34">
                  <c:v>1.9409529095430127</c:v>
                </c:pt>
                <c:pt idx="35">
                  <c:v>2.2868567113323426</c:v>
                </c:pt>
                <c:pt idx="36">
                  <c:v>2.6646897391488631</c:v>
                </c:pt>
                <c:pt idx="37">
                  <c:v>3.0210297534050929</c:v>
                </c:pt>
                <c:pt idx="38">
                  <c:v>3.2681466330811508</c:v>
                </c:pt>
                <c:pt idx="39">
                  <c:v>3.3110252196145509</c:v>
                </c:pt>
                <c:pt idx="40">
                  <c:v>3.3156909367168921</c:v>
                </c:pt>
                <c:pt idx="41">
                  <c:v>3.1654851290358881</c:v>
                </c:pt>
                <c:pt idx="42">
                  <c:v>2.9379147301897293</c:v>
                </c:pt>
                <c:pt idx="43">
                  <c:v>2.6956469422014</c:v>
                </c:pt>
                <c:pt idx="44">
                  <c:v>2.4705166769883409</c:v>
                </c:pt>
                <c:pt idx="45">
                  <c:v>2.2731978578150067</c:v>
                </c:pt>
                <c:pt idx="46">
                  <c:v>2.1043137440172504</c:v>
                </c:pt>
                <c:pt idx="47">
                  <c:v>1.9607997258777863</c:v>
                </c:pt>
                <c:pt idx="48">
                  <c:v>1.8387414801727384</c:v>
                </c:pt>
                <c:pt idx="49">
                  <c:v>1.7344475901781757</c:v>
                </c:pt>
                <c:pt idx="50">
                  <c:v>1.6447671953798582</c:v>
                </c:pt>
                <c:pt idx="51">
                  <c:v>1.5671176092543675</c:v>
                </c:pt>
                <c:pt idx="52">
                  <c:v>1.4994159312519777</c:v>
                </c:pt>
                <c:pt idx="53">
                  <c:v>1.4399901776491046</c:v>
                </c:pt>
                <c:pt idx="54">
                  <c:v>1.3874966034904137</c:v>
                </c:pt>
                <c:pt idx="55">
                  <c:v>1.3408506390314692</c:v>
                </c:pt>
                <c:pt idx="56">
                  <c:v>1.2991717638123261</c:v>
                </c:pt>
                <c:pt idx="57">
                  <c:v>1.2617403838170929</c:v>
                </c:pt>
                <c:pt idx="58">
                  <c:v>1.2279643637936826</c:v>
                </c:pt>
                <c:pt idx="59">
                  <c:v>1.1973530893088902</c:v>
                </c:pt>
                <c:pt idx="60">
                  <c:v>1.1694973196907215</c:v>
                </c:pt>
                <c:pt idx="61">
                  <c:v>1.1440534718277999</c:v>
                </c:pt>
                <c:pt idx="62">
                  <c:v>1.1207312935183062</c:v>
                </c:pt>
                <c:pt idx="63">
                  <c:v>1.0992841366401696</c:v>
                </c:pt>
                <c:pt idx="64">
                  <c:v>1.0795012330280616</c:v>
                </c:pt>
                <c:pt idx="65">
                  <c:v>1.0612015212514392</c:v>
                </c:pt>
                <c:pt idx="66">
                  <c:v>1.0442286814174895</c:v>
                </c:pt>
                <c:pt idx="67">
                  <c:v>1.028447116660097</c:v>
                </c:pt>
                <c:pt idx="68">
                  <c:v>1.0137386810967635</c:v>
                </c:pt>
                <c:pt idx="69">
                  <c:v>1</c:v>
                </c:pt>
                <c:pt idx="70">
                  <c:v>0.96740297287939647</c:v>
                </c:pt>
                <c:pt idx="71">
                  <c:v>0.9397179046098656</c:v>
                </c:pt>
                <c:pt idx="72">
                  <c:v>0.91592461846307416</c:v>
                </c:pt>
                <c:pt idx="73">
                  <c:v>0.89526144065932423</c:v>
                </c:pt>
                <c:pt idx="74">
                  <c:v>0.87714892036287673</c:v>
                </c:pt>
                <c:pt idx="75">
                  <c:v>0.86113889543855549</c:v>
                </c:pt>
                <c:pt idx="76">
                  <c:v>0.84687964305359276</c:v>
                </c:pt>
                <c:pt idx="77">
                  <c:v>0.83409151190731656</c:v>
                </c:pt>
                <c:pt idx="78">
                  <c:v>0.82254954889244947</c:v>
                </c:pt>
                <c:pt idx="79">
                  <c:v>0.81207089395729926</c:v>
                </c:pt>
                <c:pt idx="80">
                  <c:v>0.80250548884949624</c:v>
                </c:pt>
                <c:pt idx="81">
                  <c:v>0.79372912964468822</c:v>
                </c:pt>
                <c:pt idx="82">
                  <c:v>0.78563820355372027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7BB-41C5-9AD7-69145972AE19}"/>
            </c:ext>
          </c:extLst>
        </c:ser>
        <c:ser>
          <c:idx val="5"/>
          <c:order val="7"/>
          <c:tx>
            <c:strRef>
              <c:f>RTC!$B$102</c:f>
              <c:strCache>
                <c:ptCount val="1"/>
                <c:pt idx="0">
                  <c:v>M(fn,25% Po,π/2)</c:v>
                </c:pt>
              </c:strCache>
            </c:strRef>
          </c:tx>
          <c:spPr>
            <a:ln w="19050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RTC!$C$102:$CG$102</c:f>
              <c:numCache>
                <c:formatCode>General</c:formatCode>
                <c:ptCount val="83"/>
                <c:pt idx="0">
                  <c:v>2.1818182504277716E-8</c:v>
                </c:pt>
                <c:pt idx="1">
                  <c:v>1.2886135955008332E-3</c:v>
                </c:pt>
                <c:pt idx="2">
                  <c:v>3.2955684781936466E-3</c:v>
                </c:pt>
                <c:pt idx="3">
                  <c:v>6.2460161462191653E-3</c:v>
                </c:pt>
                <c:pt idx="4">
                  <c:v>1.0163863042965088E-2</c:v>
                </c:pt>
                <c:pt idx="5">
                  <c:v>1.5081319204381372E-2</c:v>
                </c:pt>
                <c:pt idx="6">
                  <c:v>2.1039569098202388E-2</c:v>
                </c:pt>
                <c:pt idx="7">
                  <c:v>2.8089651953662267E-2</c:v>
                </c:pt>
                <c:pt idx="8">
                  <c:v>3.6293587388214997E-2</c:v>
                </c:pt>
                <c:pt idx="9">
                  <c:v>4.5725793918706494E-2</c:v>
                </c:pt>
                <c:pt idx="10">
                  <c:v>5.6474863038622196E-2</c:v>
                </c:pt>
                <c:pt idx="11">
                  <c:v>6.8645771225195648E-2</c:v>
                </c:pt>
                <c:pt idx="12">
                  <c:v>8.2362638290634962E-2</c:v>
                </c:pt>
                <c:pt idx="13">
                  <c:v>9.777217543465197E-2</c:v>
                </c:pt>
                <c:pt idx="14">
                  <c:v>0.11504801381981522</c:v>
                </c:pt>
                <c:pt idx="15">
                  <c:v>0.1343961697659459</c:v>
                </c:pt>
                <c:pt idx="16">
                  <c:v>0.15606199356055589</c:v>
                </c:pt>
                <c:pt idx="17">
                  <c:v>0.18033907712619268</c:v>
                </c:pt>
                <c:pt idx="18">
                  <c:v>0.20758077920643064</c:v>
                </c:pt>
                <c:pt idx="19">
                  <c:v>0.23821529291505833</c:v>
                </c:pt>
                <c:pt idx="20">
                  <c:v>0.27276557284516439</c:v>
                </c:pt>
                <c:pt idx="21">
                  <c:v>0.3118760270307826</c:v>
                </c:pt>
                <c:pt idx="22">
                  <c:v>0.35634877663150372</c:v>
                </c:pt>
                <c:pt idx="23">
                  <c:v>0.40719368317894933</c:v>
                </c:pt>
                <c:pt idx="24">
                  <c:v>0.46569856393000625</c:v>
                </c:pt>
                <c:pt idx="25">
                  <c:v>0.53352962776885804</c:v>
                </c:pt>
                <c:pt idx="26">
                  <c:v>0.61287818547722495</c:v>
                </c:pt>
                <c:pt idx="27">
                  <c:v>0.70667999489874966</c:v>
                </c:pt>
                <c:pt idx="28">
                  <c:v>0.81895174017762684</c:v>
                </c:pt>
                <c:pt idx="29">
                  <c:v>0.95532197886781722</c:v>
                </c:pt>
                <c:pt idx="30">
                  <c:v>1.1238949075668698</c:v>
                </c:pt>
                <c:pt idx="31">
                  <c:v>1.336700784700356</c:v>
                </c:pt>
                <c:pt idx="32">
                  <c:v>1.6122041821848843</c:v>
                </c:pt>
                <c:pt idx="33">
                  <c:v>1.9797167331940804</c:v>
                </c:pt>
                <c:pt idx="34">
                  <c:v>2.4869471935964955</c:v>
                </c:pt>
                <c:pt idx="35">
                  <c:v>3.2103200546599164</c:v>
                </c:pt>
                <c:pt idx="36">
                  <c:v>4.2496371420859802</c:v>
                </c:pt>
                <c:pt idx="37">
                  <c:v>5.5838781280519623</c:v>
                </c:pt>
                <c:pt idx="38">
                  <c:v>6.536264906280671</c:v>
                </c:pt>
                <c:pt idx="39">
                  <c:v>6.5618770904865382</c:v>
                </c:pt>
                <c:pt idx="40">
                  <c:v>5.8283032893166329</c:v>
                </c:pt>
                <c:pt idx="41">
                  <c:v>4.7563696098705019</c:v>
                </c:pt>
                <c:pt idx="42">
                  <c:v>3.9015255964034536</c:v>
                </c:pt>
                <c:pt idx="43">
                  <c:v>3.2890887050132047</c:v>
                </c:pt>
                <c:pt idx="44">
                  <c:v>2.8486465633840918</c:v>
                </c:pt>
                <c:pt idx="45">
                  <c:v>2.5229481085899597</c:v>
                </c:pt>
                <c:pt idx="46">
                  <c:v>2.274741534759305</c:v>
                </c:pt>
                <c:pt idx="47">
                  <c:v>2.0803949878791861</c:v>
                </c:pt>
                <c:pt idx="48">
                  <c:v>1.9246409174621322</c:v>
                </c:pt>
                <c:pt idx="49">
                  <c:v>1.7973280730835068</c:v>
                </c:pt>
                <c:pt idx="50">
                  <c:v>1.6915035214697591</c:v>
                </c:pt>
                <c:pt idx="51">
                  <c:v>1.6022709678425973</c:v>
                </c:pt>
                <c:pt idx="52">
                  <c:v>1.5260949961030321</c:v>
                </c:pt>
                <c:pt idx="53">
                  <c:v>1.4603652308008392</c:v>
                </c:pt>
                <c:pt idx="54">
                  <c:v>1.4031157251568276</c:v>
                </c:pt>
                <c:pt idx="55">
                  <c:v>1.3528395535321116</c:v>
                </c:pt>
                <c:pt idx="56">
                  <c:v>1.3083633497339899</c:v>
                </c:pt>
                <c:pt idx="57">
                  <c:v>1.2687605397323707</c:v>
                </c:pt>
                <c:pt idx="58">
                  <c:v>1.2332901336794484</c:v>
                </c:pt>
                <c:pt idx="59">
                  <c:v>1.2013527629548135</c:v>
                </c:pt>
                <c:pt idx="60">
                  <c:v>1.1724585811910933</c:v>
                </c:pt>
                <c:pt idx="61">
                  <c:v>1.1462034742108889</c:v>
                </c:pt>
                <c:pt idx="62">
                  <c:v>1.1222511850942101</c:v>
                </c:pt>
                <c:pt idx="63">
                  <c:v>1.1003197140231982</c:v>
                </c:pt>
                <c:pt idx="64">
                  <c:v>1.0801708504954202</c:v>
                </c:pt>
                <c:pt idx="65">
                  <c:v>1.0616020302914293</c:v>
                </c:pt>
                <c:pt idx="66">
                  <c:v>1.0444399382984499</c:v>
                </c:pt>
                <c:pt idx="67">
                  <c:v>1.0285354368708968</c:v>
                </c:pt>
                <c:pt idx="68">
                  <c:v>1.0137595108827029</c:v>
                </c:pt>
                <c:pt idx="69">
                  <c:v>1</c:v>
                </c:pt>
                <c:pt idx="70">
                  <c:v>0.96752552571866779</c:v>
                </c:pt>
                <c:pt idx="71">
                  <c:v>0.94015174502363608</c:v>
                </c:pt>
                <c:pt idx="72">
                  <c:v>0.91679919649383013</c:v>
                </c:pt>
                <c:pt idx="73">
                  <c:v>0.89666904621600196</c:v>
                </c:pt>
                <c:pt idx="74">
                  <c:v>0.87915786000048757</c:v>
                </c:pt>
                <c:pt idx="75">
                  <c:v>0.86380159359385156</c:v>
                </c:pt>
                <c:pt idx="76">
                  <c:v>0.85023776125807737</c:v>
                </c:pt>
                <c:pt idx="77">
                  <c:v>0.83817926151400113</c:v>
                </c:pt>
                <c:pt idx="78">
                  <c:v>0.82739587966145289</c:v>
                </c:pt>
                <c:pt idx="79">
                  <c:v>0.81770096634061051</c:v>
                </c:pt>
                <c:pt idx="80">
                  <c:v>0.80894168016618251</c:v>
                </c:pt>
                <c:pt idx="81">
                  <c:v>0.80099173123418488</c:v>
                </c:pt>
                <c:pt idx="82">
                  <c:v>0.79374590961510494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7BB-41C5-9AD7-69145972A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431"/>
        <c:axId val="1407976511"/>
      </c:scatterChart>
      <c:valAx>
        <c:axId val="1407978431"/>
        <c:scaling>
          <c:orientation val="minMax"/>
          <c:max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fn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6511"/>
        <c:crosses val="autoZero"/>
        <c:crossBetween val="midCat"/>
      </c:valAx>
      <c:valAx>
        <c:axId val="1407976511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Required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8431"/>
        <c:crossesAt val="0"/>
        <c:crossBetween val="midCat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3.4796766553294389E-2"/>
          <c:y val="0.60224132357264581"/>
          <c:w val="0.26925630321506505"/>
          <c:h val="0.38652394650699329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Minimum Gain required for PFC regulation</a:t>
            </a:r>
            <a:endParaRPr lang="el-GR"/>
          </a:p>
        </c:rich>
      </c:tx>
      <c:layout>
        <c:manualLayout>
          <c:xMode val="edge"/>
          <c:yMode val="edge"/>
          <c:x val="0.23600133001315773"/>
          <c:y val="3.0454765903559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537270341207349"/>
          <c:y val="0.121518191534268"/>
          <c:w val="0.77827633917469763"/>
          <c:h val="0.7331637372802960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RTC!$B$16</c:f>
              <c:strCache>
                <c:ptCount val="1"/>
                <c:pt idx="0">
                  <c:v>Mreq(Vin_min, Vout,θ 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RTC!$C$16:$AH$16</c:f>
              <c:numCache>
                <c:formatCode>General</c:formatCode>
                <c:ptCount val="32"/>
                <c:pt idx="0">
                  <c:v>15.234970761067105</c:v>
                </c:pt>
                <c:pt idx="1">
                  <c:v>7.6557321530458733</c:v>
                </c:pt>
                <c:pt idx="2">
                  <c:v>5.1467180561864145</c:v>
                </c:pt>
                <c:pt idx="3">
                  <c:v>3.905720451108988</c:v>
                </c:pt>
                <c:pt idx="4">
                  <c:v>3.1724617508278126</c:v>
                </c:pt>
                <c:pt idx="5">
                  <c:v>2.6936676839890557</c:v>
                </c:pt>
                <c:pt idx="6">
                  <c:v>2.360939809202542</c:v>
                </c:pt>
                <c:pt idx="7">
                  <c:v>2.1202289948980049</c:v>
                </c:pt>
                <c:pt idx="8">
                  <c:v>1.9416659441907334</c:v>
                </c:pt>
                <c:pt idx="9">
                  <c:v>1.8075004498688496</c:v>
                </c:pt>
                <c:pt idx="10">
                  <c:v>1.7066277184773355</c:v>
                </c:pt>
                <c:pt idx="11">
                  <c:v>1.6318620179039776</c:v>
                </c:pt>
                <c:pt idx="12">
                  <c:v>1.5784819293848096</c:v>
                </c:pt>
                <c:pt idx="13">
                  <c:v>1.5434163076077636</c:v>
                </c:pt>
                <c:pt idx="14">
                  <c:v>1.5247787748487065</c:v>
                </c:pt>
                <c:pt idx="15">
                  <c:v>1.5216079926119281</c:v>
                </c:pt>
                <c:pt idx="16">
                  <c:v>1.5337432240818207</c:v>
                </c:pt>
                <c:pt idx="17">
                  <c:v>1.5618040598612826</c:v>
                </c:pt>
                <c:pt idx="18">
                  <c:v>1.6072694099699438</c:v>
                </c:pt>
                <c:pt idx="19">
                  <c:v>1.6726751211663053</c:v>
                </c:pt>
                <c:pt idx="20">
                  <c:v>1.7619817883771123</c:v>
                </c:pt>
                <c:pt idx="21">
                  <c:v>1.8812194790309142</c:v>
                </c:pt>
                <c:pt idx="22">
                  <c:v>2.0396252550685054</c:v>
                </c:pt>
                <c:pt idx="23">
                  <c:v>2.2517277438435874</c:v>
                </c:pt>
                <c:pt idx="24">
                  <c:v>2.5414034697789734</c:v>
                </c:pt>
                <c:pt idx="25">
                  <c:v>2.9504464327955606</c:v>
                </c:pt>
                <c:pt idx="26">
                  <c:v>3.5587992180626369</c:v>
                </c:pt>
                <c:pt idx="27">
                  <c:v>4.5403372712855523</c:v>
                </c:pt>
                <c:pt idx="28">
                  <c:v>6.3572139934048666</c:v>
                </c:pt>
                <c:pt idx="29">
                  <c:v>10.777771377015666</c:v>
                </c:pt>
                <c:pt idx="30">
                  <c:v>29.493232776183557</c:v>
                </c:pt>
                <c:pt idx="31">
                  <c:v>36.57852219242519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68-4707-95C8-D768E06250C7}"/>
            </c:ext>
          </c:extLst>
        </c:ser>
        <c:ser>
          <c:idx val="1"/>
          <c:order val="1"/>
          <c:tx>
            <c:strRef>
              <c:f>RTC!$B$17</c:f>
              <c:strCache>
                <c:ptCount val="1"/>
                <c:pt idx="0">
                  <c:v>Mreq(Vin_max, Vout,θ )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RTC!$C$17:$AH$17</c:f>
              <c:numCache>
                <c:formatCode>General</c:formatCode>
                <c:ptCount val="32"/>
                <c:pt idx="0">
                  <c:v>9.9974395020541937</c:v>
                </c:pt>
                <c:pt idx="1">
                  <c:v>5.0238179150037494</c:v>
                </c:pt>
                <c:pt idx="2">
                  <c:v>3.3773614145912307</c:v>
                </c:pt>
                <c:pt idx="3">
                  <c:v>2.5629982842948982</c:v>
                </c:pt>
                <c:pt idx="4">
                  <c:v>2.0818218114033624</c:v>
                </c:pt>
                <c:pt idx="5">
                  <c:v>1.7676292348481524</c:v>
                </c:pt>
                <c:pt idx="6">
                  <c:v>1.5492877065975104</c:v>
                </c:pt>
                <c:pt idx="7">
                  <c:v>1.3913292935988069</c:v>
                </c:pt>
                <c:pt idx="8">
                  <c:v>1.2741532697819327</c:v>
                </c:pt>
                <c:pt idx="9">
                  <c:v>1.1861116559329623</c:v>
                </c:pt>
                <c:pt idx="10">
                  <c:v>1.1199173031304768</c:v>
                </c:pt>
                <c:pt idx="11">
                  <c:v>1.0708548152508817</c:v>
                </c:pt>
                <c:pt idx="12">
                  <c:v>1.0358259193012773</c:v>
                </c:pt>
                <c:pt idx="13">
                  <c:v>1.0128152789911691</c:v>
                </c:pt>
                <c:pt idx="14">
                  <c:v>1.000585022094163</c:v>
                </c:pt>
                <c:pt idx="15">
                  <c:v>0.99850430240762533</c:v>
                </c:pt>
                <c:pt idx="16">
                  <c:v>1.0064676417777088</c:v>
                </c:pt>
                <c:pt idx="17">
                  <c:v>1.0248816257939537</c:v>
                </c:pt>
                <c:pt idx="18">
                  <c:v>1.0547167396435069</c:v>
                </c:pt>
                <c:pt idx="19">
                  <c:v>1.0976370478626383</c:v>
                </c:pt>
                <c:pt idx="20">
                  <c:v>1.156241558273106</c:v>
                </c:pt>
                <c:pt idx="21">
                  <c:v>1.2344873007409793</c:v>
                </c:pt>
                <c:pt idx="22">
                  <c:v>1.3384357879122692</c:v>
                </c:pt>
                <c:pt idx="23">
                  <c:v>1.4776209450760032</c:v>
                </c:pt>
                <c:pt idx="24">
                  <c:v>1.6677109420094667</c:v>
                </c:pt>
                <c:pt idx="25">
                  <c:v>1.9361316919166287</c:v>
                </c:pt>
                <c:pt idx="26">
                  <c:v>2.3353428398734208</c:v>
                </c:pt>
                <c:pt idx="27">
                  <c:v>2.9794443258530907</c:v>
                </c:pt>
                <c:pt idx="28">
                  <c:v>4.1717088465370873</c:v>
                </c:pt>
                <c:pt idx="29">
                  <c:v>7.0725516312798158</c:v>
                </c:pt>
                <c:pt idx="30">
                  <c:v>19.353946589343131</c:v>
                </c:pt>
                <c:pt idx="31">
                  <c:v>24.003430556482634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68-4707-95C8-D768E0625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431"/>
        <c:axId val="1407976511"/>
      </c:scatterChart>
      <c:scatterChart>
        <c:scatterStyle val="smoothMarker"/>
        <c:varyColors val="0"/>
        <c:ser>
          <c:idx val="2"/>
          <c:order val="2"/>
          <c:tx>
            <c:strRef>
              <c:f>RTC!$B$19</c:f>
              <c:strCache>
                <c:ptCount val="1"/>
                <c:pt idx="0">
                  <c:v>P(100% Po,θ 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RTC!$C$19:$AH$19</c:f>
              <c:numCache>
                <c:formatCode>General</c:formatCode>
                <c:ptCount val="32"/>
                <c:pt idx="0">
                  <c:v>13.106225069383628</c:v>
                </c:pt>
                <c:pt idx="1">
                  <c:v>51.902396443103051</c:v>
                </c:pt>
                <c:pt idx="2">
                  <c:v>114.8418331968865</c:v>
                </c:pt>
                <c:pt idx="3">
                  <c:v>199.41533860423877</c:v>
                </c:pt>
                <c:pt idx="4">
                  <c:v>302.25123389169812</c:v>
                </c:pt>
                <c:pt idx="5">
                  <c:v>419.24977643158718</c:v>
                </c:pt>
                <c:pt idx="6">
                  <c:v>545.74660354309151</c:v>
                </c:pt>
                <c:pt idx="7">
                  <c:v>676.69868591309739</c:v>
                </c:pt>
                <c:pt idx="8">
                  <c:v>806.88537726070479</c:v>
                </c:pt>
                <c:pt idx="9">
                  <c:v>931.11654502974613</c:v>
                </c:pt>
                <c:pt idx="10">
                  <c:v>1044.43948459539</c:v>
                </c:pt>
                <c:pt idx="11">
                  <c:v>1142.3363679683689</c:v>
                </c:pt>
                <c:pt idx="12">
                  <c:v>1220.9043553400829</c:v>
                </c:pt>
                <c:pt idx="13">
                  <c:v>1277.0111889896427</c:v>
                </c:pt>
                <c:pt idx="14">
                  <c:v>1308.4200665147928</c:v>
                </c:pt>
                <c:pt idx="15">
                  <c:v>1313.8788150850501</c:v>
                </c:pt>
                <c:pt idx="16">
                  <c:v>1293.1698116209955</c:v>
                </c:pt>
                <c:pt idx="17">
                  <c:v>1247.1186587397017</c:v>
                </c:pt>
                <c:pt idx="18">
                  <c:v>1177.5612705837291</c:v>
                </c:pt>
                <c:pt idx="19">
                  <c:v>1087.2706807178249</c:v>
                </c:pt>
                <c:pt idx="20">
                  <c:v>979.8464900315098</c:v>
                </c:pt>
                <c:pt idx="21">
                  <c:v>859.57136201081084</c:v>
                </c:pt>
                <c:pt idx="22">
                  <c:v>731.24028645979854</c:v>
                </c:pt>
                <c:pt idx="23">
                  <c:v>599.96941838856389</c:v>
                </c:pt>
                <c:pt idx="24">
                  <c:v>470.99211305792886</c:v>
                </c:pt>
                <c:pt idx="25">
                  <c:v>349.45028862000203</c:v>
                </c:pt>
                <c:pt idx="26">
                  <c:v>240.18943406771774</c:v>
                </c:pt>
                <c:pt idx="27">
                  <c:v>147.56543487951092</c:v>
                </c:pt>
                <c:pt idx="28">
                  <c:v>75.270917611082822</c:v>
                </c:pt>
                <c:pt idx="29">
                  <c:v>26.188036527384341</c:v>
                </c:pt>
                <c:pt idx="30">
                  <c:v>3.4971649316722297</c:v>
                </c:pt>
                <c:pt idx="31">
                  <c:v>2.2735712072345002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E68-4707-95C8-D768E06250C7}"/>
            </c:ext>
          </c:extLst>
        </c:ser>
        <c:ser>
          <c:idx val="3"/>
          <c:order val="3"/>
          <c:tx>
            <c:strRef>
              <c:f>RTC!$B$20</c:f>
              <c:strCache>
                <c:ptCount val="1"/>
                <c:pt idx="0">
                  <c:v>P(75% Po,θ )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RTC!$C$20:$AH$20</c:f>
              <c:numCache>
                <c:formatCode>General</c:formatCode>
                <c:ptCount val="32"/>
                <c:pt idx="0">
                  <c:v>9.8296688020377214</c:v>
                </c:pt>
                <c:pt idx="1">
                  <c:v>38.92679733232729</c:v>
                </c:pt>
                <c:pt idx="2">
                  <c:v>86.13137489766487</c:v>
                </c:pt>
                <c:pt idx="3">
                  <c:v>149.56150395317906</c:v>
                </c:pt>
                <c:pt idx="4">
                  <c:v>226.68842541877362</c:v>
                </c:pt>
                <c:pt idx="5">
                  <c:v>314.43733232369038</c:v>
                </c:pt>
                <c:pt idx="6">
                  <c:v>409.3099526573186</c:v>
                </c:pt>
                <c:pt idx="7">
                  <c:v>507.52401443482307</c:v>
                </c:pt>
                <c:pt idx="8">
                  <c:v>605.16403294552856</c:v>
                </c:pt>
                <c:pt idx="9">
                  <c:v>698.33740877230957</c:v>
                </c:pt>
                <c:pt idx="10">
                  <c:v>783.32961344654257</c:v>
                </c:pt>
                <c:pt idx="11">
                  <c:v>856.75227597627656</c:v>
                </c:pt>
                <c:pt idx="12">
                  <c:v>915.6782665050622</c:v>
                </c:pt>
                <c:pt idx="13">
                  <c:v>957.75839174223199</c:v>
                </c:pt>
                <c:pt idx="14">
                  <c:v>981.3150498860947</c:v>
                </c:pt>
                <c:pt idx="15">
                  <c:v>985.40911131378755</c:v>
                </c:pt>
                <c:pt idx="16">
                  <c:v>969.8773587157466</c:v>
                </c:pt>
                <c:pt idx="17">
                  <c:v>935.33899405477621</c:v>
                </c:pt>
                <c:pt idx="18">
                  <c:v>883.17095293779676</c:v>
                </c:pt>
                <c:pt idx="19">
                  <c:v>815.45301053836874</c:v>
                </c:pt>
                <c:pt idx="20">
                  <c:v>734.88486752363235</c:v>
                </c:pt>
                <c:pt idx="21">
                  <c:v>644.67852150810813</c:v>
                </c:pt>
                <c:pt idx="22">
                  <c:v>548.43021484484882</c:v>
                </c:pt>
                <c:pt idx="23">
                  <c:v>449.97706379142295</c:v>
                </c:pt>
                <c:pt idx="24">
                  <c:v>353.24408479344663</c:v>
                </c:pt>
                <c:pt idx="25">
                  <c:v>262.08771646500156</c:v>
                </c:pt>
                <c:pt idx="26">
                  <c:v>180.14207555078829</c:v>
                </c:pt>
                <c:pt idx="27">
                  <c:v>110.67407615963319</c:v>
                </c:pt>
                <c:pt idx="28">
                  <c:v>56.453188208312113</c:v>
                </c:pt>
                <c:pt idx="29">
                  <c:v>19.641027395538256</c:v>
                </c:pt>
                <c:pt idx="30">
                  <c:v>2.6228736987541725</c:v>
                </c:pt>
                <c:pt idx="31">
                  <c:v>1.7051784054258752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E68-4707-95C8-D768E06250C7}"/>
            </c:ext>
          </c:extLst>
        </c:ser>
        <c:ser>
          <c:idx val="4"/>
          <c:order val="4"/>
          <c:tx>
            <c:strRef>
              <c:f>RTC!$B$21</c:f>
              <c:strCache>
                <c:ptCount val="1"/>
                <c:pt idx="0">
                  <c:v>P(50% Po,θ 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RTC!$C$21:$AH$21</c:f>
              <c:numCache>
                <c:formatCode>General</c:formatCode>
                <c:ptCount val="32"/>
                <c:pt idx="0">
                  <c:v>6.553112534691814</c:v>
                </c:pt>
                <c:pt idx="1">
                  <c:v>25.951198221551525</c:v>
                </c:pt>
                <c:pt idx="2">
                  <c:v>57.420916598443249</c:v>
                </c:pt>
                <c:pt idx="3">
                  <c:v>99.707669302119385</c:v>
                </c:pt>
                <c:pt idx="4">
                  <c:v>151.12561694584906</c:v>
                </c:pt>
                <c:pt idx="5">
                  <c:v>209.62488821579359</c:v>
                </c:pt>
                <c:pt idx="6">
                  <c:v>272.87330177154575</c:v>
                </c:pt>
                <c:pt idx="7">
                  <c:v>338.3493429565487</c:v>
                </c:pt>
                <c:pt idx="8">
                  <c:v>403.44268863035239</c:v>
                </c:pt>
                <c:pt idx="9">
                  <c:v>465.55827251487307</c:v>
                </c:pt>
                <c:pt idx="10">
                  <c:v>522.21974229769501</c:v>
                </c:pt>
                <c:pt idx="11">
                  <c:v>571.16818398418445</c:v>
                </c:pt>
                <c:pt idx="12">
                  <c:v>610.45217767004146</c:v>
                </c:pt>
                <c:pt idx="13">
                  <c:v>638.50559449482137</c:v>
                </c:pt>
                <c:pt idx="14">
                  <c:v>654.21003325739639</c:v>
                </c:pt>
                <c:pt idx="15">
                  <c:v>656.93940754252503</c:v>
                </c:pt>
                <c:pt idx="16">
                  <c:v>646.58490581049773</c:v>
                </c:pt>
                <c:pt idx="17">
                  <c:v>623.55932936985084</c:v>
                </c:pt>
                <c:pt idx="18">
                  <c:v>588.78063529186454</c:v>
                </c:pt>
                <c:pt idx="19">
                  <c:v>543.63534035891246</c:v>
                </c:pt>
                <c:pt idx="20">
                  <c:v>489.9232450157549</c:v>
                </c:pt>
                <c:pt idx="21">
                  <c:v>429.78568100540542</c:v>
                </c:pt>
                <c:pt idx="22">
                  <c:v>365.62014322989927</c:v>
                </c:pt>
                <c:pt idx="23">
                  <c:v>299.98470919428195</c:v>
                </c:pt>
                <c:pt idx="24">
                  <c:v>235.49605652896443</c:v>
                </c:pt>
                <c:pt idx="25">
                  <c:v>174.72514431000101</c:v>
                </c:pt>
                <c:pt idx="26">
                  <c:v>120.09471703385887</c:v>
                </c:pt>
                <c:pt idx="27">
                  <c:v>73.782717439755459</c:v>
                </c:pt>
                <c:pt idx="28">
                  <c:v>37.635458805541411</c:v>
                </c:pt>
                <c:pt idx="29">
                  <c:v>13.09401826369217</c:v>
                </c:pt>
                <c:pt idx="30">
                  <c:v>1.7485824658361149</c:v>
                </c:pt>
                <c:pt idx="31">
                  <c:v>1.1367856036172501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E68-4707-95C8-D768E06250C7}"/>
            </c:ext>
          </c:extLst>
        </c:ser>
        <c:ser>
          <c:idx val="5"/>
          <c:order val="5"/>
          <c:tx>
            <c:strRef>
              <c:f>RTC!$B$22</c:f>
              <c:strCache>
                <c:ptCount val="1"/>
                <c:pt idx="0">
                  <c:v>P(25% Po,θ )</c:v>
                </c:pt>
              </c:strCache>
            </c:strRef>
          </c:tx>
          <c:spPr>
            <a:ln w="19050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RTC!$C$22:$AH$22</c:f>
              <c:numCache>
                <c:formatCode>General</c:formatCode>
                <c:ptCount val="32"/>
                <c:pt idx="0">
                  <c:v>3.276556267345907</c:v>
                </c:pt>
                <c:pt idx="1">
                  <c:v>12.975599110775763</c:v>
                </c:pt>
                <c:pt idx="2">
                  <c:v>28.710458299221624</c:v>
                </c:pt>
                <c:pt idx="3">
                  <c:v>49.853834651059692</c:v>
                </c:pt>
                <c:pt idx="4">
                  <c:v>75.56280847292453</c:v>
                </c:pt>
                <c:pt idx="5">
                  <c:v>104.81244410789679</c:v>
                </c:pt>
                <c:pt idx="6">
                  <c:v>136.43665088577288</c:v>
                </c:pt>
                <c:pt idx="7">
                  <c:v>169.17467147827435</c:v>
                </c:pt>
                <c:pt idx="8">
                  <c:v>201.7213443151762</c:v>
                </c:pt>
                <c:pt idx="9">
                  <c:v>232.77913625743653</c:v>
                </c:pt>
                <c:pt idx="10">
                  <c:v>261.1098711488475</c:v>
                </c:pt>
                <c:pt idx="11">
                  <c:v>285.58409199209223</c:v>
                </c:pt>
                <c:pt idx="12">
                  <c:v>305.22608883502073</c:v>
                </c:pt>
                <c:pt idx="13">
                  <c:v>319.25279724741068</c:v>
                </c:pt>
                <c:pt idx="14">
                  <c:v>327.10501662869819</c:v>
                </c:pt>
                <c:pt idx="15">
                  <c:v>328.46970377126252</c:v>
                </c:pt>
                <c:pt idx="16">
                  <c:v>323.29245290524887</c:v>
                </c:pt>
                <c:pt idx="17">
                  <c:v>311.77966468492542</c:v>
                </c:pt>
                <c:pt idx="18">
                  <c:v>294.39031764593227</c:v>
                </c:pt>
                <c:pt idx="19">
                  <c:v>271.81767017945623</c:v>
                </c:pt>
                <c:pt idx="20">
                  <c:v>244.96162250787745</c:v>
                </c:pt>
                <c:pt idx="21">
                  <c:v>214.89284050270271</c:v>
                </c:pt>
                <c:pt idx="22">
                  <c:v>182.81007161494963</c:v>
                </c:pt>
                <c:pt idx="23">
                  <c:v>149.99235459714097</c:v>
                </c:pt>
                <c:pt idx="24">
                  <c:v>117.74802826448222</c:v>
                </c:pt>
                <c:pt idx="25">
                  <c:v>87.362572155000507</c:v>
                </c:pt>
                <c:pt idx="26">
                  <c:v>60.047358516929435</c:v>
                </c:pt>
                <c:pt idx="27">
                  <c:v>36.891358719877729</c:v>
                </c:pt>
                <c:pt idx="28">
                  <c:v>18.817729402770706</c:v>
                </c:pt>
                <c:pt idx="29">
                  <c:v>6.5470091318460852</c:v>
                </c:pt>
                <c:pt idx="30">
                  <c:v>0.87429123291805744</c:v>
                </c:pt>
                <c:pt idx="31">
                  <c:v>0.56839280180862506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E68-4707-95C8-D768E0625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6769839"/>
        <c:axId val="1386757359"/>
      </c:scatterChart>
      <c:valAx>
        <c:axId val="1407978431"/>
        <c:scaling>
          <c:orientation val="minMax"/>
          <c:max val="3"/>
          <c:min val="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θ</a:t>
                </a:r>
                <a:r>
                  <a:rPr lang="en-US"/>
                  <a:t> [rad]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6511"/>
        <c:crosses val="autoZero"/>
        <c:crossBetween val="midCat"/>
      </c:valAx>
      <c:valAx>
        <c:axId val="1407976511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Required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8431"/>
        <c:crosses val="autoZero"/>
        <c:crossBetween val="midCat"/>
      </c:valAx>
      <c:valAx>
        <c:axId val="138675735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769839"/>
        <c:crosses val="max"/>
        <c:crossBetween val="midCat"/>
      </c:valAx>
      <c:valAx>
        <c:axId val="1386769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86757359"/>
        <c:crosses val="autoZero"/>
        <c:crossBetween val="midCat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29019958658162259"/>
          <c:y val="0.13353167681983932"/>
          <c:w val="0.44123584912359565"/>
          <c:h val="0.10603607313161245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Gain curve vs Minimum Required Gain for PFC </a:t>
            </a:r>
            <a:r>
              <a:rPr lang="en-US" sz="1400"/>
              <a:t>regulation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@Vin_max- Variable Load @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π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/4-3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π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/4</a:t>
            </a:r>
            <a:endParaRPr lang="el-GR" sz="1400"/>
          </a:p>
        </c:rich>
      </c:tx>
      <c:layout>
        <c:manualLayout>
          <c:xMode val="edge"/>
          <c:yMode val="edge"/>
          <c:x val="0.16144385855423607"/>
          <c:y val="2.3272468193682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537263861003059"/>
          <c:y val="0.14181437112537784"/>
          <c:w val="0.82634951881014873"/>
          <c:h val="0.73685758765226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RTC!$B$28</c:f>
              <c:strCache>
                <c:ptCount val="1"/>
                <c:pt idx="0">
                  <c:v>M.OL(fn)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RTC!$C$28:$CG$28</c:f>
              <c:numCache>
                <c:formatCode>General</c:formatCode>
                <c:ptCount val="83"/>
                <c:pt idx="0">
                  <c:v>2.1818182512396718E-8</c:v>
                </c:pt>
                <c:pt idx="1">
                  <c:v>1.2886419367458453E-3</c:v>
                </c:pt>
                <c:pt idx="2">
                  <c:v>3.2957540508757933E-3</c:v>
                </c:pt>
                <c:pt idx="3">
                  <c:v>6.2466838217803949E-3</c:v>
                </c:pt>
                <c:pt idx="4">
                  <c:v>1.0165634844491057E-2</c:v>
                </c:pt>
                <c:pt idx="5">
                  <c:v>1.5085230808885637E-2</c:v>
                </c:pt>
                <c:pt idx="6">
                  <c:v>2.104720710419164E-2</c:v>
                </c:pt>
                <c:pt idx="7">
                  <c:v>2.8103319587713758E-2</c:v>
                </c:pt>
                <c:pt idx="8">
                  <c:v>3.6316508449383139E-2</c:v>
                </c:pt>
                <c:pt idx="9">
                  <c:v>4.5762367743434479E-2</c:v>
                </c:pt>
                <c:pt idx="10">
                  <c:v>5.6530987448607108E-2</c:v>
                </c:pt>
                <c:pt idx="11">
                  <c:v>6.8729256295102084E-2</c:v>
                </c:pt>
                <c:pt idx="12">
                  <c:v>8.2483742085161724E-2</c:v>
                </c:pt>
                <c:pt idx="13">
                  <c:v>9.7944304735298124E-2</c:v>
                </c:pt>
                <c:pt idx="14">
                  <c:v>0.11528864999952876</c:v>
                </c:pt>
                <c:pt idx="15">
                  <c:v>0.1347281050187448</c:v>
                </c:pt>
                <c:pt idx="16">
                  <c:v>0.15651499980883612</c:v>
                </c:pt>
                <c:pt idx="17">
                  <c:v>0.18095218575415503</c:v>
                </c:pt>
                <c:pt idx="18">
                  <c:v>0.20840543512238516</c:v>
                </c:pt>
                <c:pt idx="19">
                  <c:v>0.23931977930378859</c:v>
                </c:pt>
                <c:pt idx="20">
                  <c:v>0.27424131386312434</c:v>
                </c:pt>
                <c:pt idx="21">
                  <c:v>0.31384671772931005</c:v>
                </c:pt>
                <c:pt idx="22">
                  <c:v>0.3589838574142431</c:v>
                </c:pt>
                <c:pt idx="23">
                  <c:v>0.41072864448862639</c:v>
                </c:pt>
                <c:pt idx="24">
                  <c:v>0.47046626668653735</c:v>
                </c:pt>
                <c:pt idx="25">
                  <c:v>0.54000990781304037</c:v>
                </c:pt>
                <c:pt idx="26">
                  <c:v>0.62177881033586746</c:v>
                </c:pt>
                <c:pt idx="27">
                  <c:v>0.71907341857608231</c:v>
                </c:pt>
                <c:pt idx="28">
                  <c:v>0.83651551018079373</c:v>
                </c:pt>
                <c:pt idx="29">
                  <c:v>0.98078153994784389</c:v>
                </c:pt>
                <c:pt idx="30">
                  <c:v>1.1618855338834528</c:v>
                </c:pt>
                <c:pt idx="31">
                  <c:v>1.3955605407023011</c:v>
                </c:pt>
                <c:pt idx="32">
                  <c:v>1.70801881699095</c:v>
                </c:pt>
                <c:pt idx="33">
                  <c:v>2.1464163817304032</c:v>
                </c:pt>
                <c:pt idx="34">
                  <c:v>2.8049873938594398</c:v>
                </c:pt>
                <c:pt idx="35">
                  <c:v>3.9033273688464369</c:v>
                </c:pt>
                <c:pt idx="36">
                  <c:v>6.098718634915044</c:v>
                </c:pt>
                <c:pt idx="37">
                  <c:v>12.659566924581251</c:v>
                </c:pt>
                <c:pt idx="38">
                  <c:v>1921.5837087114464</c:v>
                </c:pt>
                <c:pt idx="39">
                  <c:v>42.249999999987104</c:v>
                </c:pt>
                <c:pt idx="40">
                  <c:v>10.581427390464974</c:v>
                </c:pt>
                <c:pt idx="41">
                  <c:v>6.2413366336631526</c:v>
                </c:pt>
                <c:pt idx="42">
                  <c:v>4.5187319884725161</c:v>
                </c:pt>
                <c:pt idx="43">
                  <c:v>3.5949449125080415</c:v>
                </c:pt>
                <c:pt idx="44">
                  <c:v>3.0192994996425648</c:v>
                </c:pt>
                <c:pt idx="45">
                  <c:v>2.6264591439688467</c:v>
                </c:pt>
                <c:pt idx="46">
                  <c:v>2.3414634146341284</c:v>
                </c:pt>
                <c:pt idx="47">
                  <c:v>2.1254008980115326</c:v>
                </c:pt>
                <c:pt idx="48">
                  <c:v>1.9560649474689491</c:v>
                </c:pt>
                <c:pt idx="49">
                  <c:v>1.8198585144012047</c:v>
                </c:pt>
                <c:pt idx="50">
                  <c:v>1.7079905491189553</c:v>
                </c:pt>
                <c:pt idx="51">
                  <c:v>1.6145251396647997</c:v>
                </c:pt>
                <c:pt idx="52">
                  <c:v>1.5353095649293769</c:v>
                </c:pt>
                <c:pt idx="53">
                  <c:v>1.4673515584189416</c:v>
                </c:pt>
                <c:pt idx="54">
                  <c:v>1.4084404999094342</c:v>
                </c:pt>
                <c:pt idx="55">
                  <c:v>1.35690789473684</c:v>
                </c:pt>
                <c:pt idx="56">
                  <c:v>1.3114708393594574</c:v>
                </c:pt>
                <c:pt idx="57">
                  <c:v>1.2711267605633787</c:v>
                </c:pt>
                <c:pt idx="58">
                  <c:v>1.2350808487203404</c:v>
                </c:pt>
                <c:pt idx="59">
                  <c:v>1.2026949211102145</c:v>
                </c:pt>
                <c:pt idx="60">
                  <c:v>1.1734506784011727</c:v>
                </c:pt>
                <c:pt idx="61">
                  <c:v>1.1469228398232809</c:v>
                </c:pt>
                <c:pt idx="62">
                  <c:v>1.1227591914225556</c:v>
                </c:pt>
                <c:pt idx="63">
                  <c:v>1.1006655574043258</c:v>
                </c:pt>
                <c:pt idx="64">
                  <c:v>1.080394333380958</c:v>
                </c:pt>
                <c:pt idx="65">
                  <c:v>1.0617356341095658</c:v>
                </c:pt>
                <c:pt idx="66">
                  <c:v>1.0445103857566764</c:v>
                </c:pt>
                <c:pt idx="67">
                  <c:v>1.0285648819980142</c:v>
                </c:pt>
                <c:pt idx="68">
                  <c:v>1.0137664544300213</c:v>
                </c:pt>
                <c:pt idx="69">
                  <c:v>1</c:v>
                </c:pt>
                <c:pt idx="70">
                  <c:v>0.96756638701644149</c:v>
                </c:pt>
                <c:pt idx="71">
                  <c:v>0.94029649207737387</c:v>
                </c:pt>
                <c:pt idx="72">
                  <c:v>0.9170912797089299</c:v>
                </c:pt>
                <c:pt idx="73">
                  <c:v>0.89713972557044763</c:v>
                </c:pt>
                <c:pt idx="74">
                  <c:v>0.87983058019429439</c:v>
                </c:pt>
                <c:pt idx="75">
                  <c:v>0.86469466359597535</c:v>
                </c:pt>
                <c:pt idx="76">
                  <c:v>0.85136604264766635</c:v>
                </c:pt>
                <c:pt idx="77">
                  <c:v>0.83955525874231718</c:v>
                </c:pt>
                <c:pt idx="78">
                  <c:v>0.82903045930975283</c:v>
                </c:pt>
                <c:pt idx="79">
                  <c:v>0.81960384055727298</c:v>
                </c:pt>
                <c:pt idx="80">
                  <c:v>0.81112173694104106</c:v>
                </c:pt>
                <c:pt idx="81">
                  <c:v>0.80345726326884537</c:v>
                </c:pt>
                <c:pt idx="82">
                  <c:v>0.7965047748976446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44-4314-8E41-637A7FA10220}"/>
            </c:ext>
          </c:extLst>
        </c:ser>
        <c:ser>
          <c:idx val="4"/>
          <c:order val="1"/>
          <c:tx>
            <c:strRef>
              <c:f>RTC!$B$70</c:f>
              <c:strCache>
                <c:ptCount val="1"/>
                <c:pt idx="0">
                  <c:v>Mreq(Vin_max, Vout,π/4 )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RTC!$C$70:$CG$70</c:f>
              <c:numCache>
                <c:formatCode>General</c:formatCode>
                <c:ptCount val="83"/>
                <c:pt idx="0">
                  <c:v>1.411496212121212</c:v>
                </c:pt>
                <c:pt idx="1">
                  <c:v>1.411496212121212</c:v>
                </c:pt>
                <c:pt idx="2">
                  <c:v>1.411496212121212</c:v>
                </c:pt>
                <c:pt idx="3">
                  <c:v>1.411496212121212</c:v>
                </c:pt>
                <c:pt idx="4">
                  <c:v>1.411496212121212</c:v>
                </c:pt>
                <c:pt idx="5">
                  <c:v>1.411496212121212</c:v>
                </c:pt>
                <c:pt idx="6">
                  <c:v>1.411496212121212</c:v>
                </c:pt>
                <c:pt idx="7">
                  <c:v>1.411496212121212</c:v>
                </c:pt>
                <c:pt idx="8">
                  <c:v>1.411496212121212</c:v>
                </c:pt>
                <c:pt idx="9">
                  <c:v>1.411496212121212</c:v>
                </c:pt>
                <c:pt idx="10">
                  <c:v>1.411496212121212</c:v>
                </c:pt>
                <c:pt idx="11">
                  <c:v>1.411496212121212</c:v>
                </c:pt>
                <c:pt idx="12">
                  <c:v>1.411496212121212</c:v>
                </c:pt>
                <c:pt idx="13">
                  <c:v>1.411496212121212</c:v>
                </c:pt>
                <c:pt idx="14">
                  <c:v>1.411496212121212</c:v>
                </c:pt>
                <c:pt idx="15">
                  <c:v>1.411496212121212</c:v>
                </c:pt>
                <c:pt idx="16">
                  <c:v>1.411496212121212</c:v>
                </c:pt>
                <c:pt idx="17">
                  <c:v>1.411496212121212</c:v>
                </c:pt>
                <c:pt idx="18">
                  <c:v>1.411496212121212</c:v>
                </c:pt>
                <c:pt idx="19">
                  <c:v>1.411496212121212</c:v>
                </c:pt>
                <c:pt idx="20">
                  <c:v>1.411496212121212</c:v>
                </c:pt>
                <c:pt idx="21">
                  <c:v>1.411496212121212</c:v>
                </c:pt>
                <c:pt idx="22">
                  <c:v>1.411496212121212</c:v>
                </c:pt>
                <c:pt idx="23">
                  <c:v>1.411496212121212</c:v>
                </c:pt>
                <c:pt idx="24">
                  <c:v>1.411496212121212</c:v>
                </c:pt>
                <c:pt idx="25">
                  <c:v>1.411496212121212</c:v>
                </c:pt>
                <c:pt idx="26">
                  <c:v>1.411496212121212</c:v>
                </c:pt>
                <c:pt idx="27">
                  <c:v>1.411496212121212</c:v>
                </c:pt>
                <c:pt idx="28">
                  <c:v>1.411496212121212</c:v>
                </c:pt>
                <c:pt idx="29">
                  <c:v>1.411496212121212</c:v>
                </c:pt>
                <c:pt idx="30">
                  <c:v>1.411496212121212</c:v>
                </c:pt>
                <c:pt idx="31">
                  <c:v>1.411496212121212</c:v>
                </c:pt>
                <c:pt idx="32">
                  <c:v>1.411496212121212</c:v>
                </c:pt>
                <c:pt idx="33">
                  <c:v>1.411496212121212</c:v>
                </c:pt>
                <c:pt idx="34">
                  <c:v>1.411496212121212</c:v>
                </c:pt>
                <c:pt idx="35">
                  <c:v>1.411496212121212</c:v>
                </c:pt>
                <c:pt idx="36">
                  <c:v>1.411496212121212</c:v>
                </c:pt>
                <c:pt idx="37">
                  <c:v>1.411496212121212</c:v>
                </c:pt>
                <c:pt idx="38">
                  <c:v>1.411496212121212</c:v>
                </c:pt>
                <c:pt idx="39">
                  <c:v>1.411496212121212</c:v>
                </c:pt>
                <c:pt idx="40">
                  <c:v>1.411496212121212</c:v>
                </c:pt>
                <c:pt idx="41">
                  <c:v>1.411496212121212</c:v>
                </c:pt>
                <c:pt idx="42">
                  <c:v>1.411496212121212</c:v>
                </c:pt>
                <c:pt idx="43">
                  <c:v>1.411496212121212</c:v>
                </c:pt>
                <c:pt idx="44">
                  <c:v>1.411496212121212</c:v>
                </c:pt>
                <c:pt idx="45">
                  <c:v>1.411496212121212</c:v>
                </c:pt>
                <c:pt idx="46">
                  <c:v>1.411496212121212</c:v>
                </c:pt>
                <c:pt idx="47">
                  <c:v>1.411496212121212</c:v>
                </c:pt>
                <c:pt idx="48">
                  <c:v>1.411496212121212</c:v>
                </c:pt>
                <c:pt idx="49">
                  <c:v>1.411496212121212</c:v>
                </c:pt>
                <c:pt idx="50">
                  <c:v>1.411496212121212</c:v>
                </c:pt>
                <c:pt idx="51">
                  <c:v>1.411496212121212</c:v>
                </c:pt>
                <c:pt idx="52">
                  <c:v>1.411496212121212</c:v>
                </c:pt>
                <c:pt idx="53">
                  <c:v>1.411496212121212</c:v>
                </c:pt>
                <c:pt idx="54">
                  <c:v>1.411496212121212</c:v>
                </c:pt>
                <c:pt idx="55">
                  <c:v>1.411496212121212</c:v>
                </c:pt>
                <c:pt idx="56">
                  <c:v>1.411496212121212</c:v>
                </c:pt>
                <c:pt idx="57">
                  <c:v>1.411496212121212</c:v>
                </c:pt>
                <c:pt idx="58">
                  <c:v>1.411496212121212</c:v>
                </c:pt>
                <c:pt idx="59">
                  <c:v>1.411496212121212</c:v>
                </c:pt>
                <c:pt idx="60">
                  <c:v>1.411496212121212</c:v>
                </c:pt>
                <c:pt idx="61">
                  <c:v>1.411496212121212</c:v>
                </c:pt>
                <c:pt idx="62">
                  <c:v>1.411496212121212</c:v>
                </c:pt>
                <c:pt idx="63">
                  <c:v>1.411496212121212</c:v>
                </c:pt>
                <c:pt idx="64">
                  <c:v>1.411496212121212</c:v>
                </c:pt>
                <c:pt idx="65">
                  <c:v>1.411496212121212</c:v>
                </c:pt>
                <c:pt idx="66">
                  <c:v>1.411496212121212</c:v>
                </c:pt>
                <c:pt idx="67">
                  <c:v>1.411496212121212</c:v>
                </c:pt>
                <c:pt idx="68">
                  <c:v>1.411496212121212</c:v>
                </c:pt>
                <c:pt idx="69">
                  <c:v>1.411496212121212</c:v>
                </c:pt>
                <c:pt idx="70">
                  <c:v>1.411496212121212</c:v>
                </c:pt>
                <c:pt idx="71">
                  <c:v>1.411496212121212</c:v>
                </c:pt>
                <c:pt idx="72">
                  <c:v>1.411496212121212</c:v>
                </c:pt>
                <c:pt idx="73">
                  <c:v>1.411496212121212</c:v>
                </c:pt>
                <c:pt idx="74">
                  <c:v>1.411496212121212</c:v>
                </c:pt>
                <c:pt idx="75">
                  <c:v>1.411496212121212</c:v>
                </c:pt>
                <c:pt idx="76">
                  <c:v>1.411496212121212</c:v>
                </c:pt>
                <c:pt idx="77">
                  <c:v>1.411496212121212</c:v>
                </c:pt>
                <c:pt idx="78">
                  <c:v>1.411496212121212</c:v>
                </c:pt>
                <c:pt idx="79">
                  <c:v>1.411496212121212</c:v>
                </c:pt>
                <c:pt idx="80">
                  <c:v>1.411496212121212</c:v>
                </c:pt>
                <c:pt idx="81">
                  <c:v>1.411496212121212</c:v>
                </c:pt>
                <c:pt idx="82">
                  <c:v>1.411496212121212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44-4314-8E41-637A7FA10220}"/>
            </c:ext>
          </c:extLst>
        </c:ser>
        <c:ser>
          <c:idx val="7"/>
          <c:order val="2"/>
          <c:tx>
            <c:strRef>
              <c:f>RTC!$B$29</c:f>
              <c:strCache>
                <c:ptCount val="1"/>
                <c:pt idx="0">
                  <c:v>M.Z(fn)</c:v>
                </c:pt>
              </c:strCache>
            </c:strRef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RTC!$C$29:$CG$29</c:f>
              <c:numCache>
                <c:formatCode>General</c:formatCode>
                <c:ptCount val="8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1921.5837087114464</c:v>
                </c:pt>
                <c:pt idx="39">
                  <c:v>6.499999999999007</c:v>
                </c:pt>
                <c:pt idx="40">
                  <c:v>3.2529106029008803</c:v>
                </c:pt>
                <c:pt idx="41">
                  <c:v>2.4982667258847973</c:v>
                </c:pt>
                <c:pt idx="42">
                  <c:v>2.1257309304031207</c:v>
                </c:pt>
                <c:pt idx="43">
                  <c:v>1.8960339956097945</c:v>
                </c:pt>
                <c:pt idx="44">
                  <c:v>1.7376131616797115</c:v>
                </c:pt>
                <c:pt idx="45">
                  <c:v>1.6206354136476369</c:v>
                </c:pt>
                <c:pt idx="46">
                  <c:v>1.5301841113520063</c:v>
                </c:pt>
                <c:pt idx="47">
                  <c:v>1.4578754741100259</c:v>
                </c:pt>
                <c:pt idx="48">
                  <c:v>1.3985939180008431</c:v>
                </c:pt>
                <c:pt idx="49">
                  <c:v>1.3490213172523273</c:v>
                </c:pt>
                <c:pt idx="50">
                  <c:v>1.3069011244615849</c:v>
                </c:pt>
                <c:pt idx="51">
                  <c:v>1.2706396576782892</c:v>
                </c:pt>
                <c:pt idx="52">
                  <c:v>1.2390760932765092</c:v>
                </c:pt>
                <c:pt idx="53">
                  <c:v>1.2113428740117067</c:v>
                </c:pt>
                <c:pt idx="54">
                  <c:v>1.1867773590313537</c:v>
                </c:pt>
                <c:pt idx="55">
                  <c:v>1.1648638953701158</c:v>
                </c:pt>
                <c:pt idx="56">
                  <c:v>1.1451946731274369</c:v>
                </c:pt>
                <c:pt idx="57">
                  <c:v>1.1274425752841599</c:v>
                </c:pt>
                <c:pt idx="58">
                  <c:v>1.1113419135083229</c:v>
                </c:pt>
                <c:pt idx="59">
                  <c:v>1.0966744827478272</c:v>
                </c:pt>
                <c:pt idx="60">
                  <c:v>1.0832592849365161</c:v>
                </c:pt>
                <c:pt idx="61">
                  <c:v>1.0709448350980926</c:v>
                </c:pt>
                <c:pt idx="62">
                  <c:v>1.0596033179556184</c:v>
                </c:pt>
                <c:pt idx="63">
                  <c:v>1.0491260922331147</c:v>
                </c:pt>
                <c:pt idx="64">
                  <c:v>1.0394201909627108</c:v>
                </c:pt>
                <c:pt idx="65">
                  <c:v>1.0304055677788071</c:v>
                </c:pt>
                <c:pt idx="66">
                  <c:v>1.022012908801389</c:v>
                </c:pt>
                <c:pt idx="67">
                  <c:v>1.0141818781648655</c:v>
                </c:pt>
                <c:pt idx="68">
                  <c:v>1.0068596994765564</c:v>
                </c:pt>
                <c:pt idx="69">
                  <c:v>1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44-4314-8E41-637A7FA10220}"/>
            </c:ext>
          </c:extLst>
        </c:ser>
        <c:ser>
          <c:idx val="8"/>
          <c:order val="3"/>
          <c:tx>
            <c:strRef>
              <c:f>RTC!$B$31</c:f>
              <c:strCache>
                <c:ptCount val="1"/>
                <c:pt idx="0">
                  <c:v>Minf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RTC!$C$31:$CG$31</c:f>
              <c:numCache>
                <c:formatCode>General</c:formatCode>
                <c:ptCount val="83"/>
                <c:pt idx="0">
                  <c:v>0.68571428571428572</c:v>
                </c:pt>
                <c:pt idx="1">
                  <c:v>0.68571428571428572</c:v>
                </c:pt>
                <c:pt idx="2">
                  <c:v>0.68571428571428572</c:v>
                </c:pt>
                <c:pt idx="3">
                  <c:v>0.68571428571428572</c:v>
                </c:pt>
                <c:pt idx="4">
                  <c:v>0.68571428571428572</c:v>
                </c:pt>
                <c:pt idx="5">
                  <c:v>0.68571428571428572</c:v>
                </c:pt>
                <c:pt idx="6">
                  <c:v>0.68571428571428572</c:v>
                </c:pt>
                <c:pt idx="7">
                  <c:v>0.68571428571428572</c:v>
                </c:pt>
                <c:pt idx="8">
                  <c:v>0.68571428571428572</c:v>
                </c:pt>
                <c:pt idx="9">
                  <c:v>0.68571428571428572</c:v>
                </c:pt>
                <c:pt idx="10">
                  <c:v>0.68571428571428572</c:v>
                </c:pt>
                <c:pt idx="11">
                  <c:v>0.68571428571428572</c:v>
                </c:pt>
                <c:pt idx="12">
                  <c:v>0.68571428571428572</c:v>
                </c:pt>
                <c:pt idx="13">
                  <c:v>0.68571428571428572</c:v>
                </c:pt>
                <c:pt idx="14">
                  <c:v>0.68571428571428572</c:v>
                </c:pt>
                <c:pt idx="15">
                  <c:v>0.68571428571428572</c:v>
                </c:pt>
                <c:pt idx="16">
                  <c:v>0.68571428571428572</c:v>
                </c:pt>
                <c:pt idx="17">
                  <c:v>0.68571428571428572</c:v>
                </c:pt>
                <c:pt idx="18">
                  <c:v>0.68571428571428572</c:v>
                </c:pt>
                <c:pt idx="19">
                  <c:v>0.68571428571428572</c:v>
                </c:pt>
                <c:pt idx="20">
                  <c:v>0.68571428571428572</c:v>
                </c:pt>
                <c:pt idx="21">
                  <c:v>0.68571428571428572</c:v>
                </c:pt>
                <c:pt idx="22">
                  <c:v>0.68571428571428572</c:v>
                </c:pt>
                <c:pt idx="23">
                  <c:v>0.68571428571428572</c:v>
                </c:pt>
                <c:pt idx="24">
                  <c:v>0.68571428571428572</c:v>
                </c:pt>
                <c:pt idx="25">
                  <c:v>0.68571428571428572</c:v>
                </c:pt>
                <c:pt idx="26">
                  <c:v>0.68571428571428572</c:v>
                </c:pt>
                <c:pt idx="27">
                  <c:v>0.68571428571428572</c:v>
                </c:pt>
                <c:pt idx="28">
                  <c:v>0.68571428571428572</c:v>
                </c:pt>
                <c:pt idx="29">
                  <c:v>0.68571428571428572</c:v>
                </c:pt>
                <c:pt idx="30">
                  <c:v>0.68571428571428572</c:v>
                </c:pt>
                <c:pt idx="31">
                  <c:v>0.68571428571428572</c:v>
                </c:pt>
                <c:pt idx="32">
                  <c:v>0.68571428571428572</c:v>
                </c:pt>
                <c:pt idx="33">
                  <c:v>0.68571428571428572</c:v>
                </c:pt>
                <c:pt idx="34">
                  <c:v>0.68571428571428572</c:v>
                </c:pt>
                <c:pt idx="35">
                  <c:v>0.68571428571428572</c:v>
                </c:pt>
                <c:pt idx="36">
                  <c:v>0.68571428571428572</c:v>
                </c:pt>
                <c:pt idx="37">
                  <c:v>0.68571428571428572</c:v>
                </c:pt>
                <c:pt idx="38">
                  <c:v>0.68571428571428572</c:v>
                </c:pt>
                <c:pt idx="39">
                  <c:v>0.68571428571428572</c:v>
                </c:pt>
                <c:pt idx="40">
                  <c:v>0.68571428571428572</c:v>
                </c:pt>
                <c:pt idx="41">
                  <c:v>0.68571428571428572</c:v>
                </c:pt>
                <c:pt idx="42">
                  <c:v>0.68571428571428572</c:v>
                </c:pt>
                <c:pt idx="43">
                  <c:v>0.68571428571428572</c:v>
                </c:pt>
                <c:pt idx="44">
                  <c:v>0.68571428571428572</c:v>
                </c:pt>
                <c:pt idx="45">
                  <c:v>0.68571428571428572</c:v>
                </c:pt>
                <c:pt idx="46">
                  <c:v>0.68571428571428572</c:v>
                </c:pt>
                <c:pt idx="47">
                  <c:v>0.68571428571428572</c:v>
                </c:pt>
                <c:pt idx="48">
                  <c:v>0.68571428571428572</c:v>
                </c:pt>
                <c:pt idx="49">
                  <c:v>0.68571428571428572</c:v>
                </c:pt>
                <c:pt idx="50">
                  <c:v>0.68571428571428572</c:v>
                </c:pt>
                <c:pt idx="51">
                  <c:v>0.68571428571428572</c:v>
                </c:pt>
                <c:pt idx="52">
                  <c:v>0.68571428571428572</c:v>
                </c:pt>
                <c:pt idx="53">
                  <c:v>0.68571428571428572</c:v>
                </c:pt>
                <c:pt idx="54">
                  <c:v>0.68571428571428572</c:v>
                </c:pt>
                <c:pt idx="55">
                  <c:v>0.68571428571428572</c:v>
                </c:pt>
                <c:pt idx="56">
                  <c:v>0.68571428571428572</c:v>
                </c:pt>
                <c:pt idx="57">
                  <c:v>0.68571428571428572</c:v>
                </c:pt>
                <c:pt idx="58">
                  <c:v>0.68571428571428572</c:v>
                </c:pt>
                <c:pt idx="59">
                  <c:v>0.68571428571428572</c:v>
                </c:pt>
                <c:pt idx="60">
                  <c:v>0.68571428571428572</c:v>
                </c:pt>
                <c:pt idx="61">
                  <c:v>0.68571428571428572</c:v>
                </c:pt>
                <c:pt idx="62">
                  <c:v>0.68571428571428572</c:v>
                </c:pt>
                <c:pt idx="63">
                  <c:v>0.68571428571428572</c:v>
                </c:pt>
                <c:pt idx="64">
                  <c:v>0.68571428571428572</c:v>
                </c:pt>
                <c:pt idx="65">
                  <c:v>0.68571428571428572</c:v>
                </c:pt>
                <c:pt idx="66">
                  <c:v>0.68571428571428572</c:v>
                </c:pt>
                <c:pt idx="67">
                  <c:v>0.68571428571428572</c:v>
                </c:pt>
                <c:pt idx="68">
                  <c:v>0.68571428571428572</c:v>
                </c:pt>
                <c:pt idx="69">
                  <c:v>0.68571428571428572</c:v>
                </c:pt>
                <c:pt idx="70">
                  <c:v>0.68571428571428572</c:v>
                </c:pt>
                <c:pt idx="71">
                  <c:v>0.68571428571428572</c:v>
                </c:pt>
                <c:pt idx="72">
                  <c:v>0.68571428571428572</c:v>
                </c:pt>
                <c:pt idx="73">
                  <c:v>0.68571428571428572</c:v>
                </c:pt>
                <c:pt idx="74">
                  <c:v>0.68571428571428572</c:v>
                </c:pt>
                <c:pt idx="75">
                  <c:v>0.68571428571428572</c:v>
                </c:pt>
                <c:pt idx="76">
                  <c:v>0.68571428571428572</c:v>
                </c:pt>
                <c:pt idx="77">
                  <c:v>0.68571428571428572</c:v>
                </c:pt>
                <c:pt idx="78">
                  <c:v>0.68571428571428572</c:v>
                </c:pt>
                <c:pt idx="79">
                  <c:v>0.68571428571428572</c:v>
                </c:pt>
                <c:pt idx="80">
                  <c:v>0.68571428571428572</c:v>
                </c:pt>
                <c:pt idx="81">
                  <c:v>0.68571428571428572</c:v>
                </c:pt>
                <c:pt idx="82">
                  <c:v>0.68571428571428572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44-4314-8E41-637A7FA10220}"/>
            </c:ext>
          </c:extLst>
        </c:ser>
        <c:ser>
          <c:idx val="1"/>
          <c:order val="4"/>
          <c:tx>
            <c:strRef>
              <c:f>RTC!$B$108</c:f>
              <c:strCache>
                <c:ptCount val="1"/>
                <c:pt idx="0">
                  <c:v>M(fn,100% Po,π/4)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RTC!$C$108:$CG$108</c:f>
              <c:numCache>
                <c:formatCode>General</c:formatCode>
                <c:ptCount val="83"/>
                <c:pt idx="0">
                  <c:v>2.1818182479920704E-8</c:v>
                </c:pt>
                <c:pt idx="1">
                  <c:v>1.2885285829841006E-3</c:v>
                </c:pt>
                <c:pt idx="2">
                  <c:v>3.2950119481721194E-3</c:v>
                </c:pt>
                <c:pt idx="3">
                  <c:v>6.2440144033623097E-3</c:v>
                </c:pt>
                <c:pt idx="4">
                  <c:v>1.0158553191859945E-2</c:v>
                </c:pt>
                <c:pt idx="5">
                  <c:v>1.5069602622699301E-2</c:v>
                </c:pt>
                <c:pt idx="6">
                  <c:v>2.1016704876682134E-2</c:v>
                </c:pt>
                <c:pt idx="7">
                  <c:v>2.8048768388947723E-2</c:v>
                </c:pt>
                <c:pt idx="8">
                  <c:v>3.6225083729408088E-2</c:v>
                </c:pt>
                <c:pt idx="9">
                  <c:v>4.5616596356075428E-2</c:v>
                </c:pt>
                <c:pt idx="10">
                  <c:v>5.6307487501055131E-2</c:v>
                </c:pt>
                <c:pt idx="11">
                  <c:v>6.83971296301875E-2</c:v>
                </c:pt>
                <c:pt idx="12">
                  <c:v>8.2002502564154742E-2</c:v>
                </c:pt>
                <c:pt idx="13">
                  <c:v>9.7261182059277002E-2</c:v>
                </c:pt>
                <c:pt idx="14">
                  <c:v>0.11433504662530793</c:v>
                </c:pt>
                <c:pt idx="15">
                  <c:v>0.13341489367348136</c:v>
                </c:pt>
                <c:pt idx="16">
                  <c:v>0.15472621704054584</c:v>
                </c:pt>
                <c:pt idx="17">
                  <c:v>0.17853648058534624</c:v>
                </c:pt>
                <c:pt idx="18">
                  <c:v>0.20516433548851423</c:v>
                </c:pt>
                <c:pt idx="19">
                  <c:v>0.23499138428974772</c:v>
                </c:pt>
                <c:pt idx="20">
                  <c:v>0.26847730985236462</c:v>
                </c:pt>
                <c:pt idx="21">
                  <c:v>0.30617948669159406</c:v>
                </c:pt>
                <c:pt idx="22">
                  <c:v>0.34877860915110864</c:v>
                </c:pt>
                <c:pt idx="23">
                  <c:v>0.39711245078414564</c:v>
                </c:pt>
                <c:pt idx="24">
                  <c:v>0.45222066752110879</c:v>
                </c:pt>
                <c:pt idx="25">
                  <c:v>0.51540462938092035</c:v>
                </c:pt>
                <c:pt idx="26">
                  <c:v>0.58830762840615813</c:v>
                </c:pt>
                <c:pt idx="27">
                  <c:v>0.67302232488870162</c:v>
                </c:pt>
                <c:pt idx="28">
                  <c:v>0.77223333712321429</c:v>
                </c:pt>
                <c:pt idx="29">
                  <c:v>0.88940146434470002</c:v>
                </c:pt>
                <c:pt idx="30">
                  <c:v>1.0289864824494521</c:v>
                </c:pt>
                <c:pt idx="31">
                  <c:v>1.1966724314094623</c:v>
                </c:pt>
                <c:pt idx="32">
                  <c:v>1.3994632574174968</c:v>
                </c:pt>
                <c:pt idx="33">
                  <c:v>1.6452628496952006</c:v>
                </c:pt>
                <c:pt idx="34">
                  <c:v>1.9409529095430136</c:v>
                </c:pt>
                <c:pt idx="35">
                  <c:v>2.286856711332343</c:v>
                </c:pt>
                <c:pt idx="36">
                  <c:v>2.664689739148864</c:v>
                </c:pt>
                <c:pt idx="37">
                  <c:v>3.0210297534050943</c:v>
                </c:pt>
                <c:pt idx="38">
                  <c:v>3.2681466330811526</c:v>
                </c:pt>
                <c:pt idx="39">
                  <c:v>3.3110252196145522</c:v>
                </c:pt>
                <c:pt idx="40">
                  <c:v>3.3156909367168934</c:v>
                </c:pt>
                <c:pt idx="41">
                  <c:v>3.165485129035889</c:v>
                </c:pt>
                <c:pt idx="42">
                  <c:v>2.9379147301897302</c:v>
                </c:pt>
                <c:pt idx="43">
                  <c:v>2.6956469422014004</c:v>
                </c:pt>
                <c:pt idx="44">
                  <c:v>2.4705166769883413</c:v>
                </c:pt>
                <c:pt idx="45">
                  <c:v>2.2731978578150067</c:v>
                </c:pt>
                <c:pt idx="46">
                  <c:v>2.1043137440172504</c:v>
                </c:pt>
                <c:pt idx="47">
                  <c:v>1.9607997258777867</c:v>
                </c:pt>
                <c:pt idx="48">
                  <c:v>1.8387414801727384</c:v>
                </c:pt>
                <c:pt idx="49">
                  <c:v>1.7344475901781762</c:v>
                </c:pt>
                <c:pt idx="50">
                  <c:v>1.6447671953798582</c:v>
                </c:pt>
                <c:pt idx="51">
                  <c:v>1.5671176092543677</c:v>
                </c:pt>
                <c:pt idx="52">
                  <c:v>1.4994159312519777</c:v>
                </c:pt>
                <c:pt idx="53">
                  <c:v>1.4399901776491046</c:v>
                </c:pt>
                <c:pt idx="54">
                  <c:v>1.3874966034904137</c:v>
                </c:pt>
                <c:pt idx="55">
                  <c:v>1.3408506390314692</c:v>
                </c:pt>
                <c:pt idx="56">
                  <c:v>1.2991717638123261</c:v>
                </c:pt>
                <c:pt idx="57">
                  <c:v>1.2617403838170929</c:v>
                </c:pt>
                <c:pt idx="58">
                  <c:v>1.2279643637936826</c:v>
                </c:pt>
                <c:pt idx="59">
                  <c:v>1.1973530893088902</c:v>
                </c:pt>
                <c:pt idx="60">
                  <c:v>1.1694973196907215</c:v>
                </c:pt>
                <c:pt idx="61">
                  <c:v>1.1440534718277999</c:v>
                </c:pt>
                <c:pt idx="62">
                  <c:v>1.1207312935183062</c:v>
                </c:pt>
                <c:pt idx="63">
                  <c:v>1.0992841366401696</c:v>
                </c:pt>
                <c:pt idx="64">
                  <c:v>1.0795012330280616</c:v>
                </c:pt>
                <c:pt idx="65">
                  <c:v>1.0612015212514392</c:v>
                </c:pt>
                <c:pt idx="66">
                  <c:v>1.0442286814174895</c:v>
                </c:pt>
                <c:pt idx="67">
                  <c:v>1.028447116660097</c:v>
                </c:pt>
                <c:pt idx="68">
                  <c:v>1.0137386810967635</c:v>
                </c:pt>
                <c:pt idx="69">
                  <c:v>1</c:v>
                </c:pt>
                <c:pt idx="70">
                  <c:v>0.96740297287939647</c:v>
                </c:pt>
                <c:pt idx="71">
                  <c:v>0.9397179046098656</c:v>
                </c:pt>
                <c:pt idx="72">
                  <c:v>0.91592461846307416</c:v>
                </c:pt>
                <c:pt idx="73">
                  <c:v>0.89526144065932423</c:v>
                </c:pt>
                <c:pt idx="74">
                  <c:v>0.87714892036287673</c:v>
                </c:pt>
                <c:pt idx="75">
                  <c:v>0.86113889543855549</c:v>
                </c:pt>
                <c:pt idx="76">
                  <c:v>0.84687964305359276</c:v>
                </c:pt>
                <c:pt idx="77">
                  <c:v>0.83409151190731656</c:v>
                </c:pt>
                <c:pt idx="78">
                  <c:v>0.82254954889244947</c:v>
                </c:pt>
                <c:pt idx="79">
                  <c:v>0.81207089395729926</c:v>
                </c:pt>
                <c:pt idx="80">
                  <c:v>0.80250548884949624</c:v>
                </c:pt>
                <c:pt idx="81">
                  <c:v>0.79372912964468822</c:v>
                </c:pt>
                <c:pt idx="82">
                  <c:v>0.78563820355372038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44-4314-8E41-637A7FA10220}"/>
            </c:ext>
          </c:extLst>
        </c:ser>
        <c:ser>
          <c:idx val="2"/>
          <c:order val="5"/>
          <c:tx>
            <c:strRef>
              <c:f>RTC!$B$109</c:f>
              <c:strCache>
                <c:ptCount val="1"/>
                <c:pt idx="0">
                  <c:v>M(fn,75% Po,π/4)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RTC!$C$109:$CG$109</c:f>
              <c:numCache>
                <c:formatCode>General</c:formatCode>
                <c:ptCount val="83"/>
                <c:pt idx="0">
                  <c:v>2.1818182494128961E-8</c:v>
                </c:pt>
                <c:pt idx="1">
                  <c:v>1.288578171574027E-3</c:v>
                </c:pt>
                <c:pt idx="2">
                  <c:v>3.2953365564165381E-3</c:v>
                </c:pt>
                <c:pt idx="3">
                  <c:v>6.2451818527583169E-3</c:v>
                </c:pt>
                <c:pt idx="4">
                  <c:v>1.0161649593314151E-2</c:v>
                </c:pt>
                <c:pt idx="5">
                  <c:v>1.5076433975065679E-2</c:v>
                </c:pt>
                <c:pt idx="6">
                  <c:v>2.1030033274098695E-2</c:v>
                </c:pt>
                <c:pt idx="7">
                  <c:v>2.8072595420429815E-2</c:v>
                </c:pt>
                <c:pt idx="8">
                  <c:v>3.6264996999625973E-2</c:v>
                </c:pt>
                <c:pt idx="9">
                  <c:v>4.5680199715147266E-2</c:v>
                </c:pt>
                <c:pt idx="10">
                  <c:v>5.640494203549281E-2</c:v>
                </c:pt>
                <c:pt idx="11">
                  <c:v>6.854184145450834E-2</c:v>
                </c:pt>
                <c:pt idx="12">
                  <c:v>8.2212006016100361E-2</c:v>
                </c:pt>
                <c:pt idx="13">
                  <c:v>9.7558284599454398E-2</c:v>
                </c:pt>
                <c:pt idx="14">
                  <c:v>0.11474932690509751</c:v>
                </c:pt>
                <c:pt idx="15">
                  <c:v>0.13398468039047992</c:v>
                </c:pt>
                <c:pt idx="16">
                  <c:v>0.15550122875600239</c:v>
                </c:pt>
                <c:pt idx="17">
                  <c:v>0.17958138403859605</c:v>
                </c:pt>
                <c:pt idx="18">
                  <c:v>0.20656359537070312</c:v>
                </c:pt>
                <c:pt idx="19">
                  <c:v>0.23685595218794511</c:v>
                </c:pt>
                <c:pt idx="20">
                  <c:v>0.27095396878595501</c:v>
                </c:pt>
                <c:pt idx="21">
                  <c:v>0.30946408779780116</c:v>
                </c:pt>
                <c:pt idx="22">
                  <c:v>0.35313510574261586</c:v>
                </c:pt>
                <c:pt idx="23">
                  <c:v>0.40290071951848322</c:v>
                </c:pt>
                <c:pt idx="24">
                  <c:v>0.45993790091907139</c:v>
                </c:pt>
                <c:pt idx="25">
                  <c:v>0.52574811603441041</c:v>
                </c:pt>
                <c:pt idx="26">
                  <c:v>0.60227197223209405</c:v>
                </c:pt>
                <c:pt idx="27">
                  <c:v>0.69205339033255242</c:v>
                </c:pt>
                <c:pt idx="28">
                  <c:v>0.79847783432444808</c:v>
                </c:pt>
                <c:pt idx="29">
                  <c:v>0.92612151818432153</c:v>
                </c:pt>
                <c:pt idx="30">
                  <c:v>1.0812646200199973</c:v>
                </c:pt>
                <c:pt idx="31">
                  <c:v>1.2726343216532146</c:v>
                </c:pt>
                <c:pt idx="32">
                  <c:v>1.5124180898398729</c:v>
                </c:pt>
                <c:pt idx="33">
                  <c:v>1.8173855912326224</c:v>
                </c:pt>
                <c:pt idx="34">
                  <c:v>2.2090801713925834</c:v>
                </c:pt>
                <c:pt idx="35">
                  <c:v>2.7089090039799784</c:v>
                </c:pt>
                <c:pt idx="36">
                  <c:v>3.3153045546675202</c:v>
                </c:pt>
                <c:pt idx="37">
                  <c:v>3.9416922154280147</c:v>
                </c:pt>
                <c:pt idx="38">
                  <c:v>4.357523942376635</c:v>
                </c:pt>
                <c:pt idx="39">
                  <c:v>4.4041940885742372</c:v>
                </c:pt>
                <c:pt idx="40">
                  <c:v>4.2612033432527046</c:v>
                </c:pt>
                <c:pt idx="41">
                  <c:v>3.8527942441394005</c:v>
                </c:pt>
                <c:pt idx="42">
                  <c:v>3.3982236476184218</c:v>
                </c:pt>
                <c:pt idx="43">
                  <c:v>2.9979567124083721</c:v>
                </c:pt>
                <c:pt idx="44">
                  <c:v>2.6711570417583141</c:v>
                </c:pt>
                <c:pt idx="45">
                  <c:v>2.4092786879197372</c:v>
                </c:pt>
                <c:pt idx="46">
                  <c:v>2.1988449901644733</c:v>
                </c:pt>
                <c:pt idx="47">
                  <c:v>2.0279628274312711</c:v>
                </c:pt>
                <c:pt idx="48">
                  <c:v>1.8874111529356545</c:v>
                </c:pt>
                <c:pt idx="49">
                  <c:v>1.7703076368044173</c:v>
                </c:pt>
                <c:pt idx="50">
                  <c:v>1.671550850643214</c:v>
                </c:pt>
                <c:pt idx="51">
                  <c:v>1.5873385715548483</c:v>
                </c:pt>
                <c:pt idx="52">
                  <c:v>1.5148067641068692</c:v>
                </c:pt>
                <c:pt idx="53">
                  <c:v>1.4517710548787346</c:v>
                </c:pt>
                <c:pt idx="54">
                  <c:v>1.396543915521502</c:v>
                </c:pt>
                <c:pt idx="55">
                  <c:v>1.3478052167776442</c:v>
                </c:pt>
                <c:pt idx="56">
                  <c:v>1.3045098739697338</c:v>
                </c:pt>
                <c:pt idx="57">
                  <c:v>1.2658212630462244</c:v>
                </c:pt>
                <c:pt idx="58">
                  <c:v>1.2310626548488726</c:v>
                </c:pt>
                <c:pt idx="59">
                  <c:v>1.1996813670832631</c:v>
                </c:pt>
                <c:pt idx="60">
                  <c:v>1.1712219910308832</c:v>
                </c:pt>
                <c:pt idx="61">
                  <c:v>1.1453061677974472</c:v>
                </c:pt>
                <c:pt idx="62">
                  <c:v>1.1216171458202568</c:v>
                </c:pt>
                <c:pt idx="63">
                  <c:v>1.099887867894062</c:v>
                </c:pt>
                <c:pt idx="64">
                  <c:v>1.0798916918159434</c:v>
                </c:pt>
                <c:pt idx="65">
                  <c:v>1.0614350964231427</c:v>
                </c:pt>
                <c:pt idx="66">
                  <c:v>1.044351899017198</c:v>
                </c:pt>
                <c:pt idx="67">
                  <c:v>1.0284986340178952</c:v>
                </c:pt>
                <c:pt idx="68">
                  <c:v>1.0137508316491879</c:v>
                </c:pt>
                <c:pt idx="69">
                  <c:v>1</c:v>
                </c:pt>
                <c:pt idx="70">
                  <c:v>0.96747445637564</c:v>
                </c:pt>
                <c:pt idx="71">
                  <c:v>0.93997090517379822</c:v>
                </c:pt>
                <c:pt idx="72">
                  <c:v>0.91643448462322241</c:v>
                </c:pt>
                <c:pt idx="73">
                  <c:v>0.89608173747900699</c:v>
                </c:pt>
                <c:pt idx="74">
                  <c:v>0.87831912572601833</c:v>
                </c:pt>
                <c:pt idx="75">
                  <c:v>0.86268913767983724</c:v>
                </c:pt>
                <c:pt idx="76">
                  <c:v>0.84883369753987159</c:v>
                </c:pt>
                <c:pt idx="77">
                  <c:v>0.83646874159239104</c:v>
                </c:pt>
                <c:pt idx="78">
                  <c:v>0.82536618708574605</c:v>
                </c:pt>
                <c:pt idx="79">
                  <c:v>0.81534090763548017</c:v>
                </c:pt>
                <c:pt idx="80">
                  <c:v>0.8062411688648321</c:v>
                </c:pt>
                <c:pt idx="81">
                  <c:v>0.79794149979871642</c:v>
                </c:pt>
                <c:pt idx="82">
                  <c:v>0.79033730753739839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044-4314-8E41-637A7FA10220}"/>
            </c:ext>
          </c:extLst>
        </c:ser>
        <c:ser>
          <c:idx val="3"/>
          <c:order val="6"/>
          <c:tx>
            <c:strRef>
              <c:f>RTC!$B$110</c:f>
              <c:strCache>
                <c:ptCount val="1"/>
                <c:pt idx="0">
                  <c:v>M(fn,50% Po,π/4)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RTC!$C$110:$CG$110</c:f>
              <c:numCache>
                <c:formatCode>General</c:formatCode>
                <c:ptCount val="83"/>
                <c:pt idx="0">
                  <c:v>2.1818182504277716E-8</c:v>
                </c:pt>
                <c:pt idx="1">
                  <c:v>1.2886135955008332E-3</c:v>
                </c:pt>
                <c:pt idx="2">
                  <c:v>3.2955684781936466E-3</c:v>
                </c:pt>
                <c:pt idx="3">
                  <c:v>6.2460161462191653E-3</c:v>
                </c:pt>
                <c:pt idx="4">
                  <c:v>1.0163863042965088E-2</c:v>
                </c:pt>
                <c:pt idx="5">
                  <c:v>1.5081319204381372E-2</c:v>
                </c:pt>
                <c:pt idx="6">
                  <c:v>2.1039569098202388E-2</c:v>
                </c:pt>
                <c:pt idx="7">
                  <c:v>2.8089651953662267E-2</c:v>
                </c:pt>
                <c:pt idx="8">
                  <c:v>3.6293587388214997E-2</c:v>
                </c:pt>
                <c:pt idx="9">
                  <c:v>4.5725793918706494E-2</c:v>
                </c:pt>
                <c:pt idx="10">
                  <c:v>5.647486303862221E-2</c:v>
                </c:pt>
                <c:pt idx="11">
                  <c:v>6.8645771225195648E-2</c:v>
                </c:pt>
                <c:pt idx="12">
                  <c:v>8.2362638290634962E-2</c:v>
                </c:pt>
                <c:pt idx="13">
                  <c:v>9.777217543465197E-2</c:v>
                </c:pt>
                <c:pt idx="14">
                  <c:v>0.11504801381981522</c:v>
                </c:pt>
                <c:pt idx="15">
                  <c:v>0.1343961697659459</c:v>
                </c:pt>
                <c:pt idx="16">
                  <c:v>0.15606199356055589</c:v>
                </c:pt>
                <c:pt idx="17">
                  <c:v>0.18033907712619268</c:v>
                </c:pt>
                <c:pt idx="18">
                  <c:v>0.20758077920643064</c:v>
                </c:pt>
                <c:pt idx="19">
                  <c:v>0.23821529291505833</c:v>
                </c:pt>
                <c:pt idx="20">
                  <c:v>0.27276557284516439</c:v>
                </c:pt>
                <c:pt idx="21">
                  <c:v>0.3118760270307826</c:v>
                </c:pt>
                <c:pt idx="22">
                  <c:v>0.35634877663150372</c:v>
                </c:pt>
                <c:pt idx="23">
                  <c:v>0.40719368317894933</c:v>
                </c:pt>
                <c:pt idx="24">
                  <c:v>0.46569856393000625</c:v>
                </c:pt>
                <c:pt idx="25">
                  <c:v>0.53352962776885804</c:v>
                </c:pt>
                <c:pt idx="26">
                  <c:v>0.61287818547722495</c:v>
                </c:pt>
                <c:pt idx="27">
                  <c:v>0.70667999489874977</c:v>
                </c:pt>
                <c:pt idx="28">
                  <c:v>0.81895174017762684</c:v>
                </c:pt>
                <c:pt idx="29">
                  <c:v>0.95532197886781722</c:v>
                </c:pt>
                <c:pt idx="30">
                  <c:v>1.1238949075668698</c:v>
                </c:pt>
                <c:pt idx="31">
                  <c:v>1.336700784700356</c:v>
                </c:pt>
                <c:pt idx="32">
                  <c:v>1.6122041821848843</c:v>
                </c:pt>
                <c:pt idx="33">
                  <c:v>1.9797167331940804</c:v>
                </c:pt>
                <c:pt idx="34">
                  <c:v>2.4869471935964955</c:v>
                </c:pt>
                <c:pt idx="35">
                  <c:v>3.2103200546599169</c:v>
                </c:pt>
                <c:pt idx="36">
                  <c:v>4.2496371420859811</c:v>
                </c:pt>
                <c:pt idx="37">
                  <c:v>5.5838781280519632</c:v>
                </c:pt>
                <c:pt idx="38">
                  <c:v>6.5362649062806746</c:v>
                </c:pt>
                <c:pt idx="39">
                  <c:v>6.56187709048654</c:v>
                </c:pt>
                <c:pt idx="40">
                  <c:v>5.8283032893166347</c:v>
                </c:pt>
                <c:pt idx="41">
                  <c:v>4.7563696098705019</c:v>
                </c:pt>
                <c:pt idx="42">
                  <c:v>3.9015255964034536</c:v>
                </c:pt>
                <c:pt idx="43">
                  <c:v>3.2890887050132047</c:v>
                </c:pt>
                <c:pt idx="44">
                  <c:v>2.8486465633840918</c:v>
                </c:pt>
                <c:pt idx="45">
                  <c:v>2.5229481085899601</c:v>
                </c:pt>
                <c:pt idx="46">
                  <c:v>2.274741534759305</c:v>
                </c:pt>
                <c:pt idx="47">
                  <c:v>2.0803949878791861</c:v>
                </c:pt>
                <c:pt idx="48">
                  <c:v>1.9246409174621322</c:v>
                </c:pt>
                <c:pt idx="49">
                  <c:v>1.7973280730835068</c:v>
                </c:pt>
                <c:pt idx="50">
                  <c:v>1.6915035214697591</c:v>
                </c:pt>
                <c:pt idx="51">
                  <c:v>1.6022709678425973</c:v>
                </c:pt>
                <c:pt idx="52">
                  <c:v>1.5260949961030321</c:v>
                </c:pt>
                <c:pt idx="53">
                  <c:v>1.4603652308008392</c:v>
                </c:pt>
                <c:pt idx="54">
                  <c:v>1.4031157251568276</c:v>
                </c:pt>
                <c:pt idx="55">
                  <c:v>1.3528395535321116</c:v>
                </c:pt>
                <c:pt idx="56">
                  <c:v>1.3083633497339899</c:v>
                </c:pt>
                <c:pt idx="57">
                  <c:v>1.2687605397323707</c:v>
                </c:pt>
                <c:pt idx="58">
                  <c:v>1.2332901336794484</c:v>
                </c:pt>
                <c:pt idx="59">
                  <c:v>1.2013527629548135</c:v>
                </c:pt>
                <c:pt idx="60">
                  <c:v>1.1724585811910933</c:v>
                </c:pt>
                <c:pt idx="61">
                  <c:v>1.1462034742108889</c:v>
                </c:pt>
                <c:pt idx="62">
                  <c:v>1.1222511850942101</c:v>
                </c:pt>
                <c:pt idx="63">
                  <c:v>1.1003197140231982</c:v>
                </c:pt>
                <c:pt idx="64">
                  <c:v>1.0801708504954202</c:v>
                </c:pt>
                <c:pt idx="65">
                  <c:v>1.0616020302914293</c:v>
                </c:pt>
                <c:pt idx="66">
                  <c:v>1.0444399382984499</c:v>
                </c:pt>
                <c:pt idx="67">
                  <c:v>1.0285354368708968</c:v>
                </c:pt>
                <c:pt idx="68">
                  <c:v>1.0137595108827029</c:v>
                </c:pt>
                <c:pt idx="69">
                  <c:v>1</c:v>
                </c:pt>
                <c:pt idx="70">
                  <c:v>0.96752552571866779</c:v>
                </c:pt>
                <c:pt idx="71">
                  <c:v>0.94015174502363608</c:v>
                </c:pt>
                <c:pt idx="72">
                  <c:v>0.91679919649383013</c:v>
                </c:pt>
                <c:pt idx="73">
                  <c:v>0.89666904621600196</c:v>
                </c:pt>
                <c:pt idx="74">
                  <c:v>0.87915786000048757</c:v>
                </c:pt>
                <c:pt idx="75">
                  <c:v>0.86380159359385156</c:v>
                </c:pt>
                <c:pt idx="76">
                  <c:v>0.85023776125807737</c:v>
                </c:pt>
                <c:pt idx="77">
                  <c:v>0.83817926151400113</c:v>
                </c:pt>
                <c:pt idx="78">
                  <c:v>0.82739587966145289</c:v>
                </c:pt>
                <c:pt idx="79">
                  <c:v>0.81770096634061051</c:v>
                </c:pt>
                <c:pt idx="80">
                  <c:v>0.80894168016618251</c:v>
                </c:pt>
                <c:pt idx="81">
                  <c:v>0.80099173123418488</c:v>
                </c:pt>
                <c:pt idx="82">
                  <c:v>0.79374590961510494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044-4314-8E41-637A7FA10220}"/>
            </c:ext>
          </c:extLst>
        </c:ser>
        <c:ser>
          <c:idx val="5"/>
          <c:order val="7"/>
          <c:tx>
            <c:strRef>
              <c:f>RTC!$B$111</c:f>
              <c:strCache>
                <c:ptCount val="1"/>
                <c:pt idx="0">
                  <c:v>M(fn,25% Po,π/4)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RTC!$C$111:$CG$111</c:f>
              <c:numCache>
                <c:formatCode>General</c:formatCode>
                <c:ptCount val="83"/>
                <c:pt idx="0">
                  <c:v>2.1818182510366966E-8</c:v>
                </c:pt>
                <c:pt idx="1">
                  <c:v>1.2886348512592819E-3</c:v>
                </c:pt>
                <c:pt idx="2">
                  <c:v>3.2957076547663338E-3</c:v>
                </c:pt>
                <c:pt idx="3">
                  <c:v>6.2465168828168913E-3</c:v>
                </c:pt>
                <c:pt idx="4">
                  <c:v>1.0165191807242017E-2</c:v>
                </c:pt>
                <c:pt idx="5">
                  <c:v>1.5084252622425465E-2</c:v>
                </c:pt>
                <c:pt idx="6">
                  <c:v>2.1045296822859667E-2</c:v>
                </c:pt>
                <c:pt idx="7">
                  <c:v>2.8099900808883832E-2</c:v>
                </c:pt>
                <c:pt idx="8">
                  <c:v>3.6310774113015254E-2</c:v>
                </c:pt>
                <c:pt idx="9">
                  <c:v>4.5753216060223069E-2</c:v>
                </c:pt>
                <c:pt idx="10">
                  <c:v>5.651694066037502E-2</c:v>
                </c:pt>
                <c:pt idx="11">
                  <c:v>6.8708356474590837E-2</c:v>
                </c:pt>
                <c:pt idx="12">
                  <c:v>8.245341606112816E-2</c:v>
                </c:pt>
                <c:pt idx="13">
                  <c:v>9.7901187193779174E-2</c:v>
                </c:pt>
                <c:pt idx="14">
                  <c:v>0.11522834942108219</c:v>
                </c:pt>
                <c:pt idx="15">
                  <c:v>0.13464489067808946</c:v>
                </c:pt>
                <c:pt idx="16">
                  <c:v>0.15640137850524516</c:v>
                </c:pt>
                <c:pt idx="17">
                  <c:v>0.18079832252130565</c:v>
                </c:pt>
                <c:pt idx="18">
                  <c:v>0.2081983500445049</c:v>
                </c:pt>
                <c:pt idx="19">
                  <c:v>0.23904221799806005</c:v>
                </c:pt>
                <c:pt idx="20">
                  <c:v>0.2738701340767794</c:v>
                </c:pt>
                <c:pt idx="21">
                  <c:v>0.31335054466435652</c:v>
                </c:pt>
                <c:pt idx="22">
                  <c:v>0.35831961032449089</c:v>
                </c:pt>
                <c:pt idx="23">
                  <c:v>0.40983627949521473</c:v>
                </c:pt>
                <c:pt idx="24">
                  <c:v>0.46926062493655119</c:v>
                </c:pt>
                <c:pt idx="25">
                  <c:v>0.53836772348952122</c:v>
                </c:pt>
                <c:pt idx="26">
                  <c:v>0.61951734450923646</c:v>
                </c:pt>
                <c:pt idx="27">
                  <c:v>0.71591402471029431</c:v>
                </c:pt>
                <c:pt idx="28">
                  <c:v>0.83201882091516144</c:v>
                </c:pt>
                <c:pt idx="29">
                  <c:v>0.97422626176868343</c:v>
                </c:pt>
                <c:pt idx="30">
                  <c:v>1.1520277706949573</c:v>
                </c:pt>
                <c:pt idx="31">
                  <c:v>1.3801195101761581</c:v>
                </c:pt>
                <c:pt idx="32">
                  <c:v>1.6824722676826387</c:v>
                </c:pt>
                <c:pt idx="33">
                  <c:v>2.1008248093461006</c:v>
                </c:pt>
                <c:pt idx="34">
                  <c:v>2.7141828103905814</c:v>
                </c:pt>
                <c:pt idx="35">
                  <c:v>3.688982648204016</c:v>
                </c:pt>
                <c:pt idx="36">
                  <c:v>5.4226604572562698</c:v>
                </c:pt>
                <c:pt idx="37">
                  <c:v>8.874334292070964</c:v>
                </c:pt>
                <c:pt idx="38">
                  <c:v>13.072302940891014</c:v>
                </c:pt>
                <c:pt idx="39">
                  <c:v>12.673218577658734</c:v>
                </c:pt>
                <c:pt idx="40">
                  <c:v>8.4340745660325585</c:v>
                </c:pt>
                <c:pt idx="41">
                  <c:v>5.7444694203075599</c:v>
                </c:pt>
                <c:pt idx="42">
                  <c:v>4.3374128318841692</c:v>
                </c:pt>
                <c:pt idx="43">
                  <c:v>3.5105520922385378</c:v>
                </c:pt>
                <c:pt idx="44">
                  <c:v>2.9737766287718053</c:v>
                </c:pt>
                <c:pt idx="45">
                  <c:v>2.5993913032860352</c:v>
                </c:pt>
                <c:pt idx="46">
                  <c:v>2.3242339271319574</c:v>
                </c:pt>
                <c:pt idx="47">
                  <c:v>2.1138760975918665</c:v>
                </c:pt>
                <c:pt idx="48">
                  <c:v>1.9480648411822659</c:v>
                </c:pt>
                <c:pt idx="49">
                  <c:v>1.8141465550045413</c:v>
                </c:pt>
                <c:pt idx="50">
                  <c:v>1.7038236330198682</c:v>
                </c:pt>
                <c:pt idx="51">
                  <c:v>1.6114352549773965</c:v>
                </c:pt>
                <c:pt idx="52">
                  <c:v>1.5329902825925217</c:v>
                </c:pt>
                <c:pt idx="53">
                  <c:v>1.4655955802662384</c:v>
                </c:pt>
                <c:pt idx="54">
                  <c:v>1.4071036247169475</c:v>
                </c:pt>
                <c:pt idx="55">
                  <c:v>1.3558873693313063</c:v>
                </c:pt>
                <c:pt idx="56">
                  <c:v>1.3106918915748877</c:v>
                </c:pt>
                <c:pt idx="57">
                  <c:v>1.2705339644015305</c:v>
                </c:pt>
                <c:pt idx="58">
                  <c:v>1.2346324387746255</c:v>
                </c:pt>
                <c:pt idx="59">
                  <c:v>1.2023589598856741</c:v>
                </c:pt>
                <c:pt idx="60">
                  <c:v>1.1732024180112508</c:v>
                </c:pt>
                <c:pt idx="61">
                  <c:v>1.1467428714483408</c:v>
                </c:pt>
                <c:pt idx="62">
                  <c:v>1.1226321251672753</c:v>
                </c:pt>
                <c:pt idx="63">
                  <c:v>1.100579065987231</c:v>
                </c:pt>
                <c:pt idx="64">
                  <c:v>1.0803384496554489</c:v>
                </c:pt>
                <c:pt idx="65">
                  <c:v>1.0617022284260897</c:v>
                </c:pt>
                <c:pt idx="66">
                  <c:v>1.0444927725557174</c:v>
                </c:pt>
                <c:pt idx="67">
                  <c:v>1.0285575204791526</c:v>
                </c:pt>
                <c:pt idx="68">
                  <c:v>1.013764718529816</c:v>
                </c:pt>
                <c:pt idx="69">
                  <c:v>1</c:v>
                </c:pt>
                <c:pt idx="70">
                  <c:v>0.96755617120665038</c:v>
                </c:pt>
                <c:pt idx="71">
                  <c:v>0.94026029904623565</c:v>
                </c:pt>
                <c:pt idx="72">
                  <c:v>0.91701823273417582</c:v>
                </c:pt>
                <c:pt idx="73">
                  <c:v>0.8970219862467439</c:v>
                </c:pt>
                <c:pt idx="74">
                  <c:v>0.87966225537974407</c:v>
                </c:pt>
                <c:pt idx="75">
                  <c:v>0.86447113643125828</c:v>
                </c:pt>
                <c:pt idx="76">
                  <c:v>0.85108355124523627</c:v>
                </c:pt>
                <c:pt idx="77">
                  <c:v>0.83921062420499215</c:v>
                </c:pt>
                <c:pt idx="78">
                  <c:v>0.8286209063270521</c:v>
                </c:pt>
                <c:pt idx="79">
                  <c:v>0.81912687681877172</c:v>
                </c:pt>
                <c:pt idx="80">
                  <c:v>0.8105750707361854</c:v>
                </c:pt>
                <c:pt idx="81">
                  <c:v>0.80283874636123731</c:v>
                </c:pt>
                <c:pt idx="82">
                  <c:v>0.7958123624178427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044-4314-8E41-637A7FA10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431"/>
        <c:axId val="1407976511"/>
      </c:scatterChart>
      <c:valAx>
        <c:axId val="1407978431"/>
        <c:scaling>
          <c:orientation val="minMax"/>
          <c:max val="1"/>
          <c:min val="0.3000000000000000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fn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6511"/>
        <c:crosses val="autoZero"/>
        <c:crossBetween val="midCat"/>
      </c:valAx>
      <c:valAx>
        <c:axId val="1407976511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Required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8431"/>
        <c:crossesAt val="0"/>
        <c:crossBetween val="midCat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5805745466132248"/>
          <c:y val="0.16645606620566605"/>
          <c:w val="0.26939773403311268"/>
          <c:h val="0.3862474782575393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Gain curve vs Minimum Required Gain for PFC </a:t>
            </a:r>
            <a:r>
              <a:rPr lang="en-US" sz="1400"/>
              <a:t>regulation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@Vin_min- Variable Load @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π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/4-3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π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/4</a:t>
            </a:r>
            <a:endParaRPr lang="el-GR" sz="1400"/>
          </a:p>
        </c:rich>
      </c:tx>
      <c:layout>
        <c:manualLayout>
          <c:xMode val="edge"/>
          <c:yMode val="edge"/>
          <c:x val="0.16144385855423607"/>
          <c:y val="2.3272468193682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537263861003059"/>
          <c:y val="0.14181437112537784"/>
          <c:w val="0.82634951881014873"/>
          <c:h val="0.73685758765226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RTC!$B$28</c:f>
              <c:strCache>
                <c:ptCount val="1"/>
                <c:pt idx="0">
                  <c:v>M.OL(fn)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RTC!$C$28:$CG$28</c:f>
              <c:numCache>
                <c:formatCode>General</c:formatCode>
                <c:ptCount val="83"/>
                <c:pt idx="0">
                  <c:v>2.1818182512396718E-8</c:v>
                </c:pt>
                <c:pt idx="1">
                  <c:v>1.2886419367458453E-3</c:v>
                </c:pt>
                <c:pt idx="2">
                  <c:v>3.2957540508757933E-3</c:v>
                </c:pt>
                <c:pt idx="3">
                  <c:v>6.2466838217803949E-3</c:v>
                </c:pt>
                <c:pt idx="4">
                  <c:v>1.0165634844491057E-2</c:v>
                </c:pt>
                <c:pt idx="5">
                  <c:v>1.5085230808885637E-2</c:v>
                </c:pt>
                <c:pt idx="6">
                  <c:v>2.104720710419164E-2</c:v>
                </c:pt>
                <c:pt idx="7">
                  <c:v>2.8103319587713758E-2</c:v>
                </c:pt>
                <c:pt idx="8">
                  <c:v>3.6316508449383139E-2</c:v>
                </c:pt>
                <c:pt idx="9">
                  <c:v>4.5762367743434479E-2</c:v>
                </c:pt>
                <c:pt idx="10">
                  <c:v>5.6530987448607108E-2</c:v>
                </c:pt>
                <c:pt idx="11">
                  <c:v>6.8729256295102084E-2</c:v>
                </c:pt>
                <c:pt idx="12">
                  <c:v>8.2483742085161724E-2</c:v>
                </c:pt>
                <c:pt idx="13">
                  <c:v>9.7944304735298124E-2</c:v>
                </c:pt>
                <c:pt idx="14">
                  <c:v>0.11528864999952876</c:v>
                </c:pt>
                <c:pt idx="15">
                  <c:v>0.1347281050187448</c:v>
                </c:pt>
                <c:pt idx="16">
                  <c:v>0.15651499980883612</c:v>
                </c:pt>
                <c:pt idx="17">
                  <c:v>0.18095218575415503</c:v>
                </c:pt>
                <c:pt idx="18">
                  <c:v>0.20840543512238516</c:v>
                </c:pt>
                <c:pt idx="19">
                  <c:v>0.23931977930378859</c:v>
                </c:pt>
                <c:pt idx="20">
                  <c:v>0.27424131386312434</c:v>
                </c:pt>
                <c:pt idx="21">
                  <c:v>0.31384671772931005</c:v>
                </c:pt>
                <c:pt idx="22">
                  <c:v>0.3589838574142431</c:v>
                </c:pt>
                <c:pt idx="23">
                  <c:v>0.41072864448862639</c:v>
                </c:pt>
                <c:pt idx="24">
                  <c:v>0.47046626668653735</c:v>
                </c:pt>
                <c:pt idx="25">
                  <c:v>0.54000990781304037</c:v>
                </c:pt>
                <c:pt idx="26">
                  <c:v>0.62177881033586746</c:v>
                </c:pt>
                <c:pt idx="27">
                  <c:v>0.71907341857608231</c:v>
                </c:pt>
                <c:pt idx="28">
                  <c:v>0.83651551018079373</c:v>
                </c:pt>
                <c:pt idx="29">
                  <c:v>0.98078153994784389</c:v>
                </c:pt>
                <c:pt idx="30">
                  <c:v>1.1618855338834528</c:v>
                </c:pt>
                <c:pt idx="31">
                  <c:v>1.3955605407023011</c:v>
                </c:pt>
                <c:pt idx="32">
                  <c:v>1.70801881699095</c:v>
                </c:pt>
                <c:pt idx="33">
                  <c:v>2.1464163817304032</c:v>
                </c:pt>
                <c:pt idx="34">
                  <c:v>2.8049873938594398</c:v>
                </c:pt>
                <c:pt idx="35">
                  <c:v>3.9033273688464369</c:v>
                </c:pt>
                <c:pt idx="36">
                  <c:v>6.098718634915044</c:v>
                </c:pt>
                <c:pt idx="37">
                  <c:v>12.659566924581251</c:v>
                </c:pt>
                <c:pt idx="38">
                  <c:v>1921.5837087114464</c:v>
                </c:pt>
                <c:pt idx="39">
                  <c:v>42.249999999987104</c:v>
                </c:pt>
                <c:pt idx="40">
                  <c:v>10.581427390464974</c:v>
                </c:pt>
                <c:pt idx="41">
                  <c:v>6.2413366336631526</c:v>
                </c:pt>
                <c:pt idx="42">
                  <c:v>4.5187319884725161</c:v>
                </c:pt>
                <c:pt idx="43">
                  <c:v>3.5949449125080415</c:v>
                </c:pt>
                <c:pt idx="44">
                  <c:v>3.0192994996425648</c:v>
                </c:pt>
                <c:pt idx="45">
                  <c:v>2.6264591439688467</c:v>
                </c:pt>
                <c:pt idx="46">
                  <c:v>2.3414634146341284</c:v>
                </c:pt>
                <c:pt idx="47">
                  <c:v>2.1254008980115326</c:v>
                </c:pt>
                <c:pt idx="48">
                  <c:v>1.9560649474689491</c:v>
                </c:pt>
                <c:pt idx="49">
                  <c:v>1.8198585144012047</c:v>
                </c:pt>
                <c:pt idx="50">
                  <c:v>1.7079905491189553</c:v>
                </c:pt>
                <c:pt idx="51">
                  <c:v>1.6145251396647997</c:v>
                </c:pt>
                <c:pt idx="52">
                  <c:v>1.5353095649293769</c:v>
                </c:pt>
                <c:pt idx="53">
                  <c:v>1.4673515584189416</c:v>
                </c:pt>
                <c:pt idx="54">
                  <c:v>1.4084404999094342</c:v>
                </c:pt>
                <c:pt idx="55">
                  <c:v>1.35690789473684</c:v>
                </c:pt>
                <c:pt idx="56">
                  <c:v>1.3114708393594574</c:v>
                </c:pt>
                <c:pt idx="57">
                  <c:v>1.2711267605633787</c:v>
                </c:pt>
                <c:pt idx="58">
                  <c:v>1.2350808487203404</c:v>
                </c:pt>
                <c:pt idx="59">
                  <c:v>1.2026949211102145</c:v>
                </c:pt>
                <c:pt idx="60">
                  <c:v>1.1734506784011727</c:v>
                </c:pt>
                <c:pt idx="61">
                  <c:v>1.1469228398232809</c:v>
                </c:pt>
                <c:pt idx="62">
                  <c:v>1.1227591914225556</c:v>
                </c:pt>
                <c:pt idx="63">
                  <c:v>1.1006655574043258</c:v>
                </c:pt>
                <c:pt idx="64">
                  <c:v>1.080394333380958</c:v>
                </c:pt>
                <c:pt idx="65">
                  <c:v>1.0617356341095658</c:v>
                </c:pt>
                <c:pt idx="66">
                  <c:v>1.0445103857566764</c:v>
                </c:pt>
                <c:pt idx="67">
                  <c:v>1.0285648819980142</c:v>
                </c:pt>
                <c:pt idx="68">
                  <c:v>1.0137664544300213</c:v>
                </c:pt>
                <c:pt idx="69">
                  <c:v>1</c:v>
                </c:pt>
                <c:pt idx="70">
                  <c:v>0.96756638701644149</c:v>
                </c:pt>
                <c:pt idx="71">
                  <c:v>0.94029649207737387</c:v>
                </c:pt>
                <c:pt idx="72">
                  <c:v>0.9170912797089299</c:v>
                </c:pt>
                <c:pt idx="73">
                  <c:v>0.89713972557044763</c:v>
                </c:pt>
                <c:pt idx="74">
                  <c:v>0.87983058019429439</c:v>
                </c:pt>
                <c:pt idx="75">
                  <c:v>0.86469466359597535</c:v>
                </c:pt>
                <c:pt idx="76">
                  <c:v>0.85136604264766635</c:v>
                </c:pt>
                <c:pt idx="77">
                  <c:v>0.83955525874231718</c:v>
                </c:pt>
                <c:pt idx="78">
                  <c:v>0.82903045930975283</c:v>
                </c:pt>
                <c:pt idx="79">
                  <c:v>0.81960384055727298</c:v>
                </c:pt>
                <c:pt idx="80">
                  <c:v>0.81112173694104106</c:v>
                </c:pt>
                <c:pt idx="81">
                  <c:v>0.80345726326884537</c:v>
                </c:pt>
                <c:pt idx="82">
                  <c:v>0.7965047748976446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67-4423-90E7-1AFB939E9783}"/>
            </c:ext>
          </c:extLst>
        </c:ser>
        <c:ser>
          <c:idx val="4"/>
          <c:order val="1"/>
          <c:tx>
            <c:strRef>
              <c:f>RTC!$B$56</c:f>
              <c:strCache>
                <c:ptCount val="1"/>
                <c:pt idx="0">
                  <c:v>Mreq(Vin_min, Vout,π/4 )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RTC!$C$56:$CG$56</c:f>
              <c:numCache>
                <c:formatCode>General</c:formatCode>
                <c:ptCount val="83"/>
                <c:pt idx="0">
                  <c:v>2.1509611052515143</c:v>
                </c:pt>
                <c:pt idx="1">
                  <c:v>2.1509611052515143</c:v>
                </c:pt>
                <c:pt idx="2">
                  <c:v>2.1509611052515143</c:v>
                </c:pt>
                <c:pt idx="3">
                  <c:v>2.1509611052515143</c:v>
                </c:pt>
                <c:pt idx="4">
                  <c:v>2.1509611052515143</c:v>
                </c:pt>
                <c:pt idx="5">
                  <c:v>2.1509611052515143</c:v>
                </c:pt>
                <c:pt idx="6">
                  <c:v>2.1509611052515143</c:v>
                </c:pt>
                <c:pt idx="7">
                  <c:v>2.1509611052515143</c:v>
                </c:pt>
                <c:pt idx="8">
                  <c:v>2.1509611052515143</c:v>
                </c:pt>
                <c:pt idx="9">
                  <c:v>2.1509611052515143</c:v>
                </c:pt>
                <c:pt idx="10">
                  <c:v>2.1509611052515143</c:v>
                </c:pt>
                <c:pt idx="11">
                  <c:v>2.1509611052515143</c:v>
                </c:pt>
                <c:pt idx="12">
                  <c:v>2.1509611052515143</c:v>
                </c:pt>
                <c:pt idx="13">
                  <c:v>2.1509611052515143</c:v>
                </c:pt>
                <c:pt idx="14">
                  <c:v>2.1509611052515143</c:v>
                </c:pt>
                <c:pt idx="15">
                  <c:v>2.1509611052515143</c:v>
                </c:pt>
                <c:pt idx="16">
                  <c:v>2.1509611052515143</c:v>
                </c:pt>
                <c:pt idx="17">
                  <c:v>2.1509611052515143</c:v>
                </c:pt>
                <c:pt idx="18">
                  <c:v>2.1509611052515143</c:v>
                </c:pt>
                <c:pt idx="19">
                  <c:v>2.1509611052515143</c:v>
                </c:pt>
                <c:pt idx="20">
                  <c:v>2.1509611052515143</c:v>
                </c:pt>
                <c:pt idx="21">
                  <c:v>2.1509611052515143</c:v>
                </c:pt>
                <c:pt idx="22">
                  <c:v>2.1509611052515143</c:v>
                </c:pt>
                <c:pt idx="23">
                  <c:v>2.1509611052515143</c:v>
                </c:pt>
                <c:pt idx="24">
                  <c:v>2.1509611052515143</c:v>
                </c:pt>
                <c:pt idx="25">
                  <c:v>2.1509611052515143</c:v>
                </c:pt>
                <c:pt idx="26">
                  <c:v>2.1509611052515143</c:v>
                </c:pt>
                <c:pt idx="27">
                  <c:v>2.1509611052515143</c:v>
                </c:pt>
                <c:pt idx="28">
                  <c:v>2.1509611052515143</c:v>
                </c:pt>
                <c:pt idx="29">
                  <c:v>2.1509611052515143</c:v>
                </c:pt>
                <c:pt idx="30">
                  <c:v>2.1509611052515143</c:v>
                </c:pt>
                <c:pt idx="31">
                  <c:v>2.1509611052515143</c:v>
                </c:pt>
                <c:pt idx="32">
                  <c:v>2.1509611052515143</c:v>
                </c:pt>
                <c:pt idx="33">
                  <c:v>2.1509611052515143</c:v>
                </c:pt>
                <c:pt idx="34">
                  <c:v>2.1509611052515143</c:v>
                </c:pt>
                <c:pt idx="35">
                  <c:v>2.1509611052515143</c:v>
                </c:pt>
                <c:pt idx="36">
                  <c:v>2.1509611052515143</c:v>
                </c:pt>
                <c:pt idx="37">
                  <c:v>2.1509611052515143</c:v>
                </c:pt>
                <c:pt idx="38">
                  <c:v>2.1509611052515143</c:v>
                </c:pt>
                <c:pt idx="39">
                  <c:v>2.1509611052515143</c:v>
                </c:pt>
                <c:pt idx="40">
                  <c:v>2.1509611052515143</c:v>
                </c:pt>
                <c:pt idx="41">
                  <c:v>2.1509611052515143</c:v>
                </c:pt>
                <c:pt idx="42">
                  <c:v>2.1509611052515143</c:v>
                </c:pt>
                <c:pt idx="43">
                  <c:v>2.1509611052515143</c:v>
                </c:pt>
                <c:pt idx="44">
                  <c:v>2.1509611052515143</c:v>
                </c:pt>
                <c:pt idx="45">
                  <c:v>2.1509611052515143</c:v>
                </c:pt>
                <c:pt idx="46">
                  <c:v>2.1509611052515143</c:v>
                </c:pt>
                <c:pt idx="47">
                  <c:v>2.1509611052515143</c:v>
                </c:pt>
                <c:pt idx="48">
                  <c:v>2.1509611052515143</c:v>
                </c:pt>
                <c:pt idx="49">
                  <c:v>2.1509611052515143</c:v>
                </c:pt>
                <c:pt idx="50">
                  <c:v>2.1509611052515143</c:v>
                </c:pt>
                <c:pt idx="51">
                  <c:v>2.1509611052515143</c:v>
                </c:pt>
                <c:pt idx="52">
                  <c:v>2.1509611052515143</c:v>
                </c:pt>
                <c:pt idx="53">
                  <c:v>2.1509611052515143</c:v>
                </c:pt>
                <c:pt idx="54">
                  <c:v>2.1509611052515143</c:v>
                </c:pt>
                <c:pt idx="55">
                  <c:v>2.1509611052515143</c:v>
                </c:pt>
                <c:pt idx="56">
                  <c:v>2.1509611052515143</c:v>
                </c:pt>
                <c:pt idx="57">
                  <c:v>2.1509611052515143</c:v>
                </c:pt>
                <c:pt idx="58">
                  <c:v>2.1509611052515143</c:v>
                </c:pt>
                <c:pt idx="59">
                  <c:v>2.1509611052515143</c:v>
                </c:pt>
                <c:pt idx="60">
                  <c:v>2.1509611052515143</c:v>
                </c:pt>
                <c:pt idx="61">
                  <c:v>2.1509611052515143</c:v>
                </c:pt>
                <c:pt idx="62">
                  <c:v>2.1509611052515143</c:v>
                </c:pt>
                <c:pt idx="63">
                  <c:v>2.1509611052515143</c:v>
                </c:pt>
                <c:pt idx="64">
                  <c:v>2.1509611052515143</c:v>
                </c:pt>
                <c:pt idx="65">
                  <c:v>2.1509611052515143</c:v>
                </c:pt>
                <c:pt idx="66">
                  <c:v>2.1509611052515143</c:v>
                </c:pt>
                <c:pt idx="67">
                  <c:v>2.1509611052515143</c:v>
                </c:pt>
                <c:pt idx="68">
                  <c:v>2.1509611052515143</c:v>
                </c:pt>
                <c:pt idx="69">
                  <c:v>2.1509611052515143</c:v>
                </c:pt>
                <c:pt idx="70">
                  <c:v>2.1509611052515143</c:v>
                </c:pt>
                <c:pt idx="71">
                  <c:v>2.1509611052515143</c:v>
                </c:pt>
                <c:pt idx="72">
                  <c:v>2.1509611052515143</c:v>
                </c:pt>
                <c:pt idx="73">
                  <c:v>2.1509611052515143</c:v>
                </c:pt>
                <c:pt idx="74">
                  <c:v>2.1509611052515143</c:v>
                </c:pt>
                <c:pt idx="75">
                  <c:v>2.1509611052515143</c:v>
                </c:pt>
                <c:pt idx="76">
                  <c:v>2.1509611052515143</c:v>
                </c:pt>
                <c:pt idx="77">
                  <c:v>2.1509611052515143</c:v>
                </c:pt>
                <c:pt idx="78">
                  <c:v>2.1509611052515143</c:v>
                </c:pt>
                <c:pt idx="79">
                  <c:v>2.1509611052515143</c:v>
                </c:pt>
                <c:pt idx="80">
                  <c:v>2.1509611052515143</c:v>
                </c:pt>
                <c:pt idx="81">
                  <c:v>2.1509611052515143</c:v>
                </c:pt>
                <c:pt idx="82">
                  <c:v>2.1509611052515143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67-4423-90E7-1AFB939E9783}"/>
            </c:ext>
          </c:extLst>
        </c:ser>
        <c:ser>
          <c:idx val="7"/>
          <c:order val="2"/>
          <c:tx>
            <c:strRef>
              <c:f>RTC!$B$29</c:f>
              <c:strCache>
                <c:ptCount val="1"/>
                <c:pt idx="0">
                  <c:v>M.Z(fn)</c:v>
                </c:pt>
              </c:strCache>
            </c:strRef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RTC!$C$29:$CG$29</c:f>
              <c:numCache>
                <c:formatCode>General</c:formatCode>
                <c:ptCount val="8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1921.5837087114464</c:v>
                </c:pt>
                <c:pt idx="39">
                  <c:v>6.499999999999007</c:v>
                </c:pt>
                <c:pt idx="40">
                  <c:v>3.2529106029008803</c:v>
                </c:pt>
                <c:pt idx="41">
                  <c:v>2.4982667258847973</c:v>
                </c:pt>
                <c:pt idx="42">
                  <c:v>2.1257309304031207</c:v>
                </c:pt>
                <c:pt idx="43">
                  <c:v>1.8960339956097945</c:v>
                </c:pt>
                <c:pt idx="44">
                  <c:v>1.7376131616797115</c:v>
                </c:pt>
                <c:pt idx="45">
                  <c:v>1.6206354136476369</c:v>
                </c:pt>
                <c:pt idx="46">
                  <c:v>1.5301841113520063</c:v>
                </c:pt>
                <c:pt idx="47">
                  <c:v>1.4578754741100259</c:v>
                </c:pt>
                <c:pt idx="48">
                  <c:v>1.3985939180008431</c:v>
                </c:pt>
                <c:pt idx="49">
                  <c:v>1.3490213172523273</c:v>
                </c:pt>
                <c:pt idx="50">
                  <c:v>1.3069011244615849</c:v>
                </c:pt>
                <c:pt idx="51">
                  <c:v>1.2706396576782892</c:v>
                </c:pt>
                <c:pt idx="52">
                  <c:v>1.2390760932765092</c:v>
                </c:pt>
                <c:pt idx="53">
                  <c:v>1.2113428740117067</c:v>
                </c:pt>
                <c:pt idx="54">
                  <c:v>1.1867773590313537</c:v>
                </c:pt>
                <c:pt idx="55">
                  <c:v>1.1648638953701158</c:v>
                </c:pt>
                <c:pt idx="56">
                  <c:v>1.1451946731274369</c:v>
                </c:pt>
                <c:pt idx="57">
                  <c:v>1.1274425752841599</c:v>
                </c:pt>
                <c:pt idx="58">
                  <c:v>1.1113419135083229</c:v>
                </c:pt>
                <c:pt idx="59">
                  <c:v>1.0966744827478272</c:v>
                </c:pt>
                <c:pt idx="60">
                  <c:v>1.0832592849365161</c:v>
                </c:pt>
                <c:pt idx="61">
                  <c:v>1.0709448350980926</c:v>
                </c:pt>
                <c:pt idx="62">
                  <c:v>1.0596033179556184</c:v>
                </c:pt>
                <c:pt idx="63">
                  <c:v>1.0491260922331147</c:v>
                </c:pt>
                <c:pt idx="64">
                  <c:v>1.0394201909627108</c:v>
                </c:pt>
                <c:pt idx="65">
                  <c:v>1.0304055677788071</c:v>
                </c:pt>
                <c:pt idx="66">
                  <c:v>1.022012908801389</c:v>
                </c:pt>
                <c:pt idx="67">
                  <c:v>1.0141818781648655</c:v>
                </c:pt>
                <c:pt idx="68">
                  <c:v>1.0068596994765564</c:v>
                </c:pt>
                <c:pt idx="69">
                  <c:v>1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67-4423-90E7-1AFB939E9783}"/>
            </c:ext>
          </c:extLst>
        </c:ser>
        <c:ser>
          <c:idx val="8"/>
          <c:order val="3"/>
          <c:tx>
            <c:strRef>
              <c:f>RTC!$B$31</c:f>
              <c:strCache>
                <c:ptCount val="1"/>
                <c:pt idx="0">
                  <c:v>Minf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RTC!$C$31:$CG$31</c:f>
              <c:numCache>
                <c:formatCode>General</c:formatCode>
                <c:ptCount val="83"/>
                <c:pt idx="0">
                  <c:v>0.68571428571428572</c:v>
                </c:pt>
                <c:pt idx="1">
                  <c:v>0.68571428571428572</c:v>
                </c:pt>
                <c:pt idx="2">
                  <c:v>0.68571428571428572</c:v>
                </c:pt>
                <c:pt idx="3">
                  <c:v>0.68571428571428572</c:v>
                </c:pt>
                <c:pt idx="4">
                  <c:v>0.68571428571428572</c:v>
                </c:pt>
                <c:pt idx="5">
                  <c:v>0.68571428571428572</c:v>
                </c:pt>
                <c:pt idx="6">
                  <c:v>0.68571428571428572</c:v>
                </c:pt>
                <c:pt idx="7">
                  <c:v>0.68571428571428572</c:v>
                </c:pt>
                <c:pt idx="8">
                  <c:v>0.68571428571428572</c:v>
                </c:pt>
                <c:pt idx="9">
                  <c:v>0.68571428571428572</c:v>
                </c:pt>
                <c:pt idx="10">
                  <c:v>0.68571428571428572</c:v>
                </c:pt>
                <c:pt idx="11">
                  <c:v>0.68571428571428572</c:v>
                </c:pt>
                <c:pt idx="12">
                  <c:v>0.68571428571428572</c:v>
                </c:pt>
                <c:pt idx="13">
                  <c:v>0.68571428571428572</c:v>
                </c:pt>
                <c:pt idx="14">
                  <c:v>0.68571428571428572</c:v>
                </c:pt>
                <c:pt idx="15">
                  <c:v>0.68571428571428572</c:v>
                </c:pt>
                <c:pt idx="16">
                  <c:v>0.68571428571428572</c:v>
                </c:pt>
                <c:pt idx="17">
                  <c:v>0.68571428571428572</c:v>
                </c:pt>
                <c:pt idx="18">
                  <c:v>0.68571428571428572</c:v>
                </c:pt>
                <c:pt idx="19">
                  <c:v>0.68571428571428572</c:v>
                </c:pt>
                <c:pt idx="20">
                  <c:v>0.68571428571428572</c:v>
                </c:pt>
                <c:pt idx="21">
                  <c:v>0.68571428571428572</c:v>
                </c:pt>
                <c:pt idx="22">
                  <c:v>0.68571428571428572</c:v>
                </c:pt>
                <c:pt idx="23">
                  <c:v>0.68571428571428572</c:v>
                </c:pt>
                <c:pt idx="24">
                  <c:v>0.68571428571428572</c:v>
                </c:pt>
                <c:pt idx="25">
                  <c:v>0.68571428571428572</c:v>
                </c:pt>
                <c:pt idx="26">
                  <c:v>0.68571428571428572</c:v>
                </c:pt>
                <c:pt idx="27">
                  <c:v>0.68571428571428572</c:v>
                </c:pt>
                <c:pt idx="28">
                  <c:v>0.68571428571428572</c:v>
                </c:pt>
                <c:pt idx="29">
                  <c:v>0.68571428571428572</c:v>
                </c:pt>
                <c:pt idx="30">
                  <c:v>0.68571428571428572</c:v>
                </c:pt>
                <c:pt idx="31">
                  <c:v>0.68571428571428572</c:v>
                </c:pt>
                <c:pt idx="32">
                  <c:v>0.68571428571428572</c:v>
                </c:pt>
                <c:pt idx="33">
                  <c:v>0.68571428571428572</c:v>
                </c:pt>
                <c:pt idx="34">
                  <c:v>0.68571428571428572</c:v>
                </c:pt>
                <c:pt idx="35">
                  <c:v>0.68571428571428572</c:v>
                </c:pt>
                <c:pt idx="36">
                  <c:v>0.68571428571428572</c:v>
                </c:pt>
                <c:pt idx="37">
                  <c:v>0.68571428571428572</c:v>
                </c:pt>
                <c:pt idx="38">
                  <c:v>0.68571428571428572</c:v>
                </c:pt>
                <c:pt idx="39">
                  <c:v>0.68571428571428572</c:v>
                </c:pt>
                <c:pt idx="40">
                  <c:v>0.68571428571428572</c:v>
                </c:pt>
                <c:pt idx="41">
                  <c:v>0.68571428571428572</c:v>
                </c:pt>
                <c:pt idx="42">
                  <c:v>0.68571428571428572</c:v>
                </c:pt>
                <c:pt idx="43">
                  <c:v>0.68571428571428572</c:v>
                </c:pt>
                <c:pt idx="44">
                  <c:v>0.68571428571428572</c:v>
                </c:pt>
                <c:pt idx="45">
                  <c:v>0.68571428571428572</c:v>
                </c:pt>
                <c:pt idx="46">
                  <c:v>0.68571428571428572</c:v>
                </c:pt>
                <c:pt idx="47">
                  <c:v>0.68571428571428572</c:v>
                </c:pt>
                <c:pt idx="48">
                  <c:v>0.68571428571428572</c:v>
                </c:pt>
                <c:pt idx="49">
                  <c:v>0.68571428571428572</c:v>
                </c:pt>
                <c:pt idx="50">
                  <c:v>0.68571428571428572</c:v>
                </c:pt>
                <c:pt idx="51">
                  <c:v>0.68571428571428572</c:v>
                </c:pt>
                <c:pt idx="52">
                  <c:v>0.68571428571428572</c:v>
                </c:pt>
                <c:pt idx="53">
                  <c:v>0.68571428571428572</c:v>
                </c:pt>
                <c:pt idx="54">
                  <c:v>0.68571428571428572</c:v>
                </c:pt>
                <c:pt idx="55">
                  <c:v>0.68571428571428572</c:v>
                </c:pt>
                <c:pt idx="56">
                  <c:v>0.68571428571428572</c:v>
                </c:pt>
                <c:pt idx="57">
                  <c:v>0.68571428571428572</c:v>
                </c:pt>
                <c:pt idx="58">
                  <c:v>0.68571428571428572</c:v>
                </c:pt>
                <c:pt idx="59">
                  <c:v>0.68571428571428572</c:v>
                </c:pt>
                <c:pt idx="60">
                  <c:v>0.68571428571428572</c:v>
                </c:pt>
                <c:pt idx="61">
                  <c:v>0.68571428571428572</c:v>
                </c:pt>
                <c:pt idx="62">
                  <c:v>0.68571428571428572</c:v>
                </c:pt>
                <c:pt idx="63">
                  <c:v>0.68571428571428572</c:v>
                </c:pt>
                <c:pt idx="64">
                  <c:v>0.68571428571428572</c:v>
                </c:pt>
                <c:pt idx="65">
                  <c:v>0.68571428571428572</c:v>
                </c:pt>
                <c:pt idx="66">
                  <c:v>0.68571428571428572</c:v>
                </c:pt>
                <c:pt idx="67">
                  <c:v>0.68571428571428572</c:v>
                </c:pt>
                <c:pt idx="68">
                  <c:v>0.68571428571428572</c:v>
                </c:pt>
                <c:pt idx="69">
                  <c:v>0.68571428571428572</c:v>
                </c:pt>
                <c:pt idx="70">
                  <c:v>0.68571428571428572</c:v>
                </c:pt>
                <c:pt idx="71">
                  <c:v>0.68571428571428572</c:v>
                </c:pt>
                <c:pt idx="72">
                  <c:v>0.68571428571428572</c:v>
                </c:pt>
                <c:pt idx="73">
                  <c:v>0.68571428571428572</c:v>
                </c:pt>
                <c:pt idx="74">
                  <c:v>0.68571428571428572</c:v>
                </c:pt>
                <c:pt idx="75">
                  <c:v>0.68571428571428572</c:v>
                </c:pt>
                <c:pt idx="76">
                  <c:v>0.68571428571428572</c:v>
                </c:pt>
                <c:pt idx="77">
                  <c:v>0.68571428571428572</c:v>
                </c:pt>
                <c:pt idx="78">
                  <c:v>0.68571428571428572</c:v>
                </c:pt>
                <c:pt idx="79">
                  <c:v>0.68571428571428572</c:v>
                </c:pt>
                <c:pt idx="80">
                  <c:v>0.68571428571428572</c:v>
                </c:pt>
                <c:pt idx="81">
                  <c:v>0.68571428571428572</c:v>
                </c:pt>
                <c:pt idx="82">
                  <c:v>0.68571428571428572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67-4423-90E7-1AFB939E9783}"/>
            </c:ext>
          </c:extLst>
        </c:ser>
        <c:ser>
          <c:idx val="1"/>
          <c:order val="4"/>
          <c:tx>
            <c:strRef>
              <c:f>RTC!$B$108</c:f>
              <c:strCache>
                <c:ptCount val="1"/>
                <c:pt idx="0">
                  <c:v>M(fn,100% Po,π/4)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RTC!$C$108:$CG$108</c:f>
              <c:numCache>
                <c:formatCode>General</c:formatCode>
                <c:ptCount val="83"/>
                <c:pt idx="0">
                  <c:v>2.1818182479920704E-8</c:v>
                </c:pt>
                <c:pt idx="1">
                  <c:v>1.2885285829841006E-3</c:v>
                </c:pt>
                <c:pt idx="2">
                  <c:v>3.2950119481721194E-3</c:v>
                </c:pt>
                <c:pt idx="3">
                  <c:v>6.2440144033623097E-3</c:v>
                </c:pt>
                <c:pt idx="4">
                  <c:v>1.0158553191859945E-2</c:v>
                </c:pt>
                <c:pt idx="5">
                  <c:v>1.5069602622699301E-2</c:v>
                </c:pt>
                <c:pt idx="6">
                  <c:v>2.1016704876682134E-2</c:v>
                </c:pt>
                <c:pt idx="7">
                  <c:v>2.8048768388947723E-2</c:v>
                </c:pt>
                <c:pt idx="8">
                  <c:v>3.6225083729408088E-2</c:v>
                </c:pt>
                <c:pt idx="9">
                  <c:v>4.5616596356075428E-2</c:v>
                </c:pt>
                <c:pt idx="10">
                  <c:v>5.6307487501055131E-2</c:v>
                </c:pt>
                <c:pt idx="11">
                  <c:v>6.83971296301875E-2</c:v>
                </c:pt>
                <c:pt idx="12">
                  <c:v>8.2002502564154742E-2</c:v>
                </c:pt>
                <c:pt idx="13">
                  <c:v>9.7261182059277002E-2</c:v>
                </c:pt>
                <c:pt idx="14">
                  <c:v>0.11433504662530793</c:v>
                </c:pt>
                <c:pt idx="15">
                  <c:v>0.13341489367348136</c:v>
                </c:pt>
                <c:pt idx="16">
                  <c:v>0.15472621704054584</c:v>
                </c:pt>
                <c:pt idx="17">
                  <c:v>0.17853648058534624</c:v>
                </c:pt>
                <c:pt idx="18">
                  <c:v>0.20516433548851423</c:v>
                </c:pt>
                <c:pt idx="19">
                  <c:v>0.23499138428974772</c:v>
                </c:pt>
                <c:pt idx="20">
                  <c:v>0.26847730985236462</c:v>
                </c:pt>
                <c:pt idx="21">
                  <c:v>0.30617948669159406</c:v>
                </c:pt>
                <c:pt idx="22">
                  <c:v>0.34877860915110864</c:v>
                </c:pt>
                <c:pt idx="23">
                  <c:v>0.39711245078414564</c:v>
                </c:pt>
                <c:pt idx="24">
                  <c:v>0.45222066752110879</c:v>
                </c:pt>
                <c:pt idx="25">
                  <c:v>0.51540462938092035</c:v>
                </c:pt>
                <c:pt idx="26">
                  <c:v>0.58830762840615813</c:v>
                </c:pt>
                <c:pt idx="27">
                  <c:v>0.67302232488870162</c:v>
                </c:pt>
                <c:pt idx="28">
                  <c:v>0.77223333712321429</c:v>
                </c:pt>
                <c:pt idx="29">
                  <c:v>0.88940146434470002</c:v>
                </c:pt>
                <c:pt idx="30">
                  <c:v>1.0289864824494521</c:v>
                </c:pt>
                <c:pt idx="31">
                  <c:v>1.1966724314094623</c:v>
                </c:pt>
                <c:pt idx="32">
                  <c:v>1.3994632574174968</c:v>
                </c:pt>
                <c:pt idx="33">
                  <c:v>1.6452628496952006</c:v>
                </c:pt>
                <c:pt idx="34">
                  <c:v>1.9409529095430136</c:v>
                </c:pt>
                <c:pt idx="35">
                  <c:v>2.286856711332343</c:v>
                </c:pt>
                <c:pt idx="36">
                  <c:v>2.664689739148864</c:v>
                </c:pt>
                <c:pt idx="37">
                  <c:v>3.0210297534050943</c:v>
                </c:pt>
                <c:pt idx="38">
                  <c:v>3.2681466330811526</c:v>
                </c:pt>
                <c:pt idx="39">
                  <c:v>3.3110252196145522</c:v>
                </c:pt>
                <c:pt idx="40">
                  <c:v>3.3156909367168934</c:v>
                </c:pt>
                <c:pt idx="41">
                  <c:v>3.165485129035889</c:v>
                </c:pt>
                <c:pt idx="42">
                  <c:v>2.9379147301897302</c:v>
                </c:pt>
                <c:pt idx="43">
                  <c:v>2.6956469422014004</c:v>
                </c:pt>
                <c:pt idx="44">
                  <c:v>2.4705166769883413</c:v>
                </c:pt>
                <c:pt idx="45">
                  <c:v>2.2731978578150067</c:v>
                </c:pt>
                <c:pt idx="46">
                  <c:v>2.1043137440172504</c:v>
                </c:pt>
                <c:pt idx="47">
                  <c:v>1.9607997258777867</c:v>
                </c:pt>
                <c:pt idx="48">
                  <c:v>1.8387414801727384</c:v>
                </c:pt>
                <c:pt idx="49">
                  <c:v>1.7344475901781762</c:v>
                </c:pt>
                <c:pt idx="50">
                  <c:v>1.6447671953798582</c:v>
                </c:pt>
                <c:pt idx="51">
                  <c:v>1.5671176092543677</c:v>
                </c:pt>
                <c:pt idx="52">
                  <c:v>1.4994159312519777</c:v>
                </c:pt>
                <c:pt idx="53">
                  <c:v>1.4399901776491046</c:v>
                </c:pt>
                <c:pt idx="54">
                  <c:v>1.3874966034904137</c:v>
                </c:pt>
                <c:pt idx="55">
                  <c:v>1.3408506390314692</c:v>
                </c:pt>
                <c:pt idx="56">
                  <c:v>1.2991717638123261</c:v>
                </c:pt>
                <c:pt idx="57">
                  <c:v>1.2617403838170929</c:v>
                </c:pt>
                <c:pt idx="58">
                  <c:v>1.2279643637936826</c:v>
                </c:pt>
                <c:pt idx="59">
                  <c:v>1.1973530893088902</c:v>
                </c:pt>
                <c:pt idx="60">
                  <c:v>1.1694973196907215</c:v>
                </c:pt>
                <c:pt idx="61">
                  <c:v>1.1440534718277999</c:v>
                </c:pt>
                <c:pt idx="62">
                  <c:v>1.1207312935183062</c:v>
                </c:pt>
                <c:pt idx="63">
                  <c:v>1.0992841366401696</c:v>
                </c:pt>
                <c:pt idx="64">
                  <c:v>1.0795012330280616</c:v>
                </c:pt>
                <c:pt idx="65">
                  <c:v>1.0612015212514392</c:v>
                </c:pt>
                <c:pt idx="66">
                  <c:v>1.0442286814174895</c:v>
                </c:pt>
                <c:pt idx="67">
                  <c:v>1.028447116660097</c:v>
                </c:pt>
                <c:pt idx="68">
                  <c:v>1.0137386810967635</c:v>
                </c:pt>
                <c:pt idx="69">
                  <c:v>1</c:v>
                </c:pt>
                <c:pt idx="70">
                  <c:v>0.96740297287939647</c:v>
                </c:pt>
                <c:pt idx="71">
                  <c:v>0.9397179046098656</c:v>
                </c:pt>
                <c:pt idx="72">
                  <c:v>0.91592461846307416</c:v>
                </c:pt>
                <c:pt idx="73">
                  <c:v>0.89526144065932423</c:v>
                </c:pt>
                <c:pt idx="74">
                  <c:v>0.87714892036287673</c:v>
                </c:pt>
                <c:pt idx="75">
                  <c:v>0.86113889543855549</c:v>
                </c:pt>
                <c:pt idx="76">
                  <c:v>0.84687964305359276</c:v>
                </c:pt>
                <c:pt idx="77">
                  <c:v>0.83409151190731656</c:v>
                </c:pt>
                <c:pt idx="78">
                  <c:v>0.82254954889244947</c:v>
                </c:pt>
                <c:pt idx="79">
                  <c:v>0.81207089395729926</c:v>
                </c:pt>
                <c:pt idx="80">
                  <c:v>0.80250548884949624</c:v>
                </c:pt>
                <c:pt idx="81">
                  <c:v>0.79372912964468822</c:v>
                </c:pt>
                <c:pt idx="82">
                  <c:v>0.78563820355372038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67-4423-90E7-1AFB939E9783}"/>
            </c:ext>
          </c:extLst>
        </c:ser>
        <c:ser>
          <c:idx val="2"/>
          <c:order val="5"/>
          <c:tx>
            <c:strRef>
              <c:f>RTC!$B$109</c:f>
              <c:strCache>
                <c:ptCount val="1"/>
                <c:pt idx="0">
                  <c:v>M(fn,75% Po,π/4)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RTC!$C$109:$CG$109</c:f>
              <c:numCache>
                <c:formatCode>General</c:formatCode>
                <c:ptCount val="83"/>
                <c:pt idx="0">
                  <c:v>2.1818182494128961E-8</c:v>
                </c:pt>
                <c:pt idx="1">
                  <c:v>1.288578171574027E-3</c:v>
                </c:pt>
                <c:pt idx="2">
                  <c:v>3.2953365564165381E-3</c:v>
                </c:pt>
                <c:pt idx="3">
                  <c:v>6.2451818527583169E-3</c:v>
                </c:pt>
                <c:pt idx="4">
                  <c:v>1.0161649593314151E-2</c:v>
                </c:pt>
                <c:pt idx="5">
                  <c:v>1.5076433975065679E-2</c:v>
                </c:pt>
                <c:pt idx="6">
                  <c:v>2.1030033274098695E-2</c:v>
                </c:pt>
                <c:pt idx="7">
                  <c:v>2.8072595420429815E-2</c:v>
                </c:pt>
                <c:pt idx="8">
                  <c:v>3.6264996999625973E-2</c:v>
                </c:pt>
                <c:pt idx="9">
                  <c:v>4.5680199715147266E-2</c:v>
                </c:pt>
                <c:pt idx="10">
                  <c:v>5.640494203549281E-2</c:v>
                </c:pt>
                <c:pt idx="11">
                  <c:v>6.854184145450834E-2</c:v>
                </c:pt>
                <c:pt idx="12">
                  <c:v>8.2212006016100361E-2</c:v>
                </c:pt>
                <c:pt idx="13">
                  <c:v>9.7558284599454398E-2</c:v>
                </c:pt>
                <c:pt idx="14">
                  <c:v>0.11474932690509751</c:v>
                </c:pt>
                <c:pt idx="15">
                  <c:v>0.13398468039047992</c:v>
                </c:pt>
                <c:pt idx="16">
                  <c:v>0.15550122875600239</c:v>
                </c:pt>
                <c:pt idx="17">
                  <c:v>0.17958138403859605</c:v>
                </c:pt>
                <c:pt idx="18">
                  <c:v>0.20656359537070312</c:v>
                </c:pt>
                <c:pt idx="19">
                  <c:v>0.23685595218794511</c:v>
                </c:pt>
                <c:pt idx="20">
                  <c:v>0.27095396878595501</c:v>
                </c:pt>
                <c:pt idx="21">
                  <c:v>0.30946408779780116</c:v>
                </c:pt>
                <c:pt idx="22">
                  <c:v>0.35313510574261586</c:v>
                </c:pt>
                <c:pt idx="23">
                  <c:v>0.40290071951848322</c:v>
                </c:pt>
                <c:pt idx="24">
                  <c:v>0.45993790091907139</c:v>
                </c:pt>
                <c:pt idx="25">
                  <c:v>0.52574811603441041</c:v>
                </c:pt>
                <c:pt idx="26">
                  <c:v>0.60227197223209405</c:v>
                </c:pt>
                <c:pt idx="27">
                  <c:v>0.69205339033255242</c:v>
                </c:pt>
                <c:pt idx="28">
                  <c:v>0.79847783432444808</c:v>
                </c:pt>
                <c:pt idx="29">
                  <c:v>0.92612151818432153</c:v>
                </c:pt>
                <c:pt idx="30">
                  <c:v>1.0812646200199973</c:v>
                </c:pt>
                <c:pt idx="31">
                  <c:v>1.2726343216532146</c:v>
                </c:pt>
                <c:pt idx="32">
                  <c:v>1.5124180898398729</c:v>
                </c:pt>
                <c:pt idx="33">
                  <c:v>1.8173855912326224</c:v>
                </c:pt>
                <c:pt idx="34">
                  <c:v>2.2090801713925834</c:v>
                </c:pt>
                <c:pt idx="35">
                  <c:v>2.7089090039799784</c:v>
                </c:pt>
                <c:pt idx="36">
                  <c:v>3.3153045546675202</c:v>
                </c:pt>
                <c:pt idx="37">
                  <c:v>3.9416922154280147</c:v>
                </c:pt>
                <c:pt idx="38">
                  <c:v>4.357523942376635</c:v>
                </c:pt>
                <c:pt idx="39">
                  <c:v>4.4041940885742372</c:v>
                </c:pt>
                <c:pt idx="40">
                  <c:v>4.2612033432527046</c:v>
                </c:pt>
                <c:pt idx="41">
                  <c:v>3.8527942441394005</c:v>
                </c:pt>
                <c:pt idx="42">
                  <c:v>3.3982236476184218</c:v>
                </c:pt>
                <c:pt idx="43">
                  <c:v>2.9979567124083721</c:v>
                </c:pt>
                <c:pt idx="44">
                  <c:v>2.6711570417583141</c:v>
                </c:pt>
                <c:pt idx="45">
                  <c:v>2.4092786879197372</c:v>
                </c:pt>
                <c:pt idx="46">
                  <c:v>2.1988449901644733</c:v>
                </c:pt>
                <c:pt idx="47">
                  <c:v>2.0279628274312711</c:v>
                </c:pt>
                <c:pt idx="48">
                  <c:v>1.8874111529356545</c:v>
                </c:pt>
                <c:pt idx="49">
                  <c:v>1.7703076368044173</c:v>
                </c:pt>
                <c:pt idx="50">
                  <c:v>1.671550850643214</c:v>
                </c:pt>
                <c:pt idx="51">
                  <c:v>1.5873385715548483</c:v>
                </c:pt>
                <c:pt idx="52">
                  <c:v>1.5148067641068692</c:v>
                </c:pt>
                <c:pt idx="53">
                  <c:v>1.4517710548787346</c:v>
                </c:pt>
                <c:pt idx="54">
                  <c:v>1.396543915521502</c:v>
                </c:pt>
                <c:pt idx="55">
                  <c:v>1.3478052167776442</c:v>
                </c:pt>
                <c:pt idx="56">
                  <c:v>1.3045098739697338</c:v>
                </c:pt>
                <c:pt idx="57">
                  <c:v>1.2658212630462244</c:v>
                </c:pt>
                <c:pt idx="58">
                  <c:v>1.2310626548488726</c:v>
                </c:pt>
                <c:pt idx="59">
                  <c:v>1.1996813670832631</c:v>
                </c:pt>
                <c:pt idx="60">
                  <c:v>1.1712219910308832</c:v>
                </c:pt>
                <c:pt idx="61">
                  <c:v>1.1453061677974472</c:v>
                </c:pt>
                <c:pt idx="62">
                  <c:v>1.1216171458202568</c:v>
                </c:pt>
                <c:pt idx="63">
                  <c:v>1.099887867894062</c:v>
                </c:pt>
                <c:pt idx="64">
                  <c:v>1.0798916918159434</c:v>
                </c:pt>
                <c:pt idx="65">
                  <c:v>1.0614350964231427</c:v>
                </c:pt>
                <c:pt idx="66">
                  <c:v>1.044351899017198</c:v>
                </c:pt>
                <c:pt idx="67">
                  <c:v>1.0284986340178952</c:v>
                </c:pt>
                <c:pt idx="68">
                  <c:v>1.0137508316491879</c:v>
                </c:pt>
                <c:pt idx="69">
                  <c:v>1</c:v>
                </c:pt>
                <c:pt idx="70">
                  <c:v>0.96747445637564</c:v>
                </c:pt>
                <c:pt idx="71">
                  <c:v>0.93997090517379822</c:v>
                </c:pt>
                <c:pt idx="72">
                  <c:v>0.91643448462322241</c:v>
                </c:pt>
                <c:pt idx="73">
                  <c:v>0.89608173747900699</c:v>
                </c:pt>
                <c:pt idx="74">
                  <c:v>0.87831912572601833</c:v>
                </c:pt>
                <c:pt idx="75">
                  <c:v>0.86268913767983724</c:v>
                </c:pt>
                <c:pt idx="76">
                  <c:v>0.84883369753987159</c:v>
                </c:pt>
                <c:pt idx="77">
                  <c:v>0.83646874159239104</c:v>
                </c:pt>
                <c:pt idx="78">
                  <c:v>0.82536618708574605</c:v>
                </c:pt>
                <c:pt idx="79">
                  <c:v>0.81534090763548017</c:v>
                </c:pt>
                <c:pt idx="80">
                  <c:v>0.8062411688648321</c:v>
                </c:pt>
                <c:pt idx="81">
                  <c:v>0.79794149979871642</c:v>
                </c:pt>
                <c:pt idx="82">
                  <c:v>0.79033730753739839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67-4423-90E7-1AFB939E9783}"/>
            </c:ext>
          </c:extLst>
        </c:ser>
        <c:ser>
          <c:idx val="3"/>
          <c:order val="6"/>
          <c:tx>
            <c:strRef>
              <c:f>RTC!$B$110</c:f>
              <c:strCache>
                <c:ptCount val="1"/>
                <c:pt idx="0">
                  <c:v>M(fn,50% Po,π/4)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RTC!$C$110:$CG$110</c:f>
              <c:numCache>
                <c:formatCode>General</c:formatCode>
                <c:ptCount val="83"/>
                <c:pt idx="0">
                  <c:v>2.1818182504277716E-8</c:v>
                </c:pt>
                <c:pt idx="1">
                  <c:v>1.2886135955008332E-3</c:v>
                </c:pt>
                <c:pt idx="2">
                  <c:v>3.2955684781936466E-3</c:v>
                </c:pt>
                <c:pt idx="3">
                  <c:v>6.2460161462191653E-3</c:v>
                </c:pt>
                <c:pt idx="4">
                  <c:v>1.0163863042965088E-2</c:v>
                </c:pt>
                <c:pt idx="5">
                  <c:v>1.5081319204381372E-2</c:v>
                </c:pt>
                <c:pt idx="6">
                  <c:v>2.1039569098202388E-2</c:v>
                </c:pt>
                <c:pt idx="7">
                  <c:v>2.8089651953662267E-2</c:v>
                </c:pt>
                <c:pt idx="8">
                  <c:v>3.6293587388214997E-2</c:v>
                </c:pt>
                <c:pt idx="9">
                  <c:v>4.5725793918706494E-2</c:v>
                </c:pt>
                <c:pt idx="10">
                  <c:v>5.647486303862221E-2</c:v>
                </c:pt>
                <c:pt idx="11">
                  <c:v>6.8645771225195648E-2</c:v>
                </c:pt>
                <c:pt idx="12">
                  <c:v>8.2362638290634962E-2</c:v>
                </c:pt>
                <c:pt idx="13">
                  <c:v>9.777217543465197E-2</c:v>
                </c:pt>
                <c:pt idx="14">
                  <c:v>0.11504801381981522</c:v>
                </c:pt>
                <c:pt idx="15">
                  <c:v>0.1343961697659459</c:v>
                </c:pt>
                <c:pt idx="16">
                  <c:v>0.15606199356055589</c:v>
                </c:pt>
                <c:pt idx="17">
                  <c:v>0.18033907712619268</c:v>
                </c:pt>
                <c:pt idx="18">
                  <c:v>0.20758077920643064</c:v>
                </c:pt>
                <c:pt idx="19">
                  <c:v>0.23821529291505833</c:v>
                </c:pt>
                <c:pt idx="20">
                  <c:v>0.27276557284516439</c:v>
                </c:pt>
                <c:pt idx="21">
                  <c:v>0.3118760270307826</c:v>
                </c:pt>
                <c:pt idx="22">
                  <c:v>0.35634877663150372</c:v>
                </c:pt>
                <c:pt idx="23">
                  <c:v>0.40719368317894933</c:v>
                </c:pt>
                <c:pt idx="24">
                  <c:v>0.46569856393000625</c:v>
                </c:pt>
                <c:pt idx="25">
                  <c:v>0.53352962776885804</c:v>
                </c:pt>
                <c:pt idx="26">
                  <c:v>0.61287818547722495</c:v>
                </c:pt>
                <c:pt idx="27">
                  <c:v>0.70667999489874977</c:v>
                </c:pt>
                <c:pt idx="28">
                  <c:v>0.81895174017762684</c:v>
                </c:pt>
                <c:pt idx="29">
                  <c:v>0.95532197886781722</c:v>
                </c:pt>
                <c:pt idx="30">
                  <c:v>1.1238949075668698</c:v>
                </c:pt>
                <c:pt idx="31">
                  <c:v>1.336700784700356</c:v>
                </c:pt>
                <c:pt idx="32">
                  <c:v>1.6122041821848843</c:v>
                </c:pt>
                <c:pt idx="33">
                  <c:v>1.9797167331940804</c:v>
                </c:pt>
                <c:pt idx="34">
                  <c:v>2.4869471935964955</c:v>
                </c:pt>
                <c:pt idx="35">
                  <c:v>3.2103200546599169</c:v>
                </c:pt>
                <c:pt idx="36">
                  <c:v>4.2496371420859811</c:v>
                </c:pt>
                <c:pt idx="37">
                  <c:v>5.5838781280519632</c:v>
                </c:pt>
                <c:pt idx="38">
                  <c:v>6.5362649062806746</c:v>
                </c:pt>
                <c:pt idx="39">
                  <c:v>6.56187709048654</c:v>
                </c:pt>
                <c:pt idx="40">
                  <c:v>5.8283032893166347</c:v>
                </c:pt>
                <c:pt idx="41">
                  <c:v>4.7563696098705019</c:v>
                </c:pt>
                <c:pt idx="42">
                  <c:v>3.9015255964034536</c:v>
                </c:pt>
                <c:pt idx="43">
                  <c:v>3.2890887050132047</c:v>
                </c:pt>
                <c:pt idx="44">
                  <c:v>2.8486465633840918</c:v>
                </c:pt>
                <c:pt idx="45">
                  <c:v>2.5229481085899601</c:v>
                </c:pt>
                <c:pt idx="46">
                  <c:v>2.274741534759305</c:v>
                </c:pt>
                <c:pt idx="47">
                  <c:v>2.0803949878791861</c:v>
                </c:pt>
                <c:pt idx="48">
                  <c:v>1.9246409174621322</c:v>
                </c:pt>
                <c:pt idx="49">
                  <c:v>1.7973280730835068</c:v>
                </c:pt>
                <c:pt idx="50">
                  <c:v>1.6915035214697591</c:v>
                </c:pt>
                <c:pt idx="51">
                  <c:v>1.6022709678425973</c:v>
                </c:pt>
                <c:pt idx="52">
                  <c:v>1.5260949961030321</c:v>
                </c:pt>
                <c:pt idx="53">
                  <c:v>1.4603652308008392</c:v>
                </c:pt>
                <c:pt idx="54">
                  <c:v>1.4031157251568276</c:v>
                </c:pt>
                <c:pt idx="55">
                  <c:v>1.3528395535321116</c:v>
                </c:pt>
                <c:pt idx="56">
                  <c:v>1.3083633497339899</c:v>
                </c:pt>
                <c:pt idx="57">
                  <c:v>1.2687605397323707</c:v>
                </c:pt>
                <c:pt idx="58">
                  <c:v>1.2332901336794484</c:v>
                </c:pt>
                <c:pt idx="59">
                  <c:v>1.2013527629548135</c:v>
                </c:pt>
                <c:pt idx="60">
                  <c:v>1.1724585811910933</c:v>
                </c:pt>
                <c:pt idx="61">
                  <c:v>1.1462034742108889</c:v>
                </c:pt>
                <c:pt idx="62">
                  <c:v>1.1222511850942101</c:v>
                </c:pt>
                <c:pt idx="63">
                  <c:v>1.1003197140231982</c:v>
                </c:pt>
                <c:pt idx="64">
                  <c:v>1.0801708504954202</c:v>
                </c:pt>
                <c:pt idx="65">
                  <c:v>1.0616020302914293</c:v>
                </c:pt>
                <c:pt idx="66">
                  <c:v>1.0444399382984499</c:v>
                </c:pt>
                <c:pt idx="67">
                  <c:v>1.0285354368708968</c:v>
                </c:pt>
                <c:pt idx="68">
                  <c:v>1.0137595108827029</c:v>
                </c:pt>
                <c:pt idx="69">
                  <c:v>1</c:v>
                </c:pt>
                <c:pt idx="70">
                  <c:v>0.96752552571866779</c:v>
                </c:pt>
                <c:pt idx="71">
                  <c:v>0.94015174502363608</c:v>
                </c:pt>
                <c:pt idx="72">
                  <c:v>0.91679919649383013</c:v>
                </c:pt>
                <c:pt idx="73">
                  <c:v>0.89666904621600196</c:v>
                </c:pt>
                <c:pt idx="74">
                  <c:v>0.87915786000048757</c:v>
                </c:pt>
                <c:pt idx="75">
                  <c:v>0.86380159359385156</c:v>
                </c:pt>
                <c:pt idx="76">
                  <c:v>0.85023776125807737</c:v>
                </c:pt>
                <c:pt idx="77">
                  <c:v>0.83817926151400113</c:v>
                </c:pt>
                <c:pt idx="78">
                  <c:v>0.82739587966145289</c:v>
                </c:pt>
                <c:pt idx="79">
                  <c:v>0.81770096634061051</c:v>
                </c:pt>
                <c:pt idx="80">
                  <c:v>0.80894168016618251</c:v>
                </c:pt>
                <c:pt idx="81">
                  <c:v>0.80099173123418488</c:v>
                </c:pt>
                <c:pt idx="82">
                  <c:v>0.79374590961510494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767-4423-90E7-1AFB939E9783}"/>
            </c:ext>
          </c:extLst>
        </c:ser>
        <c:ser>
          <c:idx val="5"/>
          <c:order val="7"/>
          <c:tx>
            <c:strRef>
              <c:f>RTC!$B$111</c:f>
              <c:strCache>
                <c:ptCount val="1"/>
                <c:pt idx="0">
                  <c:v>M(fn,25% Po,π/4)</c:v>
                </c:pt>
              </c:strCache>
            </c:strRef>
          </c:tx>
          <c:spPr>
            <a:ln w="19050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RTC!$C$111:$CG$111</c:f>
              <c:numCache>
                <c:formatCode>General</c:formatCode>
                <c:ptCount val="83"/>
                <c:pt idx="0">
                  <c:v>2.1818182510366966E-8</c:v>
                </c:pt>
                <c:pt idx="1">
                  <c:v>1.2886348512592819E-3</c:v>
                </c:pt>
                <c:pt idx="2">
                  <c:v>3.2957076547663338E-3</c:v>
                </c:pt>
                <c:pt idx="3">
                  <c:v>6.2465168828168913E-3</c:v>
                </c:pt>
                <c:pt idx="4">
                  <c:v>1.0165191807242017E-2</c:v>
                </c:pt>
                <c:pt idx="5">
                  <c:v>1.5084252622425465E-2</c:v>
                </c:pt>
                <c:pt idx="6">
                  <c:v>2.1045296822859667E-2</c:v>
                </c:pt>
                <c:pt idx="7">
                  <c:v>2.8099900808883832E-2</c:v>
                </c:pt>
                <c:pt idx="8">
                  <c:v>3.6310774113015254E-2</c:v>
                </c:pt>
                <c:pt idx="9">
                  <c:v>4.5753216060223069E-2</c:v>
                </c:pt>
                <c:pt idx="10">
                  <c:v>5.651694066037502E-2</c:v>
                </c:pt>
                <c:pt idx="11">
                  <c:v>6.8708356474590837E-2</c:v>
                </c:pt>
                <c:pt idx="12">
                  <c:v>8.245341606112816E-2</c:v>
                </c:pt>
                <c:pt idx="13">
                  <c:v>9.7901187193779174E-2</c:v>
                </c:pt>
                <c:pt idx="14">
                  <c:v>0.11522834942108219</c:v>
                </c:pt>
                <c:pt idx="15">
                  <c:v>0.13464489067808946</c:v>
                </c:pt>
                <c:pt idx="16">
                  <c:v>0.15640137850524516</c:v>
                </c:pt>
                <c:pt idx="17">
                  <c:v>0.18079832252130565</c:v>
                </c:pt>
                <c:pt idx="18">
                  <c:v>0.2081983500445049</c:v>
                </c:pt>
                <c:pt idx="19">
                  <c:v>0.23904221799806005</c:v>
                </c:pt>
                <c:pt idx="20">
                  <c:v>0.2738701340767794</c:v>
                </c:pt>
                <c:pt idx="21">
                  <c:v>0.31335054466435652</c:v>
                </c:pt>
                <c:pt idx="22">
                  <c:v>0.35831961032449089</c:v>
                </c:pt>
                <c:pt idx="23">
                  <c:v>0.40983627949521473</c:v>
                </c:pt>
                <c:pt idx="24">
                  <c:v>0.46926062493655119</c:v>
                </c:pt>
                <c:pt idx="25">
                  <c:v>0.53836772348952122</c:v>
                </c:pt>
                <c:pt idx="26">
                  <c:v>0.61951734450923646</c:v>
                </c:pt>
                <c:pt idx="27">
                  <c:v>0.71591402471029431</c:v>
                </c:pt>
                <c:pt idx="28">
                  <c:v>0.83201882091516144</c:v>
                </c:pt>
                <c:pt idx="29">
                  <c:v>0.97422626176868343</c:v>
                </c:pt>
                <c:pt idx="30">
                  <c:v>1.1520277706949573</c:v>
                </c:pt>
                <c:pt idx="31">
                  <c:v>1.3801195101761581</c:v>
                </c:pt>
                <c:pt idx="32">
                  <c:v>1.6824722676826387</c:v>
                </c:pt>
                <c:pt idx="33">
                  <c:v>2.1008248093461006</c:v>
                </c:pt>
                <c:pt idx="34">
                  <c:v>2.7141828103905814</c:v>
                </c:pt>
                <c:pt idx="35">
                  <c:v>3.688982648204016</c:v>
                </c:pt>
                <c:pt idx="36">
                  <c:v>5.4226604572562698</c:v>
                </c:pt>
                <c:pt idx="37">
                  <c:v>8.874334292070964</c:v>
                </c:pt>
                <c:pt idx="38">
                  <c:v>13.072302940891014</c:v>
                </c:pt>
                <c:pt idx="39">
                  <c:v>12.673218577658734</c:v>
                </c:pt>
                <c:pt idx="40">
                  <c:v>8.4340745660325585</c:v>
                </c:pt>
                <c:pt idx="41">
                  <c:v>5.7444694203075599</c:v>
                </c:pt>
                <c:pt idx="42">
                  <c:v>4.3374128318841692</c:v>
                </c:pt>
                <c:pt idx="43">
                  <c:v>3.5105520922385378</c:v>
                </c:pt>
                <c:pt idx="44">
                  <c:v>2.9737766287718053</c:v>
                </c:pt>
                <c:pt idx="45">
                  <c:v>2.5993913032860352</c:v>
                </c:pt>
                <c:pt idx="46">
                  <c:v>2.3242339271319574</c:v>
                </c:pt>
                <c:pt idx="47">
                  <c:v>2.1138760975918665</c:v>
                </c:pt>
                <c:pt idx="48">
                  <c:v>1.9480648411822659</c:v>
                </c:pt>
                <c:pt idx="49">
                  <c:v>1.8141465550045413</c:v>
                </c:pt>
                <c:pt idx="50">
                  <c:v>1.7038236330198682</c:v>
                </c:pt>
                <c:pt idx="51">
                  <c:v>1.6114352549773965</c:v>
                </c:pt>
                <c:pt idx="52">
                  <c:v>1.5329902825925217</c:v>
                </c:pt>
                <c:pt idx="53">
                  <c:v>1.4655955802662384</c:v>
                </c:pt>
                <c:pt idx="54">
                  <c:v>1.4071036247169475</c:v>
                </c:pt>
                <c:pt idx="55">
                  <c:v>1.3558873693313063</c:v>
                </c:pt>
                <c:pt idx="56">
                  <c:v>1.3106918915748877</c:v>
                </c:pt>
                <c:pt idx="57">
                  <c:v>1.2705339644015305</c:v>
                </c:pt>
                <c:pt idx="58">
                  <c:v>1.2346324387746255</c:v>
                </c:pt>
                <c:pt idx="59">
                  <c:v>1.2023589598856741</c:v>
                </c:pt>
                <c:pt idx="60">
                  <c:v>1.1732024180112508</c:v>
                </c:pt>
                <c:pt idx="61">
                  <c:v>1.1467428714483408</c:v>
                </c:pt>
                <c:pt idx="62">
                  <c:v>1.1226321251672753</c:v>
                </c:pt>
                <c:pt idx="63">
                  <c:v>1.100579065987231</c:v>
                </c:pt>
                <c:pt idx="64">
                  <c:v>1.0803384496554489</c:v>
                </c:pt>
                <c:pt idx="65">
                  <c:v>1.0617022284260897</c:v>
                </c:pt>
                <c:pt idx="66">
                  <c:v>1.0444927725557174</c:v>
                </c:pt>
                <c:pt idx="67">
                  <c:v>1.0285575204791526</c:v>
                </c:pt>
                <c:pt idx="68">
                  <c:v>1.013764718529816</c:v>
                </c:pt>
                <c:pt idx="69">
                  <c:v>1</c:v>
                </c:pt>
                <c:pt idx="70">
                  <c:v>0.96755617120665038</c:v>
                </c:pt>
                <c:pt idx="71">
                  <c:v>0.94026029904623565</c:v>
                </c:pt>
                <c:pt idx="72">
                  <c:v>0.91701823273417582</c:v>
                </c:pt>
                <c:pt idx="73">
                  <c:v>0.8970219862467439</c:v>
                </c:pt>
                <c:pt idx="74">
                  <c:v>0.87966225537974407</c:v>
                </c:pt>
                <c:pt idx="75">
                  <c:v>0.86447113643125828</c:v>
                </c:pt>
                <c:pt idx="76">
                  <c:v>0.85108355124523627</c:v>
                </c:pt>
                <c:pt idx="77">
                  <c:v>0.83921062420499215</c:v>
                </c:pt>
                <c:pt idx="78">
                  <c:v>0.8286209063270521</c:v>
                </c:pt>
                <c:pt idx="79">
                  <c:v>0.81912687681877172</c:v>
                </c:pt>
                <c:pt idx="80">
                  <c:v>0.8105750707361854</c:v>
                </c:pt>
                <c:pt idx="81">
                  <c:v>0.80283874636123731</c:v>
                </c:pt>
                <c:pt idx="82">
                  <c:v>0.7958123624178427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767-4423-90E7-1AFB939E9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431"/>
        <c:axId val="1407976511"/>
      </c:scatterChart>
      <c:valAx>
        <c:axId val="1407978431"/>
        <c:scaling>
          <c:orientation val="minMax"/>
          <c:max val="2"/>
          <c:min val="0.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fn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6511"/>
        <c:crosses val="autoZero"/>
        <c:crossBetween val="midCat"/>
      </c:valAx>
      <c:valAx>
        <c:axId val="1407976511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Required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8431"/>
        <c:crossesAt val="0"/>
        <c:crossBetween val="midCat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521611350258314"/>
          <c:y val="0.16914286715838636"/>
          <c:w val="0.26939773403311268"/>
          <c:h val="0.38624747825753936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 Gain curve vs Minimum Required Gain for PFC </a:t>
            </a:r>
            <a:r>
              <a:rPr lang="en-US" sz="1400"/>
              <a:t>regulation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@Vin_max- Variable Load @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π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/2</a:t>
            </a:r>
            <a:endParaRPr lang="el-GR" sz="1400"/>
          </a:p>
        </c:rich>
      </c:tx>
      <c:layout>
        <c:manualLayout>
          <c:xMode val="edge"/>
          <c:yMode val="edge"/>
          <c:x val="0.16144385855423607"/>
          <c:y val="2.3272468193682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537263861003059"/>
          <c:y val="0.14181437112537784"/>
          <c:w val="0.82634951881014873"/>
          <c:h val="0.736857587652268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RTC!$B$28</c:f>
              <c:strCache>
                <c:ptCount val="1"/>
                <c:pt idx="0">
                  <c:v>M.OL(fn)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RTC!$C$28:$CG$28</c:f>
              <c:numCache>
                <c:formatCode>General</c:formatCode>
                <c:ptCount val="83"/>
                <c:pt idx="0">
                  <c:v>2.1818182512396718E-8</c:v>
                </c:pt>
                <c:pt idx="1">
                  <c:v>1.2886419367458453E-3</c:v>
                </c:pt>
                <c:pt idx="2">
                  <c:v>3.2957540508757933E-3</c:v>
                </c:pt>
                <c:pt idx="3">
                  <c:v>6.2466838217803949E-3</c:v>
                </c:pt>
                <c:pt idx="4">
                  <c:v>1.0165634844491057E-2</c:v>
                </c:pt>
                <c:pt idx="5">
                  <c:v>1.5085230808885637E-2</c:v>
                </c:pt>
                <c:pt idx="6">
                  <c:v>2.104720710419164E-2</c:v>
                </c:pt>
                <c:pt idx="7">
                  <c:v>2.8103319587713758E-2</c:v>
                </c:pt>
                <c:pt idx="8">
                  <c:v>3.6316508449383139E-2</c:v>
                </c:pt>
                <c:pt idx="9">
                  <c:v>4.5762367743434479E-2</c:v>
                </c:pt>
                <c:pt idx="10">
                  <c:v>5.6530987448607108E-2</c:v>
                </c:pt>
                <c:pt idx="11">
                  <c:v>6.8729256295102084E-2</c:v>
                </c:pt>
                <c:pt idx="12">
                  <c:v>8.2483742085161724E-2</c:v>
                </c:pt>
                <c:pt idx="13">
                  <c:v>9.7944304735298124E-2</c:v>
                </c:pt>
                <c:pt idx="14">
                  <c:v>0.11528864999952876</c:v>
                </c:pt>
                <c:pt idx="15">
                  <c:v>0.1347281050187448</c:v>
                </c:pt>
                <c:pt idx="16">
                  <c:v>0.15651499980883612</c:v>
                </c:pt>
                <c:pt idx="17">
                  <c:v>0.18095218575415503</c:v>
                </c:pt>
                <c:pt idx="18">
                  <c:v>0.20840543512238516</c:v>
                </c:pt>
                <c:pt idx="19">
                  <c:v>0.23931977930378859</c:v>
                </c:pt>
                <c:pt idx="20">
                  <c:v>0.27424131386312434</c:v>
                </c:pt>
                <c:pt idx="21">
                  <c:v>0.31384671772931005</c:v>
                </c:pt>
                <c:pt idx="22">
                  <c:v>0.3589838574142431</c:v>
                </c:pt>
                <c:pt idx="23">
                  <c:v>0.41072864448862639</c:v>
                </c:pt>
                <c:pt idx="24">
                  <c:v>0.47046626668653735</c:v>
                </c:pt>
                <c:pt idx="25">
                  <c:v>0.54000990781304037</c:v>
                </c:pt>
                <c:pt idx="26">
                  <c:v>0.62177881033586746</c:v>
                </c:pt>
                <c:pt idx="27">
                  <c:v>0.71907341857608231</c:v>
                </c:pt>
                <c:pt idx="28">
                  <c:v>0.83651551018079373</c:v>
                </c:pt>
                <c:pt idx="29">
                  <c:v>0.98078153994784389</c:v>
                </c:pt>
                <c:pt idx="30">
                  <c:v>1.1618855338834528</c:v>
                </c:pt>
                <c:pt idx="31">
                  <c:v>1.3955605407023011</c:v>
                </c:pt>
                <c:pt idx="32">
                  <c:v>1.70801881699095</c:v>
                </c:pt>
                <c:pt idx="33">
                  <c:v>2.1464163817304032</c:v>
                </c:pt>
                <c:pt idx="34">
                  <c:v>2.8049873938594398</c:v>
                </c:pt>
                <c:pt idx="35">
                  <c:v>3.9033273688464369</c:v>
                </c:pt>
                <c:pt idx="36">
                  <c:v>6.098718634915044</c:v>
                </c:pt>
                <c:pt idx="37">
                  <c:v>12.659566924581251</c:v>
                </c:pt>
                <c:pt idx="38">
                  <c:v>1921.5837087114464</c:v>
                </c:pt>
                <c:pt idx="39">
                  <c:v>42.249999999987104</c:v>
                </c:pt>
                <c:pt idx="40">
                  <c:v>10.581427390464974</c:v>
                </c:pt>
                <c:pt idx="41">
                  <c:v>6.2413366336631526</c:v>
                </c:pt>
                <c:pt idx="42">
                  <c:v>4.5187319884725161</c:v>
                </c:pt>
                <c:pt idx="43">
                  <c:v>3.5949449125080415</c:v>
                </c:pt>
                <c:pt idx="44">
                  <c:v>3.0192994996425648</c:v>
                </c:pt>
                <c:pt idx="45">
                  <c:v>2.6264591439688467</c:v>
                </c:pt>
                <c:pt idx="46">
                  <c:v>2.3414634146341284</c:v>
                </c:pt>
                <c:pt idx="47">
                  <c:v>2.1254008980115326</c:v>
                </c:pt>
                <c:pt idx="48">
                  <c:v>1.9560649474689491</c:v>
                </c:pt>
                <c:pt idx="49">
                  <c:v>1.8198585144012047</c:v>
                </c:pt>
                <c:pt idx="50">
                  <c:v>1.7079905491189553</c:v>
                </c:pt>
                <c:pt idx="51">
                  <c:v>1.6145251396647997</c:v>
                </c:pt>
                <c:pt idx="52">
                  <c:v>1.5353095649293769</c:v>
                </c:pt>
                <c:pt idx="53">
                  <c:v>1.4673515584189416</c:v>
                </c:pt>
                <c:pt idx="54">
                  <c:v>1.4084404999094342</c:v>
                </c:pt>
                <c:pt idx="55">
                  <c:v>1.35690789473684</c:v>
                </c:pt>
                <c:pt idx="56">
                  <c:v>1.3114708393594574</c:v>
                </c:pt>
                <c:pt idx="57">
                  <c:v>1.2711267605633787</c:v>
                </c:pt>
                <c:pt idx="58">
                  <c:v>1.2350808487203404</c:v>
                </c:pt>
                <c:pt idx="59">
                  <c:v>1.2026949211102145</c:v>
                </c:pt>
                <c:pt idx="60">
                  <c:v>1.1734506784011727</c:v>
                </c:pt>
                <c:pt idx="61">
                  <c:v>1.1469228398232809</c:v>
                </c:pt>
                <c:pt idx="62">
                  <c:v>1.1227591914225556</c:v>
                </c:pt>
                <c:pt idx="63">
                  <c:v>1.1006655574043258</c:v>
                </c:pt>
                <c:pt idx="64">
                  <c:v>1.080394333380958</c:v>
                </c:pt>
                <c:pt idx="65">
                  <c:v>1.0617356341095658</c:v>
                </c:pt>
                <c:pt idx="66">
                  <c:v>1.0445103857566764</c:v>
                </c:pt>
                <c:pt idx="67">
                  <c:v>1.0285648819980142</c:v>
                </c:pt>
                <c:pt idx="68">
                  <c:v>1.0137664544300213</c:v>
                </c:pt>
                <c:pt idx="69">
                  <c:v>1</c:v>
                </c:pt>
                <c:pt idx="70">
                  <c:v>0.96756638701644149</c:v>
                </c:pt>
                <c:pt idx="71">
                  <c:v>0.94029649207737387</c:v>
                </c:pt>
                <c:pt idx="72">
                  <c:v>0.9170912797089299</c:v>
                </c:pt>
                <c:pt idx="73">
                  <c:v>0.89713972557044763</c:v>
                </c:pt>
                <c:pt idx="74">
                  <c:v>0.87983058019429439</c:v>
                </c:pt>
                <c:pt idx="75">
                  <c:v>0.86469466359597535</c:v>
                </c:pt>
                <c:pt idx="76">
                  <c:v>0.85136604264766635</c:v>
                </c:pt>
                <c:pt idx="77">
                  <c:v>0.83955525874231718</c:v>
                </c:pt>
                <c:pt idx="78">
                  <c:v>0.82903045930975283</c:v>
                </c:pt>
                <c:pt idx="79">
                  <c:v>0.81960384055727298</c:v>
                </c:pt>
                <c:pt idx="80">
                  <c:v>0.81112173694104106</c:v>
                </c:pt>
                <c:pt idx="81">
                  <c:v>0.80345726326884537</c:v>
                </c:pt>
                <c:pt idx="82">
                  <c:v>0.7965047748976446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78-481E-A762-3CC8732B007A}"/>
            </c:ext>
          </c:extLst>
        </c:ser>
        <c:ser>
          <c:idx val="4"/>
          <c:order val="1"/>
          <c:tx>
            <c:strRef>
              <c:f>RTC!$B$67</c:f>
              <c:strCache>
                <c:ptCount val="1"/>
                <c:pt idx="0">
                  <c:v>Mreq(Vin_max, Vout,π/2 )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RTC!$C$67:$CG$67</c:f>
              <c:numCache>
                <c:formatCode>General</c:formatCode>
                <c:ptCount val="83"/>
                <c:pt idx="0">
                  <c:v>0.99807854321003453</c:v>
                </c:pt>
                <c:pt idx="1">
                  <c:v>0.99807854321003453</c:v>
                </c:pt>
                <c:pt idx="2">
                  <c:v>0.99807854321003453</c:v>
                </c:pt>
                <c:pt idx="3">
                  <c:v>0.99807854321003453</c:v>
                </c:pt>
                <c:pt idx="4">
                  <c:v>0.99807854321003453</c:v>
                </c:pt>
                <c:pt idx="5">
                  <c:v>0.99807854321003453</c:v>
                </c:pt>
                <c:pt idx="6">
                  <c:v>0.99807854321003453</c:v>
                </c:pt>
                <c:pt idx="7">
                  <c:v>0.99807854321003453</c:v>
                </c:pt>
                <c:pt idx="8">
                  <c:v>0.99807854321003453</c:v>
                </c:pt>
                <c:pt idx="9">
                  <c:v>0.99807854321003453</c:v>
                </c:pt>
                <c:pt idx="10">
                  <c:v>0.99807854321003453</c:v>
                </c:pt>
                <c:pt idx="11">
                  <c:v>0.99807854321003453</c:v>
                </c:pt>
                <c:pt idx="12">
                  <c:v>0.99807854321003453</c:v>
                </c:pt>
                <c:pt idx="13">
                  <c:v>0.99807854321003453</c:v>
                </c:pt>
                <c:pt idx="14">
                  <c:v>0.99807854321003453</c:v>
                </c:pt>
                <c:pt idx="15">
                  <c:v>0.99807854321003453</c:v>
                </c:pt>
                <c:pt idx="16">
                  <c:v>0.99807854321003453</c:v>
                </c:pt>
                <c:pt idx="17">
                  <c:v>0.99807854321003453</c:v>
                </c:pt>
                <c:pt idx="18">
                  <c:v>0.99807854321003453</c:v>
                </c:pt>
                <c:pt idx="19">
                  <c:v>0.99807854321003453</c:v>
                </c:pt>
                <c:pt idx="20">
                  <c:v>0.99807854321003453</c:v>
                </c:pt>
                <c:pt idx="21">
                  <c:v>0.99807854321003453</c:v>
                </c:pt>
                <c:pt idx="22">
                  <c:v>0.99807854321003453</c:v>
                </c:pt>
                <c:pt idx="23">
                  <c:v>0.99807854321003453</c:v>
                </c:pt>
                <c:pt idx="24">
                  <c:v>0.99807854321003453</c:v>
                </c:pt>
                <c:pt idx="25">
                  <c:v>0.99807854321003453</c:v>
                </c:pt>
                <c:pt idx="26">
                  <c:v>0.99807854321003453</c:v>
                </c:pt>
                <c:pt idx="27">
                  <c:v>0.99807854321003453</c:v>
                </c:pt>
                <c:pt idx="28">
                  <c:v>0.99807854321003453</c:v>
                </c:pt>
                <c:pt idx="29">
                  <c:v>0.99807854321003453</c:v>
                </c:pt>
                <c:pt idx="30">
                  <c:v>0.99807854321003453</c:v>
                </c:pt>
                <c:pt idx="31">
                  <c:v>0.99807854321003453</c:v>
                </c:pt>
                <c:pt idx="32">
                  <c:v>0.99807854321003453</c:v>
                </c:pt>
                <c:pt idx="33">
                  <c:v>0.99807854321003453</c:v>
                </c:pt>
                <c:pt idx="34">
                  <c:v>0.99807854321003453</c:v>
                </c:pt>
                <c:pt idx="35">
                  <c:v>0.99807854321003453</c:v>
                </c:pt>
                <c:pt idx="36">
                  <c:v>0.99807854321003453</c:v>
                </c:pt>
                <c:pt idx="37">
                  <c:v>0.99807854321003453</c:v>
                </c:pt>
                <c:pt idx="38">
                  <c:v>0.99807854321003453</c:v>
                </c:pt>
                <c:pt idx="39">
                  <c:v>0.99807854321003453</c:v>
                </c:pt>
                <c:pt idx="40">
                  <c:v>0.99807854321003453</c:v>
                </c:pt>
                <c:pt idx="41">
                  <c:v>0.99807854321003453</c:v>
                </c:pt>
                <c:pt idx="42">
                  <c:v>0.99807854321003453</c:v>
                </c:pt>
                <c:pt idx="43">
                  <c:v>0.99807854321003453</c:v>
                </c:pt>
                <c:pt idx="44">
                  <c:v>0.99807854321003453</c:v>
                </c:pt>
                <c:pt idx="45">
                  <c:v>0.99807854321003453</c:v>
                </c:pt>
                <c:pt idx="46">
                  <c:v>0.99807854321003453</c:v>
                </c:pt>
                <c:pt idx="47">
                  <c:v>0.99807854321003453</c:v>
                </c:pt>
                <c:pt idx="48">
                  <c:v>0.99807854321003453</c:v>
                </c:pt>
                <c:pt idx="49">
                  <c:v>0.99807854321003453</c:v>
                </c:pt>
                <c:pt idx="50">
                  <c:v>0.99807854321003453</c:v>
                </c:pt>
                <c:pt idx="51">
                  <c:v>0.99807854321003453</c:v>
                </c:pt>
                <c:pt idx="52">
                  <c:v>0.99807854321003453</c:v>
                </c:pt>
                <c:pt idx="53">
                  <c:v>0.99807854321003453</c:v>
                </c:pt>
                <c:pt idx="54">
                  <c:v>0.99807854321003453</c:v>
                </c:pt>
                <c:pt idx="55">
                  <c:v>0.99807854321003453</c:v>
                </c:pt>
                <c:pt idx="56">
                  <c:v>0.99807854321003453</c:v>
                </c:pt>
                <c:pt idx="57">
                  <c:v>0.99807854321003453</c:v>
                </c:pt>
                <c:pt idx="58">
                  <c:v>0.99807854321003453</c:v>
                </c:pt>
                <c:pt idx="59">
                  <c:v>0.99807854321003453</c:v>
                </c:pt>
                <c:pt idx="60">
                  <c:v>0.99807854321003453</c:v>
                </c:pt>
                <c:pt idx="61">
                  <c:v>0.99807854321003453</c:v>
                </c:pt>
                <c:pt idx="62">
                  <c:v>0.99807854321003453</c:v>
                </c:pt>
                <c:pt idx="63">
                  <c:v>0.99807854321003453</c:v>
                </c:pt>
                <c:pt idx="64">
                  <c:v>0.99807854321003453</c:v>
                </c:pt>
                <c:pt idx="65">
                  <c:v>0.99807854321003453</c:v>
                </c:pt>
                <c:pt idx="66">
                  <c:v>0.99807854321003453</c:v>
                </c:pt>
                <c:pt idx="67">
                  <c:v>0.99807854321003453</c:v>
                </c:pt>
                <c:pt idx="68">
                  <c:v>0.99807854321003453</c:v>
                </c:pt>
                <c:pt idx="69">
                  <c:v>0.99807854321003453</c:v>
                </c:pt>
                <c:pt idx="70">
                  <c:v>0.99807854321003453</c:v>
                </c:pt>
                <c:pt idx="71">
                  <c:v>0.99807854321003453</c:v>
                </c:pt>
                <c:pt idx="72">
                  <c:v>0.99807854321003453</c:v>
                </c:pt>
                <c:pt idx="73">
                  <c:v>0.99807854321003453</c:v>
                </c:pt>
                <c:pt idx="74">
                  <c:v>0.99807854321003453</c:v>
                </c:pt>
                <c:pt idx="75">
                  <c:v>0.99807854321003453</c:v>
                </c:pt>
                <c:pt idx="76">
                  <c:v>0.99807854321003453</c:v>
                </c:pt>
                <c:pt idx="77">
                  <c:v>0.99807854321003453</c:v>
                </c:pt>
                <c:pt idx="78">
                  <c:v>0.99807854321003453</c:v>
                </c:pt>
                <c:pt idx="79">
                  <c:v>0.99807854321003453</c:v>
                </c:pt>
                <c:pt idx="80">
                  <c:v>0.99807854321003453</c:v>
                </c:pt>
                <c:pt idx="81">
                  <c:v>0.99807854321003453</c:v>
                </c:pt>
                <c:pt idx="82">
                  <c:v>0.99807854321003453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78-481E-A762-3CC8732B007A}"/>
            </c:ext>
          </c:extLst>
        </c:ser>
        <c:ser>
          <c:idx val="7"/>
          <c:order val="2"/>
          <c:tx>
            <c:strRef>
              <c:f>RTC!$B$29</c:f>
              <c:strCache>
                <c:ptCount val="1"/>
                <c:pt idx="0">
                  <c:v>M.Z(fn)</c:v>
                </c:pt>
              </c:strCache>
            </c:strRef>
          </c:tx>
          <c:spPr>
            <a:ln w="19050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RTC!$C$29:$CG$29</c:f>
              <c:numCache>
                <c:formatCode>General</c:formatCode>
                <c:ptCount val="8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1921.5837087114464</c:v>
                </c:pt>
                <c:pt idx="39">
                  <c:v>6.499999999999007</c:v>
                </c:pt>
                <c:pt idx="40">
                  <c:v>3.2529106029008803</c:v>
                </c:pt>
                <c:pt idx="41">
                  <c:v>2.4982667258847973</c:v>
                </c:pt>
                <c:pt idx="42">
                  <c:v>2.1257309304031207</c:v>
                </c:pt>
                <c:pt idx="43">
                  <c:v>1.8960339956097945</c:v>
                </c:pt>
                <c:pt idx="44">
                  <c:v>1.7376131616797115</c:v>
                </c:pt>
                <c:pt idx="45">
                  <c:v>1.6206354136476369</c:v>
                </c:pt>
                <c:pt idx="46">
                  <c:v>1.5301841113520063</c:v>
                </c:pt>
                <c:pt idx="47">
                  <c:v>1.4578754741100259</c:v>
                </c:pt>
                <c:pt idx="48">
                  <c:v>1.3985939180008431</c:v>
                </c:pt>
                <c:pt idx="49">
                  <c:v>1.3490213172523273</c:v>
                </c:pt>
                <c:pt idx="50">
                  <c:v>1.3069011244615849</c:v>
                </c:pt>
                <c:pt idx="51">
                  <c:v>1.2706396576782892</c:v>
                </c:pt>
                <c:pt idx="52">
                  <c:v>1.2390760932765092</c:v>
                </c:pt>
                <c:pt idx="53">
                  <c:v>1.2113428740117067</c:v>
                </c:pt>
                <c:pt idx="54">
                  <c:v>1.1867773590313537</c:v>
                </c:pt>
                <c:pt idx="55">
                  <c:v>1.1648638953701158</c:v>
                </c:pt>
                <c:pt idx="56">
                  <c:v>1.1451946731274369</c:v>
                </c:pt>
                <c:pt idx="57">
                  <c:v>1.1274425752841599</c:v>
                </c:pt>
                <c:pt idx="58">
                  <c:v>1.1113419135083229</c:v>
                </c:pt>
                <c:pt idx="59">
                  <c:v>1.0966744827478272</c:v>
                </c:pt>
                <c:pt idx="60">
                  <c:v>1.0832592849365161</c:v>
                </c:pt>
                <c:pt idx="61">
                  <c:v>1.0709448350980926</c:v>
                </c:pt>
                <c:pt idx="62">
                  <c:v>1.0596033179556184</c:v>
                </c:pt>
                <c:pt idx="63">
                  <c:v>1.0491260922331147</c:v>
                </c:pt>
                <c:pt idx="64">
                  <c:v>1.0394201909627108</c:v>
                </c:pt>
                <c:pt idx="65">
                  <c:v>1.0304055677788071</c:v>
                </c:pt>
                <c:pt idx="66">
                  <c:v>1.022012908801389</c:v>
                </c:pt>
                <c:pt idx="67">
                  <c:v>1.0141818781648655</c:v>
                </c:pt>
                <c:pt idx="68">
                  <c:v>1.0068596994765564</c:v>
                </c:pt>
                <c:pt idx="69">
                  <c:v>1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78-481E-A762-3CC8732B007A}"/>
            </c:ext>
          </c:extLst>
        </c:ser>
        <c:ser>
          <c:idx val="8"/>
          <c:order val="3"/>
          <c:tx>
            <c:strRef>
              <c:f>RTC!$B$31</c:f>
              <c:strCache>
                <c:ptCount val="1"/>
                <c:pt idx="0">
                  <c:v>Minf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RTC!$C$31:$CG$31</c:f>
              <c:numCache>
                <c:formatCode>General</c:formatCode>
                <c:ptCount val="83"/>
                <c:pt idx="0">
                  <c:v>0.68571428571428572</c:v>
                </c:pt>
                <c:pt idx="1">
                  <c:v>0.68571428571428572</c:v>
                </c:pt>
                <c:pt idx="2">
                  <c:v>0.68571428571428572</c:v>
                </c:pt>
                <c:pt idx="3">
                  <c:v>0.68571428571428572</c:v>
                </c:pt>
                <c:pt idx="4">
                  <c:v>0.68571428571428572</c:v>
                </c:pt>
                <c:pt idx="5">
                  <c:v>0.68571428571428572</c:v>
                </c:pt>
                <c:pt idx="6">
                  <c:v>0.68571428571428572</c:v>
                </c:pt>
                <c:pt idx="7">
                  <c:v>0.68571428571428572</c:v>
                </c:pt>
                <c:pt idx="8">
                  <c:v>0.68571428571428572</c:v>
                </c:pt>
                <c:pt idx="9">
                  <c:v>0.68571428571428572</c:v>
                </c:pt>
                <c:pt idx="10">
                  <c:v>0.68571428571428572</c:v>
                </c:pt>
                <c:pt idx="11">
                  <c:v>0.68571428571428572</c:v>
                </c:pt>
                <c:pt idx="12">
                  <c:v>0.68571428571428572</c:v>
                </c:pt>
                <c:pt idx="13">
                  <c:v>0.68571428571428572</c:v>
                </c:pt>
                <c:pt idx="14">
                  <c:v>0.68571428571428572</c:v>
                </c:pt>
                <c:pt idx="15">
                  <c:v>0.68571428571428572</c:v>
                </c:pt>
                <c:pt idx="16">
                  <c:v>0.68571428571428572</c:v>
                </c:pt>
                <c:pt idx="17">
                  <c:v>0.68571428571428572</c:v>
                </c:pt>
                <c:pt idx="18">
                  <c:v>0.68571428571428572</c:v>
                </c:pt>
                <c:pt idx="19">
                  <c:v>0.68571428571428572</c:v>
                </c:pt>
                <c:pt idx="20">
                  <c:v>0.68571428571428572</c:v>
                </c:pt>
                <c:pt idx="21">
                  <c:v>0.68571428571428572</c:v>
                </c:pt>
                <c:pt idx="22">
                  <c:v>0.68571428571428572</c:v>
                </c:pt>
                <c:pt idx="23">
                  <c:v>0.68571428571428572</c:v>
                </c:pt>
                <c:pt idx="24">
                  <c:v>0.68571428571428572</c:v>
                </c:pt>
                <c:pt idx="25">
                  <c:v>0.68571428571428572</c:v>
                </c:pt>
                <c:pt idx="26">
                  <c:v>0.68571428571428572</c:v>
                </c:pt>
                <c:pt idx="27">
                  <c:v>0.68571428571428572</c:v>
                </c:pt>
                <c:pt idx="28">
                  <c:v>0.68571428571428572</c:v>
                </c:pt>
                <c:pt idx="29">
                  <c:v>0.68571428571428572</c:v>
                </c:pt>
                <c:pt idx="30">
                  <c:v>0.68571428571428572</c:v>
                </c:pt>
                <c:pt idx="31">
                  <c:v>0.68571428571428572</c:v>
                </c:pt>
                <c:pt idx="32">
                  <c:v>0.68571428571428572</c:v>
                </c:pt>
                <c:pt idx="33">
                  <c:v>0.68571428571428572</c:v>
                </c:pt>
                <c:pt idx="34">
                  <c:v>0.68571428571428572</c:v>
                </c:pt>
                <c:pt idx="35">
                  <c:v>0.68571428571428572</c:v>
                </c:pt>
                <c:pt idx="36">
                  <c:v>0.68571428571428572</c:v>
                </c:pt>
                <c:pt idx="37">
                  <c:v>0.68571428571428572</c:v>
                </c:pt>
                <c:pt idx="38">
                  <c:v>0.68571428571428572</c:v>
                </c:pt>
                <c:pt idx="39">
                  <c:v>0.68571428571428572</c:v>
                </c:pt>
                <c:pt idx="40">
                  <c:v>0.68571428571428572</c:v>
                </c:pt>
                <c:pt idx="41">
                  <c:v>0.68571428571428572</c:v>
                </c:pt>
                <c:pt idx="42">
                  <c:v>0.68571428571428572</c:v>
                </c:pt>
                <c:pt idx="43">
                  <c:v>0.68571428571428572</c:v>
                </c:pt>
                <c:pt idx="44">
                  <c:v>0.68571428571428572</c:v>
                </c:pt>
                <c:pt idx="45">
                  <c:v>0.68571428571428572</c:v>
                </c:pt>
                <c:pt idx="46">
                  <c:v>0.68571428571428572</c:v>
                </c:pt>
                <c:pt idx="47">
                  <c:v>0.68571428571428572</c:v>
                </c:pt>
                <c:pt idx="48">
                  <c:v>0.68571428571428572</c:v>
                </c:pt>
                <c:pt idx="49">
                  <c:v>0.68571428571428572</c:v>
                </c:pt>
                <c:pt idx="50">
                  <c:v>0.68571428571428572</c:v>
                </c:pt>
                <c:pt idx="51">
                  <c:v>0.68571428571428572</c:v>
                </c:pt>
                <c:pt idx="52">
                  <c:v>0.68571428571428572</c:v>
                </c:pt>
                <c:pt idx="53">
                  <c:v>0.68571428571428572</c:v>
                </c:pt>
                <c:pt idx="54">
                  <c:v>0.68571428571428572</c:v>
                </c:pt>
                <c:pt idx="55">
                  <c:v>0.68571428571428572</c:v>
                </c:pt>
                <c:pt idx="56">
                  <c:v>0.68571428571428572</c:v>
                </c:pt>
                <c:pt idx="57">
                  <c:v>0.68571428571428572</c:v>
                </c:pt>
                <c:pt idx="58">
                  <c:v>0.68571428571428572</c:v>
                </c:pt>
                <c:pt idx="59">
                  <c:v>0.68571428571428572</c:v>
                </c:pt>
                <c:pt idx="60">
                  <c:v>0.68571428571428572</c:v>
                </c:pt>
                <c:pt idx="61">
                  <c:v>0.68571428571428572</c:v>
                </c:pt>
                <c:pt idx="62">
                  <c:v>0.68571428571428572</c:v>
                </c:pt>
                <c:pt idx="63">
                  <c:v>0.68571428571428572</c:v>
                </c:pt>
                <c:pt idx="64">
                  <c:v>0.68571428571428572</c:v>
                </c:pt>
                <c:pt idx="65">
                  <c:v>0.68571428571428572</c:v>
                </c:pt>
                <c:pt idx="66">
                  <c:v>0.68571428571428572</c:v>
                </c:pt>
                <c:pt idx="67">
                  <c:v>0.68571428571428572</c:v>
                </c:pt>
                <c:pt idx="68">
                  <c:v>0.68571428571428572</c:v>
                </c:pt>
                <c:pt idx="69">
                  <c:v>0.68571428571428572</c:v>
                </c:pt>
                <c:pt idx="70">
                  <c:v>0.68571428571428572</c:v>
                </c:pt>
                <c:pt idx="71">
                  <c:v>0.68571428571428572</c:v>
                </c:pt>
                <c:pt idx="72">
                  <c:v>0.68571428571428572</c:v>
                </c:pt>
                <c:pt idx="73">
                  <c:v>0.68571428571428572</c:v>
                </c:pt>
                <c:pt idx="74">
                  <c:v>0.68571428571428572</c:v>
                </c:pt>
                <c:pt idx="75">
                  <c:v>0.68571428571428572</c:v>
                </c:pt>
                <c:pt idx="76">
                  <c:v>0.68571428571428572</c:v>
                </c:pt>
                <c:pt idx="77">
                  <c:v>0.68571428571428572</c:v>
                </c:pt>
                <c:pt idx="78">
                  <c:v>0.68571428571428572</c:v>
                </c:pt>
                <c:pt idx="79">
                  <c:v>0.68571428571428572</c:v>
                </c:pt>
                <c:pt idx="80">
                  <c:v>0.68571428571428572</c:v>
                </c:pt>
                <c:pt idx="81">
                  <c:v>0.68571428571428572</c:v>
                </c:pt>
                <c:pt idx="82">
                  <c:v>0.68571428571428572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78-481E-A762-3CC8732B007A}"/>
            </c:ext>
          </c:extLst>
        </c:ser>
        <c:ser>
          <c:idx val="1"/>
          <c:order val="4"/>
          <c:tx>
            <c:strRef>
              <c:f>RTC!$B$99</c:f>
              <c:strCache>
                <c:ptCount val="1"/>
                <c:pt idx="0">
                  <c:v>M(fn,100% Po,π/2)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RTC!$C$99:$CG$99</c:f>
              <c:numCache>
                <c:formatCode>General</c:formatCode>
                <c:ptCount val="83"/>
                <c:pt idx="0">
                  <c:v>2.1818182382492675E-8</c:v>
                </c:pt>
                <c:pt idx="1">
                  <c:v>1.2881887010930794E-3</c:v>
                </c:pt>
                <c:pt idx="2">
                  <c:v>3.2927886442313385E-3</c:v>
                </c:pt>
                <c:pt idx="3">
                  <c:v>6.2360266346062031E-3</c:v>
                </c:pt>
                <c:pt idx="4">
                  <c:v>1.0137396704165301E-2</c:v>
                </c:pt>
                <c:pt idx="5">
                  <c:v>1.5023007895528954E-2</c:v>
                </c:pt>
                <c:pt idx="6">
                  <c:v>2.0925987778792478E-2</c:v>
                </c:pt>
                <c:pt idx="7">
                  <c:v>2.7887001276361342E-2</c:v>
                </c:pt>
                <c:pt idx="8">
                  <c:v>3.5954897539339017E-2</c:v>
                </c:pt>
                <c:pt idx="9">
                  <c:v>4.5187500817546217E-2</c:v>
                </c:pt>
                <c:pt idx="10">
                  <c:v>5.5652564835327163E-2</c:v>
                </c:pt>
                <c:pt idx="11">
                  <c:v>6.7428914152122668E-2</c:v>
                </c:pt>
                <c:pt idx="12">
                  <c:v>8.0607800331455051E-2</c:v>
                </c:pt>
                <c:pt idx="13">
                  <c:v>9.5294505365001059E-2</c:v>
                </c:pt>
                <c:pt idx="14">
                  <c:v>0.11161022945863958</c:v>
                </c:pt>
                <c:pt idx="15">
                  <c:v>0.12969430450041747</c:v>
                </c:pt>
                <c:pt idx="16">
                  <c:v>0.14970677740192706</c:v>
                </c:pt>
                <c:pt idx="17">
                  <c:v>0.17183140745740369</c:v>
                </c:pt>
                <c:pt idx="18">
                  <c:v>0.19627911619524036</c:v>
                </c:pt>
                <c:pt idx="19">
                  <c:v>0.22329191235764032</c:v>
                </c:pt>
                <c:pt idx="20">
                  <c:v>0.25314728109657647</c:v>
                </c:pt>
                <c:pt idx="21">
                  <c:v>0.28616296286546417</c:v>
                </c:pt>
                <c:pt idx="22">
                  <c:v>0.32270193381356715</c:v>
                </c:pt>
                <c:pt idx="23">
                  <c:v>0.36317720380577329</c:v>
                </c:pt>
                <c:pt idx="24">
                  <c:v>0.40805572039200749</c:v>
                </c:pt>
                <c:pt idx="25">
                  <c:v>0.45786013065995684</c:v>
                </c:pt>
                <c:pt idx="26">
                  <c:v>0.51316629609248432</c:v>
                </c:pt>
                <c:pt idx="27">
                  <c:v>0.57459312657902117</c:v>
                </c:pt>
                <c:pt idx="28">
                  <c:v>0.64277932160959372</c:v>
                </c:pt>
                <c:pt idx="29">
                  <c:v>0.71833884691119299</c:v>
                </c:pt>
                <c:pt idx="30">
                  <c:v>0.80178354597124124</c:v>
                </c:pt>
                <c:pt idx="31">
                  <c:v>0.89339801137383779</c:v>
                </c:pt>
                <c:pt idx="32">
                  <c:v>0.99305115057053139</c:v>
                </c:pt>
                <c:pt idx="33">
                  <c:v>1.0999361156437204</c:v>
                </c:pt>
                <c:pt idx="34">
                  <c:v>1.2122544795938535</c:v>
                </c:pt>
                <c:pt idx="35">
                  <c:v>1.3269116345880969</c:v>
                </c:pt>
                <c:pt idx="36">
                  <c:v>1.4393666612797296</c:v>
                </c:pt>
                <c:pt idx="37">
                  <c:v>1.5438437181055409</c:v>
                </c:pt>
                <c:pt idx="38">
                  <c:v>1.634075089047597</c:v>
                </c:pt>
                <c:pt idx="39">
                  <c:v>1.6593385553953328</c:v>
                </c:pt>
                <c:pt idx="40">
                  <c:v>1.7224809596753172</c:v>
                </c:pt>
                <c:pt idx="41">
                  <c:v>1.7617858065342098</c:v>
                </c:pt>
                <c:pt idx="42">
                  <c:v>1.7775007606476596</c:v>
                </c:pt>
                <c:pt idx="43">
                  <c:v>1.7723770936820213</c:v>
                </c:pt>
                <c:pt idx="44">
                  <c:v>1.7506688032071991</c:v>
                </c:pt>
                <c:pt idx="45">
                  <c:v>1.7170352094878036</c:v>
                </c:pt>
                <c:pt idx="46">
                  <c:v>1.6757354437264311</c:v>
                </c:pt>
                <c:pt idx="47">
                  <c:v>1.6302254633798372</c:v>
                </c:pt>
                <c:pt idx="48">
                  <c:v>1.5830741957458498</c:v>
                </c:pt>
                <c:pt idx="49">
                  <c:v>1.5360596375513149</c:v>
                </c:pt>
                <c:pt idx="50">
                  <c:v>1.4903324554146884</c:v>
                </c:pt>
                <c:pt idx="51">
                  <c:v>1.446581713956461</c:v>
                </c:pt>
                <c:pt idx="52">
                  <c:v>1.4051745142564538</c:v>
                </c:pt>
                <c:pt idx="53">
                  <c:v>1.3662628198799427</c:v>
                </c:pt>
                <c:pt idx="54">
                  <c:v>1.329860503810347</c:v>
                </c:pt>
                <c:pt idx="55">
                  <c:v>1.2958967576600455</c:v>
                </c:pt>
                <c:pt idx="56">
                  <c:v>1.2642520414530216</c:v>
                </c:pt>
                <c:pt idx="57">
                  <c:v>1.2347816882910965</c:v>
                </c:pt>
                <c:pt idx="58">
                  <c:v>1.2073310266874606</c:v>
                </c:pt>
                <c:pt idx="59">
                  <c:v>1.1817447922027622</c:v>
                </c:pt>
                <c:pt idx="60">
                  <c:v>1.1578727557635651</c:v>
                </c:pt>
                <c:pt idx="61">
                  <c:v>1.1355728820271946</c:v>
                </c:pt>
                <c:pt idx="62">
                  <c:v>1.1147129003379874</c:v>
                </c:pt>
                <c:pt idx="63">
                  <c:v>1.0951708751382412</c:v>
                </c:pt>
                <c:pt idx="64">
                  <c:v>1.0768351626045636</c:v>
                </c:pt>
                <c:pt idx="65">
                  <c:v>1.0596040061373857</c:v>
                </c:pt>
                <c:pt idx="66">
                  <c:v>1.0433849339971508</c:v>
                </c:pt>
                <c:pt idx="67">
                  <c:v>1.0280940632015909</c:v>
                </c:pt>
                <c:pt idx="68">
                  <c:v>1.0136553747908899</c:v>
                </c:pt>
                <c:pt idx="69">
                  <c:v>1</c:v>
                </c:pt>
                <c:pt idx="70">
                  <c:v>0.96691322680906977</c:v>
                </c:pt>
                <c:pt idx="71">
                  <c:v>0.93798852959219836</c:v>
                </c:pt>
                <c:pt idx="72">
                  <c:v>0.91245116941174087</c:v>
                </c:pt>
                <c:pt idx="73">
                  <c:v>0.88969658878492341</c:v>
                </c:pt>
                <c:pt idx="74">
                  <c:v>0.86924871266921189</c:v>
                </c:pt>
                <c:pt idx="75">
                  <c:v>0.85072914348639261</c:v>
                </c:pt>
                <c:pt idx="76">
                  <c:v>0.83383437970660179</c:v>
                </c:pt>
                <c:pt idx="77">
                  <c:v>0.81831887609351994</c:v>
                </c:pt>
                <c:pt idx="78">
                  <c:v>0.80398235120407913</c:v>
                </c:pt>
                <c:pt idx="79">
                  <c:v>0.7906601946781564</c:v>
                </c:pt>
                <c:pt idx="80">
                  <c:v>0.77821615163793834</c:v>
                </c:pt>
                <c:pt idx="81">
                  <c:v>0.76653669311334505</c:v>
                </c:pt>
                <c:pt idx="82">
                  <c:v>0.75552664554189064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578-481E-A762-3CC8732B007A}"/>
            </c:ext>
          </c:extLst>
        </c:ser>
        <c:ser>
          <c:idx val="2"/>
          <c:order val="5"/>
          <c:tx>
            <c:strRef>
              <c:f>RTC!$B$100</c:f>
              <c:strCache>
                <c:ptCount val="1"/>
                <c:pt idx="0">
                  <c:v>M(fn,75% Po,π/2)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RTC!$C$100:$CG$100</c:f>
              <c:numCache>
                <c:formatCode>General</c:formatCode>
                <c:ptCount val="83"/>
                <c:pt idx="0">
                  <c:v>2.1818182439325691E-8</c:v>
                </c:pt>
                <c:pt idx="1">
                  <c:v>1.288386932838223E-3</c:v>
                </c:pt>
                <c:pt idx="2">
                  <c:v>3.294085024357045E-3</c:v>
                </c:pt>
                <c:pt idx="3">
                  <c:v>6.2406824378399874E-3</c:v>
                </c:pt>
                <c:pt idx="4">
                  <c:v>1.0149721903320651E-2</c:v>
                </c:pt>
                <c:pt idx="5">
                  <c:v>1.5050135523851146E-2</c:v>
                </c:pt>
                <c:pt idx="6">
                  <c:v>2.0978762930202923E-2</c:v>
                </c:pt>
                <c:pt idx="7">
                  <c:v>2.7981024024538607E-2</c:v>
                </c:pt>
                <c:pt idx="8">
                  <c:v>3.6111767932241016E-2</c:v>
                </c:pt>
                <c:pt idx="9">
                  <c:v>4.5436326096875805E-2</c:v>
                </c:pt>
                <c:pt idx="10">
                  <c:v>5.6031805097773307E-2</c:v>
                </c:pt>
                <c:pt idx="11">
                  <c:v>6.7988664131966317E-2</c:v>
                </c:pt>
                <c:pt idx="12">
                  <c:v>8.1412633661487821E-2</c:v>
                </c:pt>
                <c:pt idx="13">
                  <c:v>9.6427046070027292E-2</c:v>
                </c:pt>
                <c:pt idx="14">
                  <c:v>0.11317566700622338</c:v>
                </c:pt>
                <c:pt idx="15">
                  <c:v>0.13182613823889974</c:v>
                </c:pt>
                <c:pt idx="16">
                  <c:v>0.15257417021874703</c:v>
                </c:pt>
                <c:pt idx="17">
                  <c:v>0.17564865601082361</c:v>
                </c:pt>
                <c:pt idx="18">
                  <c:v>0.20131791842768321</c:v>
                </c:pt>
                <c:pt idx="19">
                  <c:v>0.22989734881129481</c:v>
                </c:pt>
                <c:pt idx="20">
                  <c:v>0.26175874677386279</c:v>
                </c:pt>
                <c:pt idx="21">
                  <c:v>0.29734171889440625</c:v>
                </c:pt>
                <c:pt idx="22">
                  <c:v>0.33716752587048926</c:v>
                </c:pt>
                <c:pt idx="23">
                  <c:v>0.38185574987982202</c:v>
                </c:pt>
                <c:pt idx="24">
                  <c:v>0.43214402159173204</c:v>
                </c:pt>
                <c:pt idx="25">
                  <c:v>0.48891067008148414</c:v>
                </c:pt>
                <c:pt idx="26">
                  <c:v>0.55319928820362751</c:v>
                </c:pt>
                <c:pt idx="27">
                  <c:v>0.62624236450510695</c:v>
                </c:pt>
                <c:pt idx="28">
                  <c:v>0.70947743818119824</c:v>
                </c:pt>
                <c:pt idx="29">
                  <c:v>0.80454211618310545</c:v>
                </c:pt>
                <c:pt idx="30">
                  <c:v>0.91322115987396435</c:v>
                </c:pt>
                <c:pt idx="31">
                  <c:v>1.0372960664446651</c:v>
                </c:pt>
                <c:pt idx="32">
                  <c:v>1.1782121374140364</c:v>
                </c:pt>
                <c:pt idx="33">
                  <c:v>1.3364349780829283</c:v>
                </c:pt>
                <c:pt idx="34">
                  <c:v>1.510352267256434</c:v>
                </c:pt>
                <c:pt idx="35">
                  <c:v>1.6946933621753784</c:v>
                </c:pt>
                <c:pt idx="36">
                  <c:v>1.8788872930725189</c:v>
                </c:pt>
                <c:pt idx="37">
                  <c:v>2.0466553898913222</c:v>
                </c:pt>
                <c:pt idx="38">
                  <c:v>2.1787661726775807</c:v>
                </c:pt>
                <c:pt idx="39">
                  <c:v>2.2111254628172499</c:v>
                </c:pt>
                <c:pt idx="40">
                  <c:v>2.2733341619235312</c:v>
                </c:pt>
                <c:pt idx="41">
                  <c:v>2.279475815657614</c:v>
                </c:pt>
                <c:pt idx="42">
                  <c:v>2.2390917769355316</c:v>
                </c:pt>
                <c:pt idx="43">
                  <c:v>2.1671764851446018</c:v>
                </c:pt>
                <c:pt idx="44">
                  <c:v>2.0782664827564981</c:v>
                </c:pt>
                <c:pt idx="45">
                  <c:v>1.9833491584035785</c:v>
                </c:pt>
                <c:pt idx="46">
                  <c:v>1.8894370266624958</c:v>
                </c:pt>
                <c:pt idx="47">
                  <c:v>1.8004036122547353</c:v>
                </c:pt>
                <c:pt idx="48">
                  <c:v>1.7180362951962087</c:v>
                </c:pt>
                <c:pt idx="49">
                  <c:v>1.6428800535467103</c:v>
                </c:pt>
                <c:pt idx="50">
                  <c:v>1.5748033751254673</c:v>
                </c:pt>
                <c:pt idx="51">
                  <c:v>1.5133428875947135</c:v>
                </c:pt>
                <c:pt idx="52">
                  <c:v>1.4579001918992971</c:v>
                </c:pt>
                <c:pt idx="53">
                  <c:v>1.4078482374057373</c:v>
                </c:pt>
                <c:pt idx="54">
                  <c:v>1.3625851213657623</c:v>
                </c:pt>
                <c:pt idx="55">
                  <c:v>1.3215584444011077</c:v>
                </c:pt>
                <c:pt idx="56">
                  <c:v>1.2842737446429706</c:v>
                </c:pt>
                <c:pt idx="57">
                  <c:v>1.2502946995621886</c:v>
                </c:pt>
                <c:pt idx="58">
                  <c:v>1.2192393728204127</c:v>
                </c:pt>
                <c:pt idx="59">
                  <c:v>1.1907748312749207</c:v>
                </c:pt>
                <c:pt idx="60">
                  <c:v>1.1646113567059417</c:v>
                </c:pt>
                <c:pt idx="61">
                  <c:v>1.140496864502047</c:v>
                </c:pt>
                <c:pt idx="62">
                  <c:v>1.1182118061628268</c:v>
                </c:pt>
                <c:pt idx="63">
                  <c:v>1.0975646529978911</c:v>
                </c:pt>
                <c:pt idx="64">
                  <c:v>1.0783879659759421</c:v>
                </c:pt>
                <c:pt idx="65">
                  <c:v>1.0605350123336386</c:v>
                </c:pt>
                <c:pt idx="66">
                  <c:v>1.0438768713069297</c:v>
                </c:pt>
                <c:pt idx="67">
                  <c:v>1.0282999668555644</c:v>
                </c:pt>
                <c:pt idx="68">
                  <c:v>1.0137039676399553</c:v>
                </c:pt>
                <c:pt idx="69">
                  <c:v>1</c:v>
                </c:pt>
                <c:pt idx="70">
                  <c:v>0.96719882159524373</c:v>
                </c:pt>
                <c:pt idx="71">
                  <c:v>0.93899617000083535</c:v>
                </c:pt>
                <c:pt idx="72">
                  <c:v>0.91447253396452466</c:v>
                </c:pt>
                <c:pt idx="73">
                  <c:v>0.89293009103359888</c:v>
                </c:pt>
                <c:pt idx="74">
                  <c:v>0.87383107550355499</c:v>
                </c:pt>
                <c:pt idx="75">
                  <c:v>0.85675526471749119</c:v>
                </c:pt>
                <c:pt idx="76">
                  <c:v>0.84137012873404282</c:v>
                </c:pt>
                <c:pt idx="77">
                  <c:v>0.82740951576527788</c:v>
                </c:pt>
                <c:pt idx="78">
                  <c:v>0.81465819096376568</c:v>
                </c:pt>
                <c:pt idx="79">
                  <c:v>0.80294045572863604</c:v>
                </c:pt>
                <c:pt idx="80">
                  <c:v>0.79211165619735791</c:v>
                </c:pt>
                <c:pt idx="81">
                  <c:v>0.78205176741559146</c:v>
                </c:pt>
                <c:pt idx="82">
                  <c:v>0.77266048914876062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578-481E-A762-3CC8732B007A}"/>
            </c:ext>
          </c:extLst>
        </c:ser>
        <c:ser>
          <c:idx val="3"/>
          <c:order val="6"/>
          <c:tx>
            <c:strRef>
              <c:f>RTC!$B$101</c:f>
              <c:strCache>
                <c:ptCount val="1"/>
                <c:pt idx="0">
                  <c:v>M(fn,50% Po,π/2)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RTC!$C$101:$CG$101</c:f>
              <c:numCache>
                <c:formatCode>General</c:formatCode>
                <c:ptCount val="83"/>
                <c:pt idx="0">
                  <c:v>2.1818182479920704E-8</c:v>
                </c:pt>
                <c:pt idx="1">
                  <c:v>1.2885285829841006E-3</c:v>
                </c:pt>
                <c:pt idx="2">
                  <c:v>3.2950119481721194E-3</c:v>
                </c:pt>
                <c:pt idx="3">
                  <c:v>6.2440144033623097E-3</c:v>
                </c:pt>
                <c:pt idx="4">
                  <c:v>1.0158553191859945E-2</c:v>
                </c:pt>
                <c:pt idx="5">
                  <c:v>1.5069602622699301E-2</c:v>
                </c:pt>
                <c:pt idx="6">
                  <c:v>2.1016704876682134E-2</c:v>
                </c:pt>
                <c:pt idx="7">
                  <c:v>2.8048768388947723E-2</c:v>
                </c:pt>
                <c:pt idx="8">
                  <c:v>3.6225083729408081E-2</c:v>
                </c:pt>
                <c:pt idx="9">
                  <c:v>4.5616596356075428E-2</c:v>
                </c:pt>
                <c:pt idx="10">
                  <c:v>5.6307487501055131E-2</c:v>
                </c:pt>
                <c:pt idx="11">
                  <c:v>6.83971296301875E-2</c:v>
                </c:pt>
                <c:pt idx="12">
                  <c:v>8.2002502564154742E-2</c:v>
                </c:pt>
                <c:pt idx="13">
                  <c:v>9.7261182059277002E-2</c:v>
                </c:pt>
                <c:pt idx="14">
                  <c:v>0.11433504662530793</c:v>
                </c:pt>
                <c:pt idx="15">
                  <c:v>0.13341489367348136</c:v>
                </c:pt>
                <c:pt idx="16">
                  <c:v>0.15472621704054584</c:v>
                </c:pt>
                <c:pt idx="17">
                  <c:v>0.17853648058534624</c:v>
                </c:pt>
                <c:pt idx="18">
                  <c:v>0.20516433548851423</c:v>
                </c:pt>
                <c:pt idx="19">
                  <c:v>0.23499138428974772</c:v>
                </c:pt>
                <c:pt idx="20">
                  <c:v>0.26847730985236462</c:v>
                </c:pt>
                <c:pt idx="21">
                  <c:v>0.306179486691594</c:v>
                </c:pt>
                <c:pt idx="22">
                  <c:v>0.34877860915110864</c:v>
                </c:pt>
                <c:pt idx="23">
                  <c:v>0.39711245078414559</c:v>
                </c:pt>
                <c:pt idx="24">
                  <c:v>0.45222066752110879</c:v>
                </c:pt>
                <c:pt idx="25">
                  <c:v>0.51540462938092035</c:v>
                </c:pt>
                <c:pt idx="26">
                  <c:v>0.58830762840615802</c:v>
                </c:pt>
                <c:pt idx="27">
                  <c:v>0.67302232488870162</c:v>
                </c:pt>
                <c:pt idx="28">
                  <c:v>0.77223333712321429</c:v>
                </c:pt>
                <c:pt idx="29">
                  <c:v>0.88940146434470002</c:v>
                </c:pt>
                <c:pt idx="30">
                  <c:v>1.0289864824494519</c:v>
                </c:pt>
                <c:pt idx="31">
                  <c:v>1.1966724314094623</c:v>
                </c:pt>
                <c:pt idx="32">
                  <c:v>1.3994632574174966</c:v>
                </c:pt>
                <c:pt idx="33">
                  <c:v>1.6452628496952004</c:v>
                </c:pt>
                <c:pt idx="34">
                  <c:v>1.9409529095430127</c:v>
                </c:pt>
                <c:pt idx="35">
                  <c:v>2.2868567113323426</c:v>
                </c:pt>
                <c:pt idx="36">
                  <c:v>2.6646897391488631</c:v>
                </c:pt>
                <c:pt idx="37">
                  <c:v>3.0210297534050929</c:v>
                </c:pt>
                <c:pt idx="38">
                  <c:v>3.2681466330811508</c:v>
                </c:pt>
                <c:pt idx="39">
                  <c:v>3.3110252196145509</c:v>
                </c:pt>
                <c:pt idx="40">
                  <c:v>3.3156909367168921</c:v>
                </c:pt>
                <c:pt idx="41">
                  <c:v>3.1654851290358881</c:v>
                </c:pt>
                <c:pt idx="42">
                  <c:v>2.9379147301897293</c:v>
                </c:pt>
                <c:pt idx="43">
                  <c:v>2.6956469422014</c:v>
                </c:pt>
                <c:pt idx="44">
                  <c:v>2.4705166769883409</c:v>
                </c:pt>
                <c:pt idx="45">
                  <c:v>2.2731978578150067</c:v>
                </c:pt>
                <c:pt idx="46">
                  <c:v>2.1043137440172504</c:v>
                </c:pt>
                <c:pt idx="47">
                  <c:v>1.9607997258777863</c:v>
                </c:pt>
                <c:pt idx="48">
                  <c:v>1.8387414801727384</c:v>
                </c:pt>
                <c:pt idx="49">
                  <c:v>1.7344475901781757</c:v>
                </c:pt>
                <c:pt idx="50">
                  <c:v>1.6447671953798582</c:v>
                </c:pt>
                <c:pt idx="51">
                  <c:v>1.5671176092543675</c:v>
                </c:pt>
                <c:pt idx="52">
                  <c:v>1.4994159312519777</c:v>
                </c:pt>
                <c:pt idx="53">
                  <c:v>1.4399901776491046</c:v>
                </c:pt>
                <c:pt idx="54">
                  <c:v>1.3874966034904137</c:v>
                </c:pt>
                <c:pt idx="55">
                  <c:v>1.3408506390314692</c:v>
                </c:pt>
                <c:pt idx="56">
                  <c:v>1.2991717638123261</c:v>
                </c:pt>
                <c:pt idx="57">
                  <c:v>1.2617403838170929</c:v>
                </c:pt>
                <c:pt idx="58">
                  <c:v>1.2279643637936826</c:v>
                </c:pt>
                <c:pt idx="59">
                  <c:v>1.1973530893088902</c:v>
                </c:pt>
                <c:pt idx="60">
                  <c:v>1.1694973196907215</c:v>
                </c:pt>
                <c:pt idx="61">
                  <c:v>1.1440534718277999</c:v>
                </c:pt>
                <c:pt idx="62">
                  <c:v>1.1207312935183062</c:v>
                </c:pt>
                <c:pt idx="63">
                  <c:v>1.0992841366401696</c:v>
                </c:pt>
                <c:pt idx="64">
                  <c:v>1.0795012330280616</c:v>
                </c:pt>
                <c:pt idx="65">
                  <c:v>1.0612015212514392</c:v>
                </c:pt>
                <c:pt idx="66">
                  <c:v>1.0442286814174895</c:v>
                </c:pt>
                <c:pt idx="67">
                  <c:v>1.028447116660097</c:v>
                </c:pt>
                <c:pt idx="68">
                  <c:v>1.0137386810967635</c:v>
                </c:pt>
                <c:pt idx="69">
                  <c:v>1</c:v>
                </c:pt>
                <c:pt idx="70">
                  <c:v>0.96740297287939647</c:v>
                </c:pt>
                <c:pt idx="71">
                  <c:v>0.9397179046098656</c:v>
                </c:pt>
                <c:pt idx="72">
                  <c:v>0.91592461846307416</c:v>
                </c:pt>
                <c:pt idx="73">
                  <c:v>0.89526144065932423</c:v>
                </c:pt>
                <c:pt idx="74">
                  <c:v>0.87714892036287673</c:v>
                </c:pt>
                <c:pt idx="75">
                  <c:v>0.86113889543855549</c:v>
                </c:pt>
                <c:pt idx="76">
                  <c:v>0.84687964305359276</c:v>
                </c:pt>
                <c:pt idx="77">
                  <c:v>0.83409151190731656</c:v>
                </c:pt>
                <c:pt idx="78">
                  <c:v>0.82254954889244947</c:v>
                </c:pt>
                <c:pt idx="79">
                  <c:v>0.81207089395729926</c:v>
                </c:pt>
                <c:pt idx="80">
                  <c:v>0.80250548884949624</c:v>
                </c:pt>
                <c:pt idx="81">
                  <c:v>0.79372912964468822</c:v>
                </c:pt>
                <c:pt idx="82">
                  <c:v>0.78563820355372027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578-481E-A762-3CC8732B007A}"/>
            </c:ext>
          </c:extLst>
        </c:ser>
        <c:ser>
          <c:idx val="5"/>
          <c:order val="7"/>
          <c:tx>
            <c:strRef>
              <c:f>RTC!$B$102</c:f>
              <c:strCache>
                <c:ptCount val="1"/>
                <c:pt idx="0">
                  <c:v>M(fn,25% Po,π/2)</c:v>
                </c:pt>
              </c:strCache>
            </c:strRef>
          </c:tx>
          <c:spPr>
            <a:ln w="19050" cap="rnd">
              <a:solidFill>
                <a:schemeClr val="accent2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RTC!$C$102:$CG$102</c:f>
              <c:numCache>
                <c:formatCode>General</c:formatCode>
                <c:ptCount val="83"/>
                <c:pt idx="0">
                  <c:v>2.1818182504277716E-8</c:v>
                </c:pt>
                <c:pt idx="1">
                  <c:v>1.2886135955008332E-3</c:v>
                </c:pt>
                <c:pt idx="2">
                  <c:v>3.2955684781936466E-3</c:v>
                </c:pt>
                <c:pt idx="3">
                  <c:v>6.2460161462191653E-3</c:v>
                </c:pt>
                <c:pt idx="4">
                  <c:v>1.0163863042965088E-2</c:v>
                </c:pt>
                <c:pt idx="5">
                  <c:v>1.5081319204381372E-2</c:v>
                </c:pt>
                <c:pt idx="6">
                  <c:v>2.1039569098202388E-2</c:v>
                </c:pt>
                <c:pt idx="7">
                  <c:v>2.8089651953662267E-2</c:v>
                </c:pt>
                <c:pt idx="8">
                  <c:v>3.6293587388214997E-2</c:v>
                </c:pt>
                <c:pt idx="9">
                  <c:v>4.5725793918706494E-2</c:v>
                </c:pt>
                <c:pt idx="10">
                  <c:v>5.6474863038622196E-2</c:v>
                </c:pt>
                <c:pt idx="11">
                  <c:v>6.8645771225195648E-2</c:v>
                </c:pt>
                <c:pt idx="12">
                  <c:v>8.2362638290634962E-2</c:v>
                </c:pt>
                <c:pt idx="13">
                  <c:v>9.777217543465197E-2</c:v>
                </c:pt>
                <c:pt idx="14">
                  <c:v>0.11504801381981522</c:v>
                </c:pt>
                <c:pt idx="15">
                  <c:v>0.1343961697659459</c:v>
                </c:pt>
                <c:pt idx="16">
                  <c:v>0.15606199356055589</c:v>
                </c:pt>
                <c:pt idx="17">
                  <c:v>0.18033907712619268</c:v>
                </c:pt>
                <c:pt idx="18">
                  <c:v>0.20758077920643064</c:v>
                </c:pt>
                <c:pt idx="19">
                  <c:v>0.23821529291505833</c:v>
                </c:pt>
                <c:pt idx="20">
                  <c:v>0.27276557284516439</c:v>
                </c:pt>
                <c:pt idx="21">
                  <c:v>0.3118760270307826</c:v>
                </c:pt>
                <c:pt idx="22">
                  <c:v>0.35634877663150372</c:v>
                </c:pt>
                <c:pt idx="23">
                  <c:v>0.40719368317894933</c:v>
                </c:pt>
                <c:pt idx="24">
                  <c:v>0.46569856393000625</c:v>
                </c:pt>
                <c:pt idx="25">
                  <c:v>0.53352962776885804</c:v>
                </c:pt>
                <c:pt idx="26">
                  <c:v>0.61287818547722495</c:v>
                </c:pt>
                <c:pt idx="27">
                  <c:v>0.70667999489874966</c:v>
                </c:pt>
                <c:pt idx="28">
                  <c:v>0.81895174017762684</c:v>
                </c:pt>
                <c:pt idx="29">
                  <c:v>0.95532197886781722</c:v>
                </c:pt>
                <c:pt idx="30">
                  <c:v>1.1238949075668698</c:v>
                </c:pt>
                <c:pt idx="31">
                  <c:v>1.336700784700356</c:v>
                </c:pt>
                <c:pt idx="32">
                  <c:v>1.6122041821848843</c:v>
                </c:pt>
                <c:pt idx="33">
                  <c:v>1.9797167331940804</c:v>
                </c:pt>
                <c:pt idx="34">
                  <c:v>2.4869471935964955</c:v>
                </c:pt>
                <c:pt idx="35">
                  <c:v>3.2103200546599164</c:v>
                </c:pt>
                <c:pt idx="36">
                  <c:v>4.2496371420859802</c:v>
                </c:pt>
                <c:pt idx="37">
                  <c:v>5.5838781280519623</c:v>
                </c:pt>
                <c:pt idx="38">
                  <c:v>6.536264906280671</c:v>
                </c:pt>
                <c:pt idx="39">
                  <c:v>6.5618770904865382</c:v>
                </c:pt>
                <c:pt idx="40">
                  <c:v>5.8283032893166329</c:v>
                </c:pt>
                <c:pt idx="41">
                  <c:v>4.7563696098705019</c:v>
                </c:pt>
                <c:pt idx="42">
                  <c:v>3.9015255964034536</c:v>
                </c:pt>
                <c:pt idx="43">
                  <c:v>3.2890887050132047</c:v>
                </c:pt>
                <c:pt idx="44">
                  <c:v>2.8486465633840918</c:v>
                </c:pt>
                <c:pt idx="45">
                  <c:v>2.5229481085899597</c:v>
                </c:pt>
                <c:pt idx="46">
                  <c:v>2.274741534759305</c:v>
                </c:pt>
                <c:pt idx="47">
                  <c:v>2.0803949878791861</c:v>
                </c:pt>
                <c:pt idx="48">
                  <c:v>1.9246409174621322</c:v>
                </c:pt>
                <c:pt idx="49">
                  <c:v>1.7973280730835068</c:v>
                </c:pt>
                <c:pt idx="50">
                  <c:v>1.6915035214697591</c:v>
                </c:pt>
                <c:pt idx="51">
                  <c:v>1.6022709678425973</c:v>
                </c:pt>
                <c:pt idx="52">
                  <c:v>1.5260949961030321</c:v>
                </c:pt>
                <c:pt idx="53">
                  <c:v>1.4603652308008392</c:v>
                </c:pt>
                <c:pt idx="54">
                  <c:v>1.4031157251568276</c:v>
                </c:pt>
                <c:pt idx="55">
                  <c:v>1.3528395535321116</c:v>
                </c:pt>
                <c:pt idx="56">
                  <c:v>1.3083633497339899</c:v>
                </c:pt>
                <c:pt idx="57">
                  <c:v>1.2687605397323707</c:v>
                </c:pt>
                <c:pt idx="58">
                  <c:v>1.2332901336794484</c:v>
                </c:pt>
                <c:pt idx="59">
                  <c:v>1.2013527629548135</c:v>
                </c:pt>
                <c:pt idx="60">
                  <c:v>1.1724585811910933</c:v>
                </c:pt>
                <c:pt idx="61">
                  <c:v>1.1462034742108889</c:v>
                </c:pt>
                <c:pt idx="62">
                  <c:v>1.1222511850942101</c:v>
                </c:pt>
                <c:pt idx="63">
                  <c:v>1.1003197140231982</c:v>
                </c:pt>
                <c:pt idx="64">
                  <c:v>1.0801708504954202</c:v>
                </c:pt>
                <c:pt idx="65">
                  <c:v>1.0616020302914293</c:v>
                </c:pt>
                <c:pt idx="66">
                  <c:v>1.0444399382984499</c:v>
                </c:pt>
                <c:pt idx="67">
                  <c:v>1.0285354368708968</c:v>
                </c:pt>
                <c:pt idx="68">
                  <c:v>1.0137595108827029</c:v>
                </c:pt>
                <c:pt idx="69">
                  <c:v>1</c:v>
                </c:pt>
                <c:pt idx="70">
                  <c:v>0.96752552571866779</c:v>
                </c:pt>
                <c:pt idx="71">
                  <c:v>0.94015174502363608</c:v>
                </c:pt>
                <c:pt idx="72">
                  <c:v>0.91679919649383013</c:v>
                </c:pt>
                <c:pt idx="73">
                  <c:v>0.89666904621600196</c:v>
                </c:pt>
                <c:pt idx="74">
                  <c:v>0.87915786000048757</c:v>
                </c:pt>
                <c:pt idx="75">
                  <c:v>0.86380159359385156</c:v>
                </c:pt>
                <c:pt idx="76">
                  <c:v>0.85023776125807737</c:v>
                </c:pt>
                <c:pt idx="77">
                  <c:v>0.83817926151400113</c:v>
                </c:pt>
                <c:pt idx="78">
                  <c:v>0.82739587966145289</c:v>
                </c:pt>
                <c:pt idx="79">
                  <c:v>0.81770096634061051</c:v>
                </c:pt>
                <c:pt idx="80">
                  <c:v>0.80894168016618251</c:v>
                </c:pt>
                <c:pt idx="81">
                  <c:v>0.80099173123418488</c:v>
                </c:pt>
                <c:pt idx="82">
                  <c:v>0.79374590961510494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578-481E-A762-3CC8732B007A}"/>
            </c:ext>
          </c:extLst>
        </c:ser>
        <c:ser>
          <c:idx val="6"/>
          <c:order val="8"/>
          <c:tx>
            <c:strRef>
              <c:f>RTC!$B$108</c:f>
              <c:strCache>
                <c:ptCount val="1"/>
                <c:pt idx="0">
                  <c:v>M(fn,100% Po,π/4)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RTC!$C$108:$CG$108</c:f>
              <c:numCache>
                <c:formatCode>General</c:formatCode>
                <c:ptCount val="83"/>
                <c:pt idx="0">
                  <c:v>2.1818182479920704E-8</c:v>
                </c:pt>
                <c:pt idx="1">
                  <c:v>1.2885285829841006E-3</c:v>
                </c:pt>
                <c:pt idx="2">
                  <c:v>3.2950119481721194E-3</c:v>
                </c:pt>
                <c:pt idx="3">
                  <c:v>6.2440144033623097E-3</c:v>
                </c:pt>
                <c:pt idx="4">
                  <c:v>1.0158553191859945E-2</c:v>
                </c:pt>
                <c:pt idx="5">
                  <c:v>1.5069602622699301E-2</c:v>
                </c:pt>
                <c:pt idx="6">
                  <c:v>2.1016704876682134E-2</c:v>
                </c:pt>
                <c:pt idx="7">
                  <c:v>2.8048768388947723E-2</c:v>
                </c:pt>
                <c:pt idx="8">
                  <c:v>3.6225083729408088E-2</c:v>
                </c:pt>
                <c:pt idx="9">
                  <c:v>4.5616596356075428E-2</c:v>
                </c:pt>
                <c:pt idx="10">
                  <c:v>5.6307487501055131E-2</c:v>
                </c:pt>
                <c:pt idx="11">
                  <c:v>6.83971296301875E-2</c:v>
                </c:pt>
                <c:pt idx="12">
                  <c:v>8.2002502564154742E-2</c:v>
                </c:pt>
                <c:pt idx="13">
                  <c:v>9.7261182059277002E-2</c:v>
                </c:pt>
                <c:pt idx="14">
                  <c:v>0.11433504662530793</c:v>
                </c:pt>
                <c:pt idx="15">
                  <c:v>0.13341489367348136</c:v>
                </c:pt>
                <c:pt idx="16">
                  <c:v>0.15472621704054584</c:v>
                </c:pt>
                <c:pt idx="17">
                  <c:v>0.17853648058534624</c:v>
                </c:pt>
                <c:pt idx="18">
                  <c:v>0.20516433548851423</c:v>
                </c:pt>
                <c:pt idx="19">
                  <c:v>0.23499138428974772</c:v>
                </c:pt>
                <c:pt idx="20">
                  <c:v>0.26847730985236462</c:v>
                </c:pt>
                <c:pt idx="21">
                  <c:v>0.30617948669159406</c:v>
                </c:pt>
                <c:pt idx="22">
                  <c:v>0.34877860915110864</c:v>
                </c:pt>
                <c:pt idx="23">
                  <c:v>0.39711245078414564</c:v>
                </c:pt>
                <c:pt idx="24">
                  <c:v>0.45222066752110879</c:v>
                </c:pt>
                <c:pt idx="25">
                  <c:v>0.51540462938092035</c:v>
                </c:pt>
                <c:pt idx="26">
                  <c:v>0.58830762840615813</c:v>
                </c:pt>
                <c:pt idx="27">
                  <c:v>0.67302232488870162</c:v>
                </c:pt>
                <c:pt idx="28">
                  <c:v>0.77223333712321429</c:v>
                </c:pt>
                <c:pt idx="29">
                  <c:v>0.88940146434470002</c:v>
                </c:pt>
                <c:pt idx="30">
                  <c:v>1.0289864824494521</c:v>
                </c:pt>
                <c:pt idx="31">
                  <c:v>1.1966724314094623</c:v>
                </c:pt>
                <c:pt idx="32">
                  <c:v>1.3994632574174968</c:v>
                </c:pt>
                <c:pt idx="33">
                  <c:v>1.6452628496952006</c:v>
                </c:pt>
                <c:pt idx="34">
                  <c:v>1.9409529095430136</c:v>
                </c:pt>
                <c:pt idx="35">
                  <c:v>2.286856711332343</c:v>
                </c:pt>
                <c:pt idx="36">
                  <c:v>2.664689739148864</c:v>
                </c:pt>
                <c:pt idx="37">
                  <c:v>3.0210297534050943</c:v>
                </c:pt>
                <c:pt idx="38">
                  <c:v>3.2681466330811526</c:v>
                </c:pt>
                <c:pt idx="39">
                  <c:v>3.3110252196145522</c:v>
                </c:pt>
                <c:pt idx="40">
                  <c:v>3.3156909367168934</c:v>
                </c:pt>
                <c:pt idx="41">
                  <c:v>3.165485129035889</c:v>
                </c:pt>
                <c:pt idx="42">
                  <c:v>2.9379147301897302</c:v>
                </c:pt>
                <c:pt idx="43">
                  <c:v>2.6956469422014004</c:v>
                </c:pt>
                <c:pt idx="44">
                  <c:v>2.4705166769883413</c:v>
                </c:pt>
                <c:pt idx="45">
                  <c:v>2.2731978578150067</c:v>
                </c:pt>
                <c:pt idx="46">
                  <c:v>2.1043137440172504</c:v>
                </c:pt>
                <c:pt idx="47">
                  <c:v>1.9607997258777867</c:v>
                </c:pt>
                <c:pt idx="48">
                  <c:v>1.8387414801727384</c:v>
                </c:pt>
                <c:pt idx="49">
                  <c:v>1.7344475901781762</c:v>
                </c:pt>
                <c:pt idx="50">
                  <c:v>1.6447671953798582</c:v>
                </c:pt>
                <c:pt idx="51">
                  <c:v>1.5671176092543677</c:v>
                </c:pt>
                <c:pt idx="52">
                  <c:v>1.4994159312519777</c:v>
                </c:pt>
                <c:pt idx="53">
                  <c:v>1.4399901776491046</c:v>
                </c:pt>
                <c:pt idx="54">
                  <c:v>1.3874966034904137</c:v>
                </c:pt>
                <c:pt idx="55">
                  <c:v>1.3408506390314692</c:v>
                </c:pt>
                <c:pt idx="56">
                  <c:v>1.2991717638123261</c:v>
                </c:pt>
                <c:pt idx="57">
                  <c:v>1.2617403838170929</c:v>
                </c:pt>
                <c:pt idx="58">
                  <c:v>1.2279643637936826</c:v>
                </c:pt>
                <c:pt idx="59">
                  <c:v>1.1973530893088902</c:v>
                </c:pt>
                <c:pt idx="60">
                  <c:v>1.1694973196907215</c:v>
                </c:pt>
                <c:pt idx="61">
                  <c:v>1.1440534718277999</c:v>
                </c:pt>
                <c:pt idx="62">
                  <c:v>1.1207312935183062</c:v>
                </c:pt>
                <c:pt idx="63">
                  <c:v>1.0992841366401696</c:v>
                </c:pt>
                <c:pt idx="64">
                  <c:v>1.0795012330280616</c:v>
                </c:pt>
                <c:pt idx="65">
                  <c:v>1.0612015212514392</c:v>
                </c:pt>
                <c:pt idx="66">
                  <c:v>1.0442286814174895</c:v>
                </c:pt>
                <c:pt idx="67">
                  <c:v>1.028447116660097</c:v>
                </c:pt>
                <c:pt idx="68">
                  <c:v>1.0137386810967635</c:v>
                </c:pt>
                <c:pt idx="69">
                  <c:v>1</c:v>
                </c:pt>
                <c:pt idx="70">
                  <c:v>0.96740297287939647</c:v>
                </c:pt>
                <c:pt idx="71">
                  <c:v>0.9397179046098656</c:v>
                </c:pt>
                <c:pt idx="72">
                  <c:v>0.91592461846307416</c:v>
                </c:pt>
                <c:pt idx="73">
                  <c:v>0.89526144065932423</c:v>
                </c:pt>
                <c:pt idx="74">
                  <c:v>0.87714892036287673</c:v>
                </c:pt>
                <c:pt idx="75">
                  <c:v>0.86113889543855549</c:v>
                </c:pt>
                <c:pt idx="76">
                  <c:v>0.84687964305359276</c:v>
                </c:pt>
                <c:pt idx="77">
                  <c:v>0.83409151190731656</c:v>
                </c:pt>
                <c:pt idx="78">
                  <c:v>0.82254954889244947</c:v>
                </c:pt>
                <c:pt idx="79">
                  <c:v>0.81207089395729926</c:v>
                </c:pt>
                <c:pt idx="80">
                  <c:v>0.80250548884949624</c:v>
                </c:pt>
                <c:pt idx="81">
                  <c:v>0.79372912964468822</c:v>
                </c:pt>
                <c:pt idx="82">
                  <c:v>0.78563820355372038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5578-481E-A762-3CC8732B007A}"/>
            </c:ext>
          </c:extLst>
        </c:ser>
        <c:ser>
          <c:idx val="9"/>
          <c:order val="9"/>
          <c:tx>
            <c:strRef>
              <c:f>RTC!$B$109</c:f>
              <c:strCache>
                <c:ptCount val="1"/>
                <c:pt idx="0">
                  <c:v>M(fn,75% Po,π/4)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RTC!$C$109:$CG$109</c:f>
              <c:numCache>
                <c:formatCode>General</c:formatCode>
                <c:ptCount val="83"/>
                <c:pt idx="0">
                  <c:v>2.1818182494128961E-8</c:v>
                </c:pt>
                <c:pt idx="1">
                  <c:v>1.288578171574027E-3</c:v>
                </c:pt>
                <c:pt idx="2">
                  <c:v>3.2953365564165381E-3</c:v>
                </c:pt>
                <c:pt idx="3">
                  <c:v>6.2451818527583169E-3</c:v>
                </c:pt>
                <c:pt idx="4">
                  <c:v>1.0161649593314151E-2</c:v>
                </c:pt>
                <c:pt idx="5">
                  <c:v>1.5076433975065679E-2</c:v>
                </c:pt>
                <c:pt idx="6">
                  <c:v>2.1030033274098695E-2</c:v>
                </c:pt>
                <c:pt idx="7">
                  <c:v>2.8072595420429815E-2</c:v>
                </c:pt>
                <c:pt idx="8">
                  <c:v>3.6264996999625973E-2</c:v>
                </c:pt>
                <c:pt idx="9">
                  <c:v>4.5680199715147266E-2</c:v>
                </c:pt>
                <c:pt idx="10">
                  <c:v>5.640494203549281E-2</c:v>
                </c:pt>
                <c:pt idx="11">
                  <c:v>6.854184145450834E-2</c:v>
                </c:pt>
                <c:pt idx="12">
                  <c:v>8.2212006016100361E-2</c:v>
                </c:pt>
                <c:pt idx="13">
                  <c:v>9.7558284599454398E-2</c:v>
                </c:pt>
                <c:pt idx="14">
                  <c:v>0.11474932690509751</c:v>
                </c:pt>
                <c:pt idx="15">
                  <c:v>0.13398468039047992</c:v>
                </c:pt>
                <c:pt idx="16">
                  <c:v>0.15550122875600239</c:v>
                </c:pt>
                <c:pt idx="17">
                  <c:v>0.17958138403859605</c:v>
                </c:pt>
                <c:pt idx="18">
                  <c:v>0.20656359537070312</c:v>
                </c:pt>
                <c:pt idx="19">
                  <c:v>0.23685595218794511</c:v>
                </c:pt>
                <c:pt idx="20">
                  <c:v>0.27095396878595501</c:v>
                </c:pt>
                <c:pt idx="21">
                  <c:v>0.30946408779780116</c:v>
                </c:pt>
                <c:pt idx="22">
                  <c:v>0.35313510574261586</c:v>
                </c:pt>
                <c:pt idx="23">
                  <c:v>0.40290071951848322</c:v>
                </c:pt>
                <c:pt idx="24">
                  <c:v>0.45993790091907139</c:v>
                </c:pt>
                <c:pt idx="25">
                  <c:v>0.52574811603441041</c:v>
                </c:pt>
                <c:pt idx="26">
                  <c:v>0.60227197223209405</c:v>
                </c:pt>
                <c:pt idx="27">
                  <c:v>0.69205339033255242</c:v>
                </c:pt>
                <c:pt idx="28">
                  <c:v>0.79847783432444808</c:v>
                </c:pt>
                <c:pt idx="29">
                  <c:v>0.92612151818432153</c:v>
                </c:pt>
                <c:pt idx="30">
                  <c:v>1.0812646200199973</c:v>
                </c:pt>
                <c:pt idx="31">
                  <c:v>1.2726343216532146</c:v>
                </c:pt>
                <c:pt idx="32">
                  <c:v>1.5124180898398729</c:v>
                </c:pt>
                <c:pt idx="33">
                  <c:v>1.8173855912326224</c:v>
                </c:pt>
                <c:pt idx="34">
                  <c:v>2.2090801713925834</c:v>
                </c:pt>
                <c:pt idx="35">
                  <c:v>2.7089090039799784</c:v>
                </c:pt>
                <c:pt idx="36">
                  <c:v>3.3153045546675202</c:v>
                </c:pt>
                <c:pt idx="37">
                  <c:v>3.9416922154280147</c:v>
                </c:pt>
                <c:pt idx="38">
                  <c:v>4.357523942376635</c:v>
                </c:pt>
                <c:pt idx="39">
                  <c:v>4.4041940885742372</c:v>
                </c:pt>
                <c:pt idx="40">
                  <c:v>4.2612033432527046</c:v>
                </c:pt>
                <c:pt idx="41">
                  <c:v>3.8527942441394005</c:v>
                </c:pt>
                <c:pt idx="42">
                  <c:v>3.3982236476184218</c:v>
                </c:pt>
                <c:pt idx="43">
                  <c:v>2.9979567124083721</c:v>
                </c:pt>
                <c:pt idx="44">
                  <c:v>2.6711570417583141</c:v>
                </c:pt>
                <c:pt idx="45">
                  <c:v>2.4092786879197372</c:v>
                </c:pt>
                <c:pt idx="46">
                  <c:v>2.1988449901644733</c:v>
                </c:pt>
                <c:pt idx="47">
                  <c:v>2.0279628274312711</c:v>
                </c:pt>
                <c:pt idx="48">
                  <c:v>1.8874111529356545</c:v>
                </c:pt>
                <c:pt idx="49">
                  <c:v>1.7703076368044173</c:v>
                </c:pt>
                <c:pt idx="50">
                  <c:v>1.671550850643214</c:v>
                </c:pt>
                <c:pt idx="51">
                  <c:v>1.5873385715548483</c:v>
                </c:pt>
                <c:pt idx="52">
                  <c:v>1.5148067641068692</c:v>
                </c:pt>
                <c:pt idx="53">
                  <c:v>1.4517710548787346</c:v>
                </c:pt>
                <c:pt idx="54">
                  <c:v>1.396543915521502</c:v>
                </c:pt>
                <c:pt idx="55">
                  <c:v>1.3478052167776442</c:v>
                </c:pt>
                <c:pt idx="56">
                  <c:v>1.3045098739697338</c:v>
                </c:pt>
                <c:pt idx="57">
                  <c:v>1.2658212630462244</c:v>
                </c:pt>
                <c:pt idx="58">
                  <c:v>1.2310626548488726</c:v>
                </c:pt>
                <c:pt idx="59">
                  <c:v>1.1996813670832631</c:v>
                </c:pt>
                <c:pt idx="60">
                  <c:v>1.1712219910308832</c:v>
                </c:pt>
                <c:pt idx="61">
                  <c:v>1.1453061677974472</c:v>
                </c:pt>
                <c:pt idx="62">
                  <c:v>1.1216171458202568</c:v>
                </c:pt>
                <c:pt idx="63">
                  <c:v>1.099887867894062</c:v>
                </c:pt>
                <c:pt idx="64">
                  <c:v>1.0798916918159434</c:v>
                </c:pt>
                <c:pt idx="65">
                  <c:v>1.0614350964231427</c:v>
                </c:pt>
                <c:pt idx="66">
                  <c:v>1.044351899017198</c:v>
                </c:pt>
                <c:pt idx="67">
                  <c:v>1.0284986340178952</c:v>
                </c:pt>
                <c:pt idx="68">
                  <c:v>1.0137508316491879</c:v>
                </c:pt>
                <c:pt idx="69">
                  <c:v>1</c:v>
                </c:pt>
                <c:pt idx="70">
                  <c:v>0.96747445637564</c:v>
                </c:pt>
                <c:pt idx="71">
                  <c:v>0.93997090517379822</c:v>
                </c:pt>
                <c:pt idx="72">
                  <c:v>0.91643448462322241</c:v>
                </c:pt>
                <c:pt idx="73">
                  <c:v>0.89608173747900699</c:v>
                </c:pt>
                <c:pt idx="74">
                  <c:v>0.87831912572601833</c:v>
                </c:pt>
                <c:pt idx="75">
                  <c:v>0.86268913767983724</c:v>
                </c:pt>
                <c:pt idx="76">
                  <c:v>0.84883369753987159</c:v>
                </c:pt>
                <c:pt idx="77">
                  <c:v>0.83646874159239104</c:v>
                </c:pt>
                <c:pt idx="78">
                  <c:v>0.82536618708574605</c:v>
                </c:pt>
                <c:pt idx="79">
                  <c:v>0.81534090763548017</c:v>
                </c:pt>
                <c:pt idx="80">
                  <c:v>0.8062411688648321</c:v>
                </c:pt>
                <c:pt idx="81">
                  <c:v>0.79794149979871642</c:v>
                </c:pt>
                <c:pt idx="82">
                  <c:v>0.79033730753739839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5578-481E-A762-3CC8732B007A}"/>
            </c:ext>
          </c:extLst>
        </c:ser>
        <c:ser>
          <c:idx val="10"/>
          <c:order val="10"/>
          <c:tx>
            <c:strRef>
              <c:f>RTC!$B$110</c:f>
              <c:strCache>
                <c:ptCount val="1"/>
                <c:pt idx="0">
                  <c:v>M(fn,50% Po,π/4)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RTC!$C$110:$CG$110</c:f>
              <c:numCache>
                <c:formatCode>General</c:formatCode>
                <c:ptCount val="83"/>
                <c:pt idx="0">
                  <c:v>2.1818182504277716E-8</c:v>
                </c:pt>
                <c:pt idx="1">
                  <c:v>1.2886135955008332E-3</c:v>
                </c:pt>
                <c:pt idx="2">
                  <c:v>3.2955684781936466E-3</c:v>
                </c:pt>
                <c:pt idx="3">
                  <c:v>6.2460161462191653E-3</c:v>
                </c:pt>
                <c:pt idx="4">
                  <c:v>1.0163863042965088E-2</c:v>
                </c:pt>
                <c:pt idx="5">
                  <c:v>1.5081319204381372E-2</c:v>
                </c:pt>
                <c:pt idx="6">
                  <c:v>2.1039569098202388E-2</c:v>
                </c:pt>
                <c:pt idx="7">
                  <c:v>2.8089651953662267E-2</c:v>
                </c:pt>
                <c:pt idx="8">
                  <c:v>3.6293587388214997E-2</c:v>
                </c:pt>
                <c:pt idx="9">
                  <c:v>4.5725793918706494E-2</c:v>
                </c:pt>
                <c:pt idx="10">
                  <c:v>5.647486303862221E-2</c:v>
                </c:pt>
                <c:pt idx="11">
                  <c:v>6.8645771225195648E-2</c:v>
                </c:pt>
                <c:pt idx="12">
                  <c:v>8.2362638290634962E-2</c:v>
                </c:pt>
                <c:pt idx="13">
                  <c:v>9.777217543465197E-2</c:v>
                </c:pt>
                <c:pt idx="14">
                  <c:v>0.11504801381981522</c:v>
                </c:pt>
                <c:pt idx="15">
                  <c:v>0.1343961697659459</c:v>
                </c:pt>
                <c:pt idx="16">
                  <c:v>0.15606199356055589</c:v>
                </c:pt>
                <c:pt idx="17">
                  <c:v>0.18033907712619268</c:v>
                </c:pt>
                <c:pt idx="18">
                  <c:v>0.20758077920643064</c:v>
                </c:pt>
                <c:pt idx="19">
                  <c:v>0.23821529291505833</c:v>
                </c:pt>
                <c:pt idx="20">
                  <c:v>0.27276557284516439</c:v>
                </c:pt>
                <c:pt idx="21">
                  <c:v>0.3118760270307826</c:v>
                </c:pt>
                <c:pt idx="22">
                  <c:v>0.35634877663150372</c:v>
                </c:pt>
                <c:pt idx="23">
                  <c:v>0.40719368317894933</c:v>
                </c:pt>
                <c:pt idx="24">
                  <c:v>0.46569856393000625</c:v>
                </c:pt>
                <c:pt idx="25">
                  <c:v>0.53352962776885804</c:v>
                </c:pt>
                <c:pt idx="26">
                  <c:v>0.61287818547722495</c:v>
                </c:pt>
                <c:pt idx="27">
                  <c:v>0.70667999489874977</c:v>
                </c:pt>
                <c:pt idx="28">
                  <c:v>0.81895174017762684</c:v>
                </c:pt>
                <c:pt idx="29">
                  <c:v>0.95532197886781722</c:v>
                </c:pt>
                <c:pt idx="30">
                  <c:v>1.1238949075668698</c:v>
                </c:pt>
                <c:pt idx="31">
                  <c:v>1.336700784700356</c:v>
                </c:pt>
                <c:pt idx="32">
                  <c:v>1.6122041821848843</c:v>
                </c:pt>
                <c:pt idx="33">
                  <c:v>1.9797167331940804</c:v>
                </c:pt>
                <c:pt idx="34">
                  <c:v>2.4869471935964955</c:v>
                </c:pt>
                <c:pt idx="35">
                  <c:v>3.2103200546599169</c:v>
                </c:pt>
                <c:pt idx="36">
                  <c:v>4.2496371420859811</c:v>
                </c:pt>
                <c:pt idx="37">
                  <c:v>5.5838781280519632</c:v>
                </c:pt>
                <c:pt idx="38">
                  <c:v>6.5362649062806746</c:v>
                </c:pt>
                <c:pt idx="39">
                  <c:v>6.56187709048654</c:v>
                </c:pt>
                <c:pt idx="40">
                  <c:v>5.8283032893166347</c:v>
                </c:pt>
                <c:pt idx="41">
                  <c:v>4.7563696098705019</c:v>
                </c:pt>
                <c:pt idx="42">
                  <c:v>3.9015255964034536</c:v>
                </c:pt>
                <c:pt idx="43">
                  <c:v>3.2890887050132047</c:v>
                </c:pt>
                <c:pt idx="44">
                  <c:v>2.8486465633840918</c:v>
                </c:pt>
                <c:pt idx="45">
                  <c:v>2.5229481085899601</c:v>
                </c:pt>
                <c:pt idx="46">
                  <c:v>2.274741534759305</c:v>
                </c:pt>
                <c:pt idx="47">
                  <c:v>2.0803949878791861</c:v>
                </c:pt>
                <c:pt idx="48">
                  <c:v>1.9246409174621322</c:v>
                </c:pt>
                <c:pt idx="49">
                  <c:v>1.7973280730835068</c:v>
                </c:pt>
                <c:pt idx="50">
                  <c:v>1.6915035214697591</c:v>
                </c:pt>
                <c:pt idx="51">
                  <c:v>1.6022709678425973</c:v>
                </c:pt>
                <c:pt idx="52">
                  <c:v>1.5260949961030321</c:v>
                </c:pt>
                <c:pt idx="53">
                  <c:v>1.4603652308008392</c:v>
                </c:pt>
                <c:pt idx="54">
                  <c:v>1.4031157251568276</c:v>
                </c:pt>
                <c:pt idx="55">
                  <c:v>1.3528395535321116</c:v>
                </c:pt>
                <c:pt idx="56">
                  <c:v>1.3083633497339899</c:v>
                </c:pt>
                <c:pt idx="57">
                  <c:v>1.2687605397323707</c:v>
                </c:pt>
                <c:pt idx="58">
                  <c:v>1.2332901336794484</c:v>
                </c:pt>
                <c:pt idx="59">
                  <c:v>1.2013527629548135</c:v>
                </c:pt>
                <c:pt idx="60">
                  <c:v>1.1724585811910933</c:v>
                </c:pt>
                <c:pt idx="61">
                  <c:v>1.1462034742108889</c:v>
                </c:pt>
                <c:pt idx="62">
                  <c:v>1.1222511850942101</c:v>
                </c:pt>
                <c:pt idx="63">
                  <c:v>1.1003197140231982</c:v>
                </c:pt>
                <c:pt idx="64">
                  <c:v>1.0801708504954202</c:v>
                </c:pt>
                <c:pt idx="65">
                  <c:v>1.0616020302914293</c:v>
                </c:pt>
                <c:pt idx="66">
                  <c:v>1.0444399382984499</c:v>
                </c:pt>
                <c:pt idx="67">
                  <c:v>1.0285354368708968</c:v>
                </c:pt>
                <c:pt idx="68">
                  <c:v>1.0137595108827029</c:v>
                </c:pt>
                <c:pt idx="69">
                  <c:v>1</c:v>
                </c:pt>
                <c:pt idx="70">
                  <c:v>0.96752552571866779</c:v>
                </c:pt>
                <c:pt idx="71">
                  <c:v>0.94015174502363608</c:v>
                </c:pt>
                <c:pt idx="72">
                  <c:v>0.91679919649383013</c:v>
                </c:pt>
                <c:pt idx="73">
                  <c:v>0.89666904621600196</c:v>
                </c:pt>
                <c:pt idx="74">
                  <c:v>0.87915786000048757</c:v>
                </c:pt>
                <c:pt idx="75">
                  <c:v>0.86380159359385156</c:v>
                </c:pt>
                <c:pt idx="76">
                  <c:v>0.85023776125807737</c:v>
                </c:pt>
                <c:pt idx="77">
                  <c:v>0.83817926151400113</c:v>
                </c:pt>
                <c:pt idx="78">
                  <c:v>0.82739587966145289</c:v>
                </c:pt>
                <c:pt idx="79">
                  <c:v>0.81770096634061051</c:v>
                </c:pt>
                <c:pt idx="80">
                  <c:v>0.80894168016618251</c:v>
                </c:pt>
                <c:pt idx="81">
                  <c:v>0.80099173123418488</c:v>
                </c:pt>
                <c:pt idx="82">
                  <c:v>0.79374590961510494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5578-481E-A762-3CC8732B007A}"/>
            </c:ext>
          </c:extLst>
        </c:ser>
        <c:ser>
          <c:idx val="11"/>
          <c:order val="11"/>
          <c:tx>
            <c:strRef>
              <c:f>RTC!$B$111</c:f>
              <c:strCache>
                <c:ptCount val="1"/>
                <c:pt idx="0">
                  <c:v>M(fn,25% Po,π/4)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xVal>
            <c:numRef>
              <c:f>RTC!$C$25:$CG$25</c:f>
              <c:numCache>
                <c:formatCode>General</c:formatCode>
                <c:ptCount val="83"/>
                <c:pt idx="0">
                  <c:v>1E-4</c:v>
                </c:pt>
                <c:pt idx="1">
                  <c:v>2.4280026523417007E-2</c:v>
                </c:pt>
                <c:pt idx="2">
                  <c:v>3.8772780146605415E-2</c:v>
                </c:pt>
                <c:pt idx="3">
                  <c:v>5.3265533769793823E-2</c:v>
                </c:pt>
                <c:pt idx="4">
                  <c:v>6.775828739298223E-2</c:v>
                </c:pt>
                <c:pt idx="5">
                  <c:v>8.2251041016170631E-2</c:v>
                </c:pt>
                <c:pt idx="6">
                  <c:v>9.6743794639359032E-2</c:v>
                </c:pt>
                <c:pt idx="7">
                  <c:v>0.11123654826254743</c:v>
                </c:pt>
                <c:pt idx="8">
                  <c:v>0.12572930188573583</c:v>
                </c:pt>
                <c:pt idx="9">
                  <c:v>0.14022205550892425</c:v>
                </c:pt>
                <c:pt idx="10">
                  <c:v>0.15471480913211266</c:v>
                </c:pt>
                <c:pt idx="11">
                  <c:v>0.16920756275530108</c:v>
                </c:pt>
                <c:pt idx="12">
                  <c:v>0.18370031637848949</c:v>
                </c:pt>
                <c:pt idx="13">
                  <c:v>0.19819307000167791</c:v>
                </c:pt>
                <c:pt idx="14">
                  <c:v>0.21268582362486632</c:v>
                </c:pt>
                <c:pt idx="15">
                  <c:v>0.22717857724805474</c:v>
                </c:pt>
                <c:pt idx="16">
                  <c:v>0.24167133087124315</c:v>
                </c:pt>
                <c:pt idx="17">
                  <c:v>0.25616408449443157</c:v>
                </c:pt>
                <c:pt idx="18">
                  <c:v>0.27065683811761998</c:v>
                </c:pt>
                <c:pt idx="19">
                  <c:v>0.28514959174080839</c:v>
                </c:pt>
                <c:pt idx="20">
                  <c:v>0.29964234536399681</c:v>
                </c:pt>
                <c:pt idx="21">
                  <c:v>0.31413509898718522</c:v>
                </c:pt>
                <c:pt idx="22">
                  <c:v>0.32862785261037364</c:v>
                </c:pt>
                <c:pt idx="23">
                  <c:v>0.34312060623356205</c:v>
                </c:pt>
                <c:pt idx="24">
                  <c:v>0.35761335985675047</c:v>
                </c:pt>
                <c:pt idx="25">
                  <c:v>0.37210611347993888</c:v>
                </c:pt>
                <c:pt idx="26">
                  <c:v>0.3865988671031273</c:v>
                </c:pt>
                <c:pt idx="27">
                  <c:v>0.40109162072631571</c:v>
                </c:pt>
                <c:pt idx="28">
                  <c:v>0.41558437434950413</c:v>
                </c:pt>
                <c:pt idx="29">
                  <c:v>0.43007712797269254</c:v>
                </c:pt>
                <c:pt idx="30">
                  <c:v>0.44456988159588096</c:v>
                </c:pt>
                <c:pt idx="31">
                  <c:v>0.45906263521906937</c:v>
                </c:pt>
                <c:pt idx="32">
                  <c:v>0.47355538884225779</c:v>
                </c:pt>
                <c:pt idx="33">
                  <c:v>0.4880481424654462</c:v>
                </c:pt>
                <c:pt idx="34">
                  <c:v>0.50254089608863461</c:v>
                </c:pt>
                <c:pt idx="35">
                  <c:v>0.51703364971182297</c:v>
                </c:pt>
                <c:pt idx="36">
                  <c:v>0.53152640333501133</c:v>
                </c:pt>
                <c:pt idx="37">
                  <c:v>0.54601915695819969</c:v>
                </c:pt>
                <c:pt idx="38">
                  <c:v>0.56051191058138805</c:v>
                </c:pt>
                <c:pt idx="39">
                  <c:v>0.56521739130434923</c:v>
                </c:pt>
                <c:pt idx="40">
                  <c:v>0.57971014492753759</c:v>
                </c:pt>
                <c:pt idx="41">
                  <c:v>0.59420289855072594</c:v>
                </c:pt>
                <c:pt idx="42">
                  <c:v>0.6086956521739143</c:v>
                </c:pt>
                <c:pt idx="43">
                  <c:v>0.62318840579710266</c:v>
                </c:pt>
                <c:pt idx="44">
                  <c:v>0.63768115942029102</c:v>
                </c:pt>
                <c:pt idx="45">
                  <c:v>0.65217391304347938</c:v>
                </c:pt>
                <c:pt idx="46">
                  <c:v>0.66666666666666774</c:v>
                </c:pt>
                <c:pt idx="47">
                  <c:v>0.6811594202898561</c:v>
                </c:pt>
                <c:pt idx="48">
                  <c:v>0.69565217391304446</c:v>
                </c:pt>
                <c:pt idx="49">
                  <c:v>0.71014492753623282</c:v>
                </c:pt>
                <c:pt idx="50">
                  <c:v>0.72463768115942118</c:v>
                </c:pt>
                <c:pt idx="51">
                  <c:v>0.73913043478260954</c:v>
                </c:pt>
                <c:pt idx="52">
                  <c:v>0.75362318840579789</c:v>
                </c:pt>
                <c:pt idx="53">
                  <c:v>0.76811594202898625</c:v>
                </c:pt>
                <c:pt idx="54">
                  <c:v>0.78260869565217461</c:v>
                </c:pt>
                <c:pt idx="55">
                  <c:v>0.79710144927536297</c:v>
                </c:pt>
                <c:pt idx="56">
                  <c:v>0.81159420289855133</c:v>
                </c:pt>
                <c:pt idx="57">
                  <c:v>0.82608695652173969</c:v>
                </c:pt>
                <c:pt idx="58">
                  <c:v>0.84057971014492805</c:v>
                </c:pt>
                <c:pt idx="59">
                  <c:v>0.85507246376811641</c:v>
                </c:pt>
                <c:pt idx="60">
                  <c:v>0.86956521739130477</c:v>
                </c:pt>
                <c:pt idx="61">
                  <c:v>0.88405797101449313</c:v>
                </c:pt>
                <c:pt idx="62">
                  <c:v>0.89855072463768149</c:v>
                </c:pt>
                <c:pt idx="63">
                  <c:v>0.91304347826086985</c:v>
                </c:pt>
                <c:pt idx="64">
                  <c:v>0.9275362318840582</c:v>
                </c:pt>
                <c:pt idx="65">
                  <c:v>0.94202898550724656</c:v>
                </c:pt>
                <c:pt idx="66">
                  <c:v>0.95652173913043492</c:v>
                </c:pt>
                <c:pt idx="67">
                  <c:v>0.97101449275362328</c:v>
                </c:pt>
                <c:pt idx="68">
                  <c:v>0.98550724637681164</c:v>
                </c:pt>
                <c:pt idx="69">
                  <c:v>1</c:v>
                </c:pt>
                <c:pt idx="70">
                  <c:v>1.0387046318516557</c:v>
                </c:pt>
                <c:pt idx="71">
                  <c:v>1.0774092637033115</c:v>
                </c:pt>
                <c:pt idx="72">
                  <c:v>1.1161138955549672</c:v>
                </c:pt>
                <c:pt idx="73">
                  <c:v>1.1548185274066229</c:v>
                </c:pt>
                <c:pt idx="74">
                  <c:v>1.1935231592582787</c:v>
                </c:pt>
                <c:pt idx="75">
                  <c:v>1.2322277911099344</c:v>
                </c:pt>
                <c:pt idx="76">
                  <c:v>1.2709324229615901</c:v>
                </c:pt>
                <c:pt idx="77">
                  <c:v>1.3096370548132459</c:v>
                </c:pt>
                <c:pt idx="78">
                  <c:v>1.3483416866649016</c:v>
                </c:pt>
                <c:pt idx="79">
                  <c:v>1.3870463185165574</c:v>
                </c:pt>
                <c:pt idx="80">
                  <c:v>1.4257509503682131</c:v>
                </c:pt>
                <c:pt idx="81">
                  <c:v>1.4644555822198688</c:v>
                </c:pt>
                <c:pt idx="82">
                  <c:v>1.5031602140715246</c:v>
                </c:pt>
              </c:numCache>
            </c:numRef>
          </c:xVal>
          <c:yVal>
            <c:numRef>
              <c:f>RTC!$C$111:$CG$111</c:f>
              <c:numCache>
                <c:formatCode>General</c:formatCode>
                <c:ptCount val="83"/>
                <c:pt idx="0">
                  <c:v>2.1818182510366966E-8</c:v>
                </c:pt>
                <c:pt idx="1">
                  <c:v>1.2886348512592819E-3</c:v>
                </c:pt>
                <c:pt idx="2">
                  <c:v>3.2957076547663338E-3</c:v>
                </c:pt>
                <c:pt idx="3">
                  <c:v>6.2465168828168913E-3</c:v>
                </c:pt>
                <c:pt idx="4">
                  <c:v>1.0165191807242017E-2</c:v>
                </c:pt>
                <c:pt idx="5">
                  <c:v>1.5084252622425465E-2</c:v>
                </c:pt>
                <c:pt idx="6">
                  <c:v>2.1045296822859667E-2</c:v>
                </c:pt>
                <c:pt idx="7">
                  <c:v>2.8099900808883832E-2</c:v>
                </c:pt>
                <c:pt idx="8">
                  <c:v>3.6310774113015254E-2</c:v>
                </c:pt>
                <c:pt idx="9">
                  <c:v>4.5753216060223069E-2</c:v>
                </c:pt>
                <c:pt idx="10">
                  <c:v>5.651694066037502E-2</c:v>
                </c:pt>
                <c:pt idx="11">
                  <c:v>6.8708356474590837E-2</c:v>
                </c:pt>
                <c:pt idx="12">
                  <c:v>8.245341606112816E-2</c:v>
                </c:pt>
                <c:pt idx="13">
                  <c:v>9.7901187193779174E-2</c:v>
                </c:pt>
                <c:pt idx="14">
                  <c:v>0.11522834942108219</c:v>
                </c:pt>
                <c:pt idx="15">
                  <c:v>0.13464489067808946</c:v>
                </c:pt>
                <c:pt idx="16">
                  <c:v>0.15640137850524516</c:v>
                </c:pt>
                <c:pt idx="17">
                  <c:v>0.18079832252130565</c:v>
                </c:pt>
                <c:pt idx="18">
                  <c:v>0.2081983500445049</c:v>
                </c:pt>
                <c:pt idx="19">
                  <c:v>0.23904221799806005</c:v>
                </c:pt>
                <c:pt idx="20">
                  <c:v>0.2738701340767794</c:v>
                </c:pt>
                <c:pt idx="21">
                  <c:v>0.31335054466435652</c:v>
                </c:pt>
                <c:pt idx="22">
                  <c:v>0.35831961032449089</c:v>
                </c:pt>
                <c:pt idx="23">
                  <c:v>0.40983627949521473</c:v>
                </c:pt>
                <c:pt idx="24">
                  <c:v>0.46926062493655119</c:v>
                </c:pt>
                <c:pt idx="25">
                  <c:v>0.53836772348952122</c:v>
                </c:pt>
                <c:pt idx="26">
                  <c:v>0.61951734450923646</c:v>
                </c:pt>
                <c:pt idx="27">
                  <c:v>0.71591402471029431</c:v>
                </c:pt>
                <c:pt idx="28">
                  <c:v>0.83201882091516144</c:v>
                </c:pt>
                <c:pt idx="29">
                  <c:v>0.97422626176868343</c:v>
                </c:pt>
                <c:pt idx="30">
                  <c:v>1.1520277706949573</c:v>
                </c:pt>
                <c:pt idx="31">
                  <c:v>1.3801195101761581</c:v>
                </c:pt>
                <c:pt idx="32">
                  <c:v>1.6824722676826387</c:v>
                </c:pt>
                <c:pt idx="33">
                  <c:v>2.1008248093461006</c:v>
                </c:pt>
                <c:pt idx="34">
                  <c:v>2.7141828103905814</c:v>
                </c:pt>
                <c:pt idx="35">
                  <c:v>3.688982648204016</c:v>
                </c:pt>
                <c:pt idx="36">
                  <c:v>5.4226604572562698</c:v>
                </c:pt>
                <c:pt idx="37">
                  <c:v>8.874334292070964</c:v>
                </c:pt>
                <c:pt idx="38">
                  <c:v>13.072302940891014</c:v>
                </c:pt>
                <c:pt idx="39">
                  <c:v>12.673218577658734</c:v>
                </c:pt>
                <c:pt idx="40">
                  <c:v>8.4340745660325585</c:v>
                </c:pt>
                <c:pt idx="41">
                  <c:v>5.7444694203075599</c:v>
                </c:pt>
                <c:pt idx="42">
                  <c:v>4.3374128318841692</c:v>
                </c:pt>
                <c:pt idx="43">
                  <c:v>3.5105520922385378</c:v>
                </c:pt>
                <c:pt idx="44">
                  <c:v>2.9737766287718053</c:v>
                </c:pt>
                <c:pt idx="45">
                  <c:v>2.5993913032860352</c:v>
                </c:pt>
                <c:pt idx="46">
                  <c:v>2.3242339271319574</c:v>
                </c:pt>
                <c:pt idx="47">
                  <c:v>2.1138760975918665</c:v>
                </c:pt>
                <c:pt idx="48">
                  <c:v>1.9480648411822659</c:v>
                </c:pt>
                <c:pt idx="49">
                  <c:v>1.8141465550045413</c:v>
                </c:pt>
                <c:pt idx="50">
                  <c:v>1.7038236330198682</c:v>
                </c:pt>
                <c:pt idx="51">
                  <c:v>1.6114352549773965</c:v>
                </c:pt>
                <c:pt idx="52">
                  <c:v>1.5329902825925217</c:v>
                </c:pt>
                <c:pt idx="53">
                  <c:v>1.4655955802662384</c:v>
                </c:pt>
                <c:pt idx="54">
                  <c:v>1.4071036247169475</c:v>
                </c:pt>
                <c:pt idx="55">
                  <c:v>1.3558873693313063</c:v>
                </c:pt>
                <c:pt idx="56">
                  <c:v>1.3106918915748877</c:v>
                </c:pt>
                <c:pt idx="57">
                  <c:v>1.2705339644015305</c:v>
                </c:pt>
                <c:pt idx="58">
                  <c:v>1.2346324387746255</c:v>
                </c:pt>
                <c:pt idx="59">
                  <c:v>1.2023589598856741</c:v>
                </c:pt>
                <c:pt idx="60">
                  <c:v>1.1732024180112508</c:v>
                </c:pt>
                <c:pt idx="61">
                  <c:v>1.1467428714483408</c:v>
                </c:pt>
                <c:pt idx="62">
                  <c:v>1.1226321251672753</c:v>
                </c:pt>
                <c:pt idx="63">
                  <c:v>1.100579065987231</c:v>
                </c:pt>
                <c:pt idx="64">
                  <c:v>1.0803384496554489</c:v>
                </c:pt>
                <c:pt idx="65">
                  <c:v>1.0617022284260897</c:v>
                </c:pt>
                <c:pt idx="66">
                  <c:v>1.0444927725557174</c:v>
                </c:pt>
                <c:pt idx="67">
                  <c:v>1.0285575204791526</c:v>
                </c:pt>
                <c:pt idx="68">
                  <c:v>1.013764718529816</c:v>
                </c:pt>
                <c:pt idx="69">
                  <c:v>1</c:v>
                </c:pt>
                <c:pt idx="70">
                  <c:v>0.96755617120665038</c:v>
                </c:pt>
                <c:pt idx="71">
                  <c:v>0.94026029904623565</c:v>
                </c:pt>
                <c:pt idx="72">
                  <c:v>0.91701823273417582</c:v>
                </c:pt>
                <c:pt idx="73">
                  <c:v>0.8970219862467439</c:v>
                </c:pt>
                <c:pt idx="74">
                  <c:v>0.87966225537974407</c:v>
                </c:pt>
                <c:pt idx="75">
                  <c:v>0.86447113643125828</c:v>
                </c:pt>
                <c:pt idx="76">
                  <c:v>0.85108355124523627</c:v>
                </c:pt>
                <c:pt idx="77">
                  <c:v>0.83921062420499215</c:v>
                </c:pt>
                <c:pt idx="78">
                  <c:v>0.8286209063270521</c:v>
                </c:pt>
                <c:pt idx="79">
                  <c:v>0.81912687681877172</c:v>
                </c:pt>
                <c:pt idx="80">
                  <c:v>0.8105750707361854</c:v>
                </c:pt>
                <c:pt idx="81">
                  <c:v>0.80283874636123731</c:v>
                </c:pt>
                <c:pt idx="82">
                  <c:v>0.7958123624178427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5578-481E-A762-3CC8732B0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431"/>
        <c:axId val="1407976511"/>
      </c:scatterChart>
      <c:valAx>
        <c:axId val="1407978431"/>
        <c:scaling>
          <c:orientation val="minMax"/>
          <c:max val="1"/>
          <c:min val="0.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fn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6511"/>
        <c:crosses val="autoZero"/>
        <c:crossBetween val="midCat"/>
        <c:majorUnit val="0.1"/>
      </c:valAx>
      <c:valAx>
        <c:axId val="1407976511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Required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8431"/>
        <c:crossesAt val="0"/>
        <c:crossBetween val="midCat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521611350258314"/>
          <c:y val="0.16914286715838636"/>
          <c:w val="0.26953931350646215"/>
          <c:h val="0.57854358983588083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Variation on half line cycle </a:t>
            </a:r>
          </a:p>
          <a:p>
            <a:pPr>
              <a:defRPr/>
            </a:pPr>
            <a:r>
              <a:rPr lang="en-US"/>
              <a:t>@Vinmin, Vinmax and Vinnom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1"/>
          <c:tx>
            <c:strRef>
              <c:f>RTC!$BF$205</c:f>
              <c:strCache>
                <c:ptCount val="1"/>
                <c:pt idx="0">
                  <c:v>Upper fres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RTC!$BC$206:$BC$218</c:f>
              <c:numCache>
                <c:formatCode>0.00</c:formatCode>
                <c:ptCount val="13"/>
                <c:pt idx="0">
                  <c:v>3.1415926535897931</c:v>
                </c:pt>
                <c:pt idx="1">
                  <c:v>2.879793265790644</c:v>
                </c:pt>
                <c:pt idx="2">
                  <c:v>2.617993877991494</c:v>
                </c:pt>
                <c:pt idx="3">
                  <c:v>2.3561944901923448</c:v>
                </c:pt>
                <c:pt idx="4">
                  <c:v>2.0943951023931953</c:v>
                </c:pt>
                <c:pt idx="5">
                  <c:v>1.8325957145940459</c:v>
                </c:pt>
                <c:pt idx="6">
                  <c:v>1.5707963267948966</c:v>
                </c:pt>
                <c:pt idx="7">
                  <c:v>1.3089969389957472</c:v>
                </c:pt>
                <c:pt idx="8">
                  <c:v>1.0471975511965976</c:v>
                </c:pt>
                <c:pt idx="9">
                  <c:v>0.78539816339744828</c:v>
                </c:pt>
                <c:pt idx="10">
                  <c:v>0.52359877559829882</c:v>
                </c:pt>
                <c:pt idx="11">
                  <c:v>0.26179938779914941</c:v>
                </c:pt>
                <c:pt idx="12">
                  <c:v>0</c:v>
                </c:pt>
              </c:numCache>
            </c:numRef>
          </c:xVal>
          <c:yVal>
            <c:numRef>
              <c:f>RTC!$BF$206:$BF$218</c:f>
              <c:numCache>
                <c:formatCode>0.00</c:formatCode>
                <c:ptCount val="13"/>
                <c:pt idx="0">
                  <c:v>151.7482841316334</c:v>
                </c:pt>
                <c:pt idx="1">
                  <c:v>151.7482841316334</c:v>
                </c:pt>
                <c:pt idx="2">
                  <c:v>151.7482841316334</c:v>
                </c:pt>
                <c:pt idx="3">
                  <c:v>151.7482841316334</c:v>
                </c:pt>
                <c:pt idx="4">
                  <c:v>151.7482841316334</c:v>
                </c:pt>
                <c:pt idx="5">
                  <c:v>151.7482841316334</c:v>
                </c:pt>
                <c:pt idx="6">
                  <c:v>151.7482841316334</c:v>
                </c:pt>
                <c:pt idx="7">
                  <c:v>151.7482841316334</c:v>
                </c:pt>
                <c:pt idx="8">
                  <c:v>151.7482841316334</c:v>
                </c:pt>
                <c:pt idx="9">
                  <c:v>151.7482841316334</c:v>
                </c:pt>
                <c:pt idx="10">
                  <c:v>151.7482841316334</c:v>
                </c:pt>
                <c:pt idx="11">
                  <c:v>151.7482841316334</c:v>
                </c:pt>
                <c:pt idx="12">
                  <c:v>151.7482841316334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744-4135-B8D8-5C043566E9CB}"/>
            </c:ext>
          </c:extLst>
        </c:ser>
        <c:ser>
          <c:idx val="3"/>
          <c:order val="2"/>
          <c:tx>
            <c:strRef>
              <c:f>RTC!$BG$205</c:f>
              <c:strCache>
                <c:ptCount val="1"/>
                <c:pt idx="0">
                  <c:v>Lower fres 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RTC!$BC$206:$BC$218</c:f>
              <c:numCache>
                <c:formatCode>0.00</c:formatCode>
                <c:ptCount val="13"/>
                <c:pt idx="0">
                  <c:v>3.1415926535897931</c:v>
                </c:pt>
                <c:pt idx="1">
                  <c:v>2.879793265790644</c:v>
                </c:pt>
                <c:pt idx="2">
                  <c:v>2.617993877991494</c:v>
                </c:pt>
                <c:pt idx="3">
                  <c:v>2.3561944901923448</c:v>
                </c:pt>
                <c:pt idx="4">
                  <c:v>2.0943951023931953</c:v>
                </c:pt>
                <c:pt idx="5">
                  <c:v>1.8325957145940459</c:v>
                </c:pt>
                <c:pt idx="6">
                  <c:v>1.5707963267948966</c:v>
                </c:pt>
                <c:pt idx="7">
                  <c:v>1.3089969389957472</c:v>
                </c:pt>
                <c:pt idx="8">
                  <c:v>1.0471975511965976</c:v>
                </c:pt>
                <c:pt idx="9">
                  <c:v>0.78539816339744828</c:v>
                </c:pt>
                <c:pt idx="10">
                  <c:v>0.52359877559829882</c:v>
                </c:pt>
                <c:pt idx="11">
                  <c:v>0.26179938779914941</c:v>
                </c:pt>
                <c:pt idx="12">
                  <c:v>0</c:v>
                </c:pt>
              </c:numCache>
            </c:numRef>
          </c:xVal>
          <c:yVal>
            <c:numRef>
              <c:f>RTC!$BG$206:$BG$218</c:f>
              <c:numCache>
                <c:formatCode>0.00</c:formatCode>
                <c:ptCount val="13"/>
                <c:pt idx="0">
                  <c:v>85.071895494482334</c:v>
                </c:pt>
                <c:pt idx="1">
                  <c:v>85.071895494482334</c:v>
                </c:pt>
                <c:pt idx="2">
                  <c:v>85.071895494482334</c:v>
                </c:pt>
                <c:pt idx="3">
                  <c:v>85.071895494482334</c:v>
                </c:pt>
                <c:pt idx="4">
                  <c:v>85.071895494482334</c:v>
                </c:pt>
                <c:pt idx="5">
                  <c:v>85.071895494482334</c:v>
                </c:pt>
                <c:pt idx="6">
                  <c:v>85.071895494482334</c:v>
                </c:pt>
                <c:pt idx="7">
                  <c:v>85.071895494482334</c:v>
                </c:pt>
                <c:pt idx="8">
                  <c:v>85.071895494482334</c:v>
                </c:pt>
                <c:pt idx="9">
                  <c:v>85.071895494482334</c:v>
                </c:pt>
                <c:pt idx="10">
                  <c:v>85.071895494482334</c:v>
                </c:pt>
                <c:pt idx="11">
                  <c:v>85.071895494482334</c:v>
                </c:pt>
                <c:pt idx="12">
                  <c:v>85.071895494482334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744-4135-B8D8-5C043566E9CB}"/>
            </c:ext>
          </c:extLst>
        </c:ser>
        <c:ser>
          <c:idx val="4"/>
          <c:order val="3"/>
          <c:tx>
            <c:strRef>
              <c:f>RTC!$BB$156</c:f>
              <c:strCache>
                <c:ptCount val="1"/>
                <c:pt idx="0">
                  <c:v>Vinmin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RTC!$BC$158:$BC$170</c:f>
              <c:numCache>
                <c:formatCode>0.00</c:formatCode>
                <c:ptCount val="13"/>
                <c:pt idx="0">
                  <c:v>3.1415926535897931</c:v>
                </c:pt>
                <c:pt idx="1">
                  <c:v>2.879793265790644</c:v>
                </c:pt>
                <c:pt idx="2">
                  <c:v>2.617993877991494</c:v>
                </c:pt>
                <c:pt idx="3">
                  <c:v>2.3561944901923448</c:v>
                </c:pt>
                <c:pt idx="4">
                  <c:v>2.0943951023931953</c:v>
                </c:pt>
                <c:pt idx="5">
                  <c:v>1.8325957145940459</c:v>
                </c:pt>
                <c:pt idx="6">
                  <c:v>1.5707963267948966</c:v>
                </c:pt>
                <c:pt idx="7">
                  <c:v>1.3089969389957472</c:v>
                </c:pt>
                <c:pt idx="8">
                  <c:v>1.0471975511965976</c:v>
                </c:pt>
                <c:pt idx="9">
                  <c:v>0.78539816339744828</c:v>
                </c:pt>
                <c:pt idx="10">
                  <c:v>0.52359877559829882</c:v>
                </c:pt>
                <c:pt idx="11">
                  <c:v>0.26179938779914941</c:v>
                </c:pt>
                <c:pt idx="12">
                  <c:v>0</c:v>
                </c:pt>
              </c:numCache>
            </c:numRef>
          </c:xVal>
          <c:yVal>
            <c:numRef>
              <c:f>RTC!$BD$158:$BD$170</c:f>
              <c:numCache>
                <c:formatCode>General</c:formatCode>
                <c:ptCount val="13"/>
                <c:pt idx="0" formatCode="0.00">
                  <c:v>85.071895494482334</c:v>
                </c:pt>
                <c:pt idx="1">
                  <c:v>90.452896658554877</c:v>
                </c:pt>
                <c:pt idx="2">
                  <c:v>95.801961726706921</c:v>
                </c:pt>
                <c:pt idx="3">
                  <c:v>100.55806933584952</c:v>
                </c:pt>
                <c:pt idx="4">
                  <c:v>104.54363405125365</c:v>
                </c:pt>
                <c:pt idx="5">
                  <c:v>107.39270385136004</c:v>
                </c:pt>
                <c:pt idx="6">
                  <c:v>108.48953112300353</c:v>
                </c:pt>
                <c:pt idx="7">
                  <c:v>107.39270385136004</c:v>
                </c:pt>
                <c:pt idx="8">
                  <c:v>104.54363405125365</c:v>
                </c:pt>
                <c:pt idx="9">
                  <c:v>100.55806933584952</c:v>
                </c:pt>
                <c:pt idx="10">
                  <c:v>95.801961726706921</c:v>
                </c:pt>
                <c:pt idx="11">
                  <c:v>90.452896658554877</c:v>
                </c:pt>
                <c:pt idx="12" formatCode="0.00">
                  <c:v>85.071895494482334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744-4135-B8D8-5C043566E9CB}"/>
            </c:ext>
          </c:extLst>
        </c:ser>
        <c:ser>
          <c:idx val="5"/>
          <c:order val="4"/>
          <c:tx>
            <c:strRef>
              <c:f>RTC!$BB$204</c:f>
              <c:strCache>
                <c:ptCount val="1"/>
                <c:pt idx="0">
                  <c:v>Vinmax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RTC!$BC$206:$BC$218</c:f>
              <c:numCache>
                <c:formatCode>0.00</c:formatCode>
                <c:ptCount val="13"/>
                <c:pt idx="0">
                  <c:v>3.1415926535897931</c:v>
                </c:pt>
                <c:pt idx="1">
                  <c:v>2.879793265790644</c:v>
                </c:pt>
                <c:pt idx="2">
                  <c:v>2.617993877991494</c:v>
                </c:pt>
                <c:pt idx="3">
                  <c:v>2.3561944901923448</c:v>
                </c:pt>
                <c:pt idx="4">
                  <c:v>2.0943951023931953</c:v>
                </c:pt>
                <c:pt idx="5">
                  <c:v>1.8325957145940459</c:v>
                </c:pt>
                <c:pt idx="6">
                  <c:v>1.5707963267948966</c:v>
                </c:pt>
                <c:pt idx="7">
                  <c:v>1.3089969389957472</c:v>
                </c:pt>
                <c:pt idx="8">
                  <c:v>1.0471975511965976</c:v>
                </c:pt>
                <c:pt idx="9">
                  <c:v>0.78539816339744828</c:v>
                </c:pt>
                <c:pt idx="10">
                  <c:v>0.52359877559829882</c:v>
                </c:pt>
                <c:pt idx="11">
                  <c:v>0.26179938779914941</c:v>
                </c:pt>
                <c:pt idx="12">
                  <c:v>0</c:v>
                </c:pt>
              </c:numCache>
            </c:numRef>
          </c:xVal>
          <c:yVal>
            <c:numRef>
              <c:f>RTC!$BD$206:$BD$218</c:f>
              <c:numCache>
                <c:formatCode>General</c:formatCode>
                <c:ptCount val="13"/>
                <c:pt idx="0" formatCode="0.00">
                  <c:v>85.071895494482334</c:v>
                </c:pt>
                <c:pt idx="1">
                  <c:v>93.86394011245622</c:v>
                </c:pt>
                <c:pt idx="2">
                  <c:v>104.55421405122226</c:v>
                </c:pt>
                <c:pt idx="3">
                  <c:v>117.75404838414873</c:v>
                </c:pt>
                <c:pt idx="4">
                  <c:v>133.06124683601601</c:v>
                </c:pt>
                <c:pt idx="5">
                  <c:v>146.61572787619298</c:v>
                </c:pt>
                <c:pt idx="6">
                  <c:v>152.08936938083821</c:v>
                </c:pt>
                <c:pt idx="7">
                  <c:v>146.61572787619298</c:v>
                </c:pt>
                <c:pt idx="8">
                  <c:v>133.06124683601601</c:v>
                </c:pt>
                <c:pt idx="9">
                  <c:v>117.75404838414873</c:v>
                </c:pt>
                <c:pt idx="10">
                  <c:v>104.55421405122226</c:v>
                </c:pt>
                <c:pt idx="11">
                  <c:v>93.86394011245622</c:v>
                </c:pt>
                <c:pt idx="12" formatCode="0.00">
                  <c:v>85.071895494482334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744-4135-B8D8-5C043566E9CB}"/>
            </c:ext>
          </c:extLst>
        </c:ser>
        <c:ser>
          <c:idx val="0"/>
          <c:order val="5"/>
          <c:tx>
            <c:strRef>
              <c:f>RTC!$BB$180</c:f>
              <c:strCache>
                <c:ptCount val="1"/>
                <c:pt idx="0">
                  <c:v>Vinnom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RTC!$BC$206:$BC$218</c:f>
              <c:numCache>
                <c:formatCode>0.00</c:formatCode>
                <c:ptCount val="13"/>
                <c:pt idx="0">
                  <c:v>3.1415926535897931</c:v>
                </c:pt>
                <c:pt idx="1">
                  <c:v>2.879793265790644</c:v>
                </c:pt>
                <c:pt idx="2">
                  <c:v>2.617993877991494</c:v>
                </c:pt>
                <c:pt idx="3">
                  <c:v>2.3561944901923448</c:v>
                </c:pt>
                <c:pt idx="4">
                  <c:v>2.0943951023931953</c:v>
                </c:pt>
                <c:pt idx="5">
                  <c:v>1.8325957145940459</c:v>
                </c:pt>
                <c:pt idx="6">
                  <c:v>1.5707963267948966</c:v>
                </c:pt>
                <c:pt idx="7">
                  <c:v>1.3089969389957472</c:v>
                </c:pt>
                <c:pt idx="8">
                  <c:v>1.0471975511965976</c:v>
                </c:pt>
                <c:pt idx="9">
                  <c:v>0.78539816339744828</c:v>
                </c:pt>
                <c:pt idx="10">
                  <c:v>0.52359877559829882</c:v>
                </c:pt>
                <c:pt idx="11">
                  <c:v>0.26179938779914941</c:v>
                </c:pt>
                <c:pt idx="12">
                  <c:v>0</c:v>
                </c:pt>
              </c:numCache>
            </c:numRef>
          </c:xVal>
          <c:yVal>
            <c:numRef>
              <c:f>RTC!$BD$182:$BD$194</c:f>
              <c:numCache>
                <c:formatCode>General</c:formatCode>
                <c:ptCount val="13"/>
                <c:pt idx="0" formatCode="0.00">
                  <c:v>85.071895494482334</c:v>
                </c:pt>
                <c:pt idx="1">
                  <c:v>92.286650246291018</c:v>
                </c:pt>
                <c:pt idx="2">
                  <c:v>100.5681778966689</c:v>
                </c:pt>
                <c:pt idx="3">
                  <c:v>109.68324566871813</c:v>
                </c:pt>
                <c:pt idx="4">
                  <c:v>119.31379413140024</c:v>
                </c:pt>
                <c:pt idx="5">
                  <c:v>127.4352829062385</c:v>
                </c:pt>
                <c:pt idx="6">
                  <c:v>130.73839898927929</c:v>
                </c:pt>
                <c:pt idx="7">
                  <c:v>127.4352829062385</c:v>
                </c:pt>
                <c:pt idx="8">
                  <c:v>119.31379413140024</c:v>
                </c:pt>
                <c:pt idx="9">
                  <c:v>109.68324566871813</c:v>
                </c:pt>
                <c:pt idx="10">
                  <c:v>100.5681778966689</c:v>
                </c:pt>
                <c:pt idx="11">
                  <c:v>92.286650246291018</c:v>
                </c:pt>
                <c:pt idx="12" formatCode="0.00">
                  <c:v>85.071895494482334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8C-401E-8603-2B18E4E1D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944255"/>
        <c:axId val="27296345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RTC!$BE$157</c15:sqref>
                        </c15:formulaRef>
                      </c:ext>
                    </c:extLst>
                    <c:strCache>
                      <c:ptCount val="1"/>
                      <c:pt idx="0">
                        <c:v>fmax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RTC!$BC$206:$BC$218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3.1415926535897931</c:v>
                      </c:pt>
                      <c:pt idx="1">
                        <c:v>2.879793265790644</c:v>
                      </c:pt>
                      <c:pt idx="2">
                        <c:v>2.617993877991494</c:v>
                      </c:pt>
                      <c:pt idx="3">
                        <c:v>2.3561944901923448</c:v>
                      </c:pt>
                      <c:pt idx="4">
                        <c:v>2.0943951023931953</c:v>
                      </c:pt>
                      <c:pt idx="5">
                        <c:v>1.8325957145940459</c:v>
                      </c:pt>
                      <c:pt idx="6">
                        <c:v>1.5707963267948966</c:v>
                      </c:pt>
                      <c:pt idx="7">
                        <c:v>1.3089969389957472</c:v>
                      </c:pt>
                      <c:pt idx="8">
                        <c:v>1.0471975511965976</c:v>
                      </c:pt>
                      <c:pt idx="9">
                        <c:v>0.78539816339744828</c:v>
                      </c:pt>
                      <c:pt idx="10">
                        <c:v>0.52359877559829882</c:v>
                      </c:pt>
                      <c:pt idx="11">
                        <c:v>0.26179938779914941</c:v>
                      </c:pt>
                      <c:pt idx="12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RTC!$BE$206:$BE$218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225</c:v>
                      </c:pt>
                      <c:pt idx="1">
                        <c:v>225</c:v>
                      </c:pt>
                      <c:pt idx="2">
                        <c:v>225</c:v>
                      </c:pt>
                      <c:pt idx="3">
                        <c:v>225</c:v>
                      </c:pt>
                      <c:pt idx="4">
                        <c:v>225</c:v>
                      </c:pt>
                      <c:pt idx="5">
                        <c:v>225</c:v>
                      </c:pt>
                      <c:pt idx="6">
                        <c:v>225</c:v>
                      </c:pt>
                      <c:pt idx="7">
                        <c:v>225</c:v>
                      </c:pt>
                      <c:pt idx="8">
                        <c:v>225</c:v>
                      </c:pt>
                      <c:pt idx="9">
                        <c:v>225</c:v>
                      </c:pt>
                      <c:pt idx="10">
                        <c:v>225</c:v>
                      </c:pt>
                      <c:pt idx="11">
                        <c:v>225</c:v>
                      </c:pt>
                      <c:pt idx="12">
                        <c:v>225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7744-4135-B8D8-5C043566E9CB}"/>
                  </c:ext>
                </c:extLst>
              </c15:ser>
            </c15:filteredScatterSeries>
          </c:ext>
        </c:extLst>
      </c:scatterChart>
      <c:valAx>
        <c:axId val="272944255"/>
        <c:scaling>
          <c:orientation val="minMax"/>
          <c:max val="3.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Ѳ</a:t>
                </a:r>
                <a:r>
                  <a:rPr lang="en-US"/>
                  <a:t> [rad]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63455"/>
        <c:crosses val="autoZero"/>
        <c:crossBetween val="midCat"/>
        <c:majorUnit val="0.4"/>
      </c:valAx>
      <c:valAx>
        <c:axId val="27296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fsw [kHz]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4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84698593479997"/>
          <c:y val="0.16196283010773191"/>
          <c:w val="0.16720380479655308"/>
          <c:h val="0.228038642523459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Output Power on Half Cycle  vs Load </a:t>
            </a:r>
            <a:endParaRPr lang="el-GR"/>
          </a:p>
        </c:rich>
      </c:tx>
      <c:layout>
        <c:manualLayout>
          <c:xMode val="edge"/>
          <c:yMode val="edge"/>
          <c:x val="0.31295062977928945"/>
          <c:y val="4.36828037487984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>
        <c:manualLayout>
          <c:layoutTarget val="inner"/>
          <c:xMode val="edge"/>
          <c:yMode val="edge"/>
          <c:x val="0.12537270341207349"/>
          <c:y val="0.121518191534268"/>
          <c:w val="0.77827633917469763"/>
          <c:h val="0.73316373728029605"/>
        </c:manualLayout>
      </c:layout>
      <c:scatterChart>
        <c:scatterStyle val="smoothMarker"/>
        <c:varyColors val="0"/>
        <c:ser>
          <c:idx val="2"/>
          <c:order val="0"/>
          <c:tx>
            <c:strRef>
              <c:f>RTC!$B$19</c:f>
              <c:strCache>
                <c:ptCount val="1"/>
                <c:pt idx="0">
                  <c:v>P(100% Po,θ 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RTC!$C$19:$AH$19</c:f>
              <c:numCache>
                <c:formatCode>General</c:formatCode>
                <c:ptCount val="32"/>
                <c:pt idx="0">
                  <c:v>13.106225069383628</c:v>
                </c:pt>
                <c:pt idx="1">
                  <c:v>51.902396443103051</c:v>
                </c:pt>
                <c:pt idx="2">
                  <c:v>114.8418331968865</c:v>
                </c:pt>
                <c:pt idx="3">
                  <c:v>199.41533860423877</c:v>
                </c:pt>
                <c:pt idx="4">
                  <c:v>302.25123389169812</c:v>
                </c:pt>
                <c:pt idx="5">
                  <c:v>419.24977643158718</c:v>
                </c:pt>
                <c:pt idx="6">
                  <c:v>545.74660354309151</c:v>
                </c:pt>
                <c:pt idx="7">
                  <c:v>676.69868591309739</c:v>
                </c:pt>
                <c:pt idx="8">
                  <c:v>806.88537726070479</c:v>
                </c:pt>
                <c:pt idx="9">
                  <c:v>931.11654502974613</c:v>
                </c:pt>
                <c:pt idx="10">
                  <c:v>1044.43948459539</c:v>
                </c:pt>
                <c:pt idx="11">
                  <c:v>1142.3363679683689</c:v>
                </c:pt>
                <c:pt idx="12">
                  <c:v>1220.9043553400829</c:v>
                </c:pt>
                <c:pt idx="13">
                  <c:v>1277.0111889896427</c:v>
                </c:pt>
                <c:pt idx="14">
                  <c:v>1308.4200665147928</c:v>
                </c:pt>
                <c:pt idx="15">
                  <c:v>1313.8788150850501</c:v>
                </c:pt>
                <c:pt idx="16">
                  <c:v>1293.1698116209955</c:v>
                </c:pt>
                <c:pt idx="17">
                  <c:v>1247.1186587397017</c:v>
                </c:pt>
                <c:pt idx="18">
                  <c:v>1177.5612705837291</c:v>
                </c:pt>
                <c:pt idx="19">
                  <c:v>1087.2706807178249</c:v>
                </c:pt>
                <c:pt idx="20">
                  <c:v>979.8464900315098</c:v>
                </c:pt>
                <c:pt idx="21">
                  <c:v>859.57136201081084</c:v>
                </c:pt>
                <c:pt idx="22">
                  <c:v>731.24028645979854</c:v>
                </c:pt>
                <c:pt idx="23">
                  <c:v>599.96941838856389</c:v>
                </c:pt>
                <c:pt idx="24">
                  <c:v>470.99211305792886</c:v>
                </c:pt>
                <c:pt idx="25">
                  <c:v>349.45028862000203</c:v>
                </c:pt>
                <c:pt idx="26">
                  <c:v>240.18943406771774</c:v>
                </c:pt>
                <c:pt idx="27">
                  <c:v>147.56543487951092</c:v>
                </c:pt>
                <c:pt idx="28">
                  <c:v>75.270917611082822</c:v>
                </c:pt>
                <c:pt idx="29">
                  <c:v>26.188036527384341</c:v>
                </c:pt>
                <c:pt idx="30">
                  <c:v>3.4971649316722297</c:v>
                </c:pt>
                <c:pt idx="31">
                  <c:v>2.2735712072345002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9C-4A66-B01F-48A665D0C884}"/>
            </c:ext>
          </c:extLst>
        </c:ser>
        <c:ser>
          <c:idx val="3"/>
          <c:order val="1"/>
          <c:tx>
            <c:strRef>
              <c:f>RTC!$B$20</c:f>
              <c:strCache>
                <c:ptCount val="1"/>
                <c:pt idx="0">
                  <c:v>P(75% Po,θ 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RTC!$C$20:$AH$20</c:f>
              <c:numCache>
                <c:formatCode>General</c:formatCode>
                <c:ptCount val="32"/>
                <c:pt idx="0">
                  <c:v>9.8296688020377214</c:v>
                </c:pt>
                <c:pt idx="1">
                  <c:v>38.92679733232729</c:v>
                </c:pt>
                <c:pt idx="2">
                  <c:v>86.13137489766487</c:v>
                </c:pt>
                <c:pt idx="3">
                  <c:v>149.56150395317906</c:v>
                </c:pt>
                <c:pt idx="4">
                  <c:v>226.68842541877362</c:v>
                </c:pt>
                <c:pt idx="5">
                  <c:v>314.43733232369038</c:v>
                </c:pt>
                <c:pt idx="6">
                  <c:v>409.3099526573186</c:v>
                </c:pt>
                <c:pt idx="7">
                  <c:v>507.52401443482307</c:v>
                </c:pt>
                <c:pt idx="8">
                  <c:v>605.16403294552856</c:v>
                </c:pt>
                <c:pt idx="9">
                  <c:v>698.33740877230957</c:v>
                </c:pt>
                <c:pt idx="10">
                  <c:v>783.32961344654257</c:v>
                </c:pt>
                <c:pt idx="11">
                  <c:v>856.75227597627656</c:v>
                </c:pt>
                <c:pt idx="12">
                  <c:v>915.6782665050622</c:v>
                </c:pt>
                <c:pt idx="13">
                  <c:v>957.75839174223199</c:v>
                </c:pt>
                <c:pt idx="14">
                  <c:v>981.3150498860947</c:v>
                </c:pt>
                <c:pt idx="15">
                  <c:v>985.40911131378755</c:v>
                </c:pt>
                <c:pt idx="16">
                  <c:v>969.8773587157466</c:v>
                </c:pt>
                <c:pt idx="17">
                  <c:v>935.33899405477621</c:v>
                </c:pt>
                <c:pt idx="18">
                  <c:v>883.17095293779676</c:v>
                </c:pt>
                <c:pt idx="19">
                  <c:v>815.45301053836874</c:v>
                </c:pt>
                <c:pt idx="20">
                  <c:v>734.88486752363235</c:v>
                </c:pt>
                <c:pt idx="21">
                  <c:v>644.67852150810813</c:v>
                </c:pt>
                <c:pt idx="22">
                  <c:v>548.43021484484882</c:v>
                </c:pt>
                <c:pt idx="23">
                  <c:v>449.97706379142295</c:v>
                </c:pt>
                <c:pt idx="24">
                  <c:v>353.24408479344663</c:v>
                </c:pt>
                <c:pt idx="25">
                  <c:v>262.08771646500156</c:v>
                </c:pt>
                <c:pt idx="26">
                  <c:v>180.14207555078829</c:v>
                </c:pt>
                <c:pt idx="27">
                  <c:v>110.67407615963319</c:v>
                </c:pt>
                <c:pt idx="28">
                  <c:v>56.453188208312113</c:v>
                </c:pt>
                <c:pt idx="29">
                  <c:v>19.641027395538256</c:v>
                </c:pt>
                <c:pt idx="30">
                  <c:v>2.6228736987541725</c:v>
                </c:pt>
                <c:pt idx="31">
                  <c:v>1.7051784054258752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59C-4A66-B01F-48A665D0C884}"/>
            </c:ext>
          </c:extLst>
        </c:ser>
        <c:ser>
          <c:idx val="4"/>
          <c:order val="2"/>
          <c:tx>
            <c:strRef>
              <c:f>RTC!$B$21</c:f>
              <c:strCache>
                <c:ptCount val="1"/>
                <c:pt idx="0">
                  <c:v>P(50% Po,θ 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RTC!$C$21:$AH$21</c:f>
              <c:numCache>
                <c:formatCode>General</c:formatCode>
                <c:ptCount val="32"/>
                <c:pt idx="0">
                  <c:v>6.553112534691814</c:v>
                </c:pt>
                <c:pt idx="1">
                  <c:v>25.951198221551525</c:v>
                </c:pt>
                <c:pt idx="2">
                  <c:v>57.420916598443249</c:v>
                </c:pt>
                <c:pt idx="3">
                  <c:v>99.707669302119385</c:v>
                </c:pt>
                <c:pt idx="4">
                  <c:v>151.12561694584906</c:v>
                </c:pt>
                <c:pt idx="5">
                  <c:v>209.62488821579359</c:v>
                </c:pt>
                <c:pt idx="6">
                  <c:v>272.87330177154575</c:v>
                </c:pt>
                <c:pt idx="7">
                  <c:v>338.3493429565487</c:v>
                </c:pt>
                <c:pt idx="8">
                  <c:v>403.44268863035239</c:v>
                </c:pt>
                <c:pt idx="9">
                  <c:v>465.55827251487307</c:v>
                </c:pt>
                <c:pt idx="10">
                  <c:v>522.21974229769501</c:v>
                </c:pt>
                <c:pt idx="11">
                  <c:v>571.16818398418445</c:v>
                </c:pt>
                <c:pt idx="12">
                  <c:v>610.45217767004146</c:v>
                </c:pt>
                <c:pt idx="13">
                  <c:v>638.50559449482137</c:v>
                </c:pt>
                <c:pt idx="14">
                  <c:v>654.21003325739639</c:v>
                </c:pt>
                <c:pt idx="15">
                  <c:v>656.93940754252503</c:v>
                </c:pt>
                <c:pt idx="16">
                  <c:v>646.58490581049773</c:v>
                </c:pt>
                <c:pt idx="17">
                  <c:v>623.55932936985084</c:v>
                </c:pt>
                <c:pt idx="18">
                  <c:v>588.78063529186454</c:v>
                </c:pt>
                <c:pt idx="19">
                  <c:v>543.63534035891246</c:v>
                </c:pt>
                <c:pt idx="20">
                  <c:v>489.9232450157549</c:v>
                </c:pt>
                <c:pt idx="21">
                  <c:v>429.78568100540542</c:v>
                </c:pt>
                <c:pt idx="22">
                  <c:v>365.62014322989927</c:v>
                </c:pt>
                <c:pt idx="23">
                  <c:v>299.98470919428195</c:v>
                </c:pt>
                <c:pt idx="24">
                  <c:v>235.49605652896443</c:v>
                </c:pt>
                <c:pt idx="25">
                  <c:v>174.72514431000101</c:v>
                </c:pt>
                <c:pt idx="26">
                  <c:v>120.09471703385887</c:v>
                </c:pt>
                <c:pt idx="27">
                  <c:v>73.782717439755459</c:v>
                </c:pt>
                <c:pt idx="28">
                  <c:v>37.635458805541411</c:v>
                </c:pt>
                <c:pt idx="29">
                  <c:v>13.09401826369217</c:v>
                </c:pt>
                <c:pt idx="30">
                  <c:v>1.7485824658361149</c:v>
                </c:pt>
                <c:pt idx="31">
                  <c:v>1.1367856036172501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59C-4A66-B01F-48A665D0C884}"/>
            </c:ext>
          </c:extLst>
        </c:ser>
        <c:ser>
          <c:idx val="5"/>
          <c:order val="3"/>
          <c:tx>
            <c:strRef>
              <c:f>RTC!$B$22</c:f>
              <c:strCache>
                <c:ptCount val="1"/>
                <c:pt idx="0">
                  <c:v>P(25% Po,θ 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RTC!$C$4:$AH$4</c:f>
              <c:numCache>
                <c:formatCode>General</c:formatCode>
                <c:ptCount val="32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3.09</c:v>
                </c:pt>
                <c:pt idx="31">
                  <c:v>3.1</c:v>
                </c:pt>
              </c:numCache>
            </c:numRef>
          </c:xVal>
          <c:yVal>
            <c:numRef>
              <c:f>RTC!$C$22:$AH$22</c:f>
              <c:numCache>
                <c:formatCode>General</c:formatCode>
                <c:ptCount val="32"/>
                <c:pt idx="0">
                  <c:v>3.276556267345907</c:v>
                </c:pt>
                <c:pt idx="1">
                  <c:v>12.975599110775763</c:v>
                </c:pt>
                <c:pt idx="2">
                  <c:v>28.710458299221624</c:v>
                </c:pt>
                <c:pt idx="3">
                  <c:v>49.853834651059692</c:v>
                </c:pt>
                <c:pt idx="4">
                  <c:v>75.56280847292453</c:v>
                </c:pt>
                <c:pt idx="5">
                  <c:v>104.81244410789679</c:v>
                </c:pt>
                <c:pt idx="6">
                  <c:v>136.43665088577288</c:v>
                </c:pt>
                <c:pt idx="7">
                  <c:v>169.17467147827435</c:v>
                </c:pt>
                <c:pt idx="8">
                  <c:v>201.7213443151762</c:v>
                </c:pt>
                <c:pt idx="9">
                  <c:v>232.77913625743653</c:v>
                </c:pt>
                <c:pt idx="10">
                  <c:v>261.1098711488475</c:v>
                </c:pt>
                <c:pt idx="11">
                  <c:v>285.58409199209223</c:v>
                </c:pt>
                <c:pt idx="12">
                  <c:v>305.22608883502073</c:v>
                </c:pt>
                <c:pt idx="13">
                  <c:v>319.25279724741068</c:v>
                </c:pt>
                <c:pt idx="14">
                  <c:v>327.10501662869819</c:v>
                </c:pt>
                <c:pt idx="15">
                  <c:v>328.46970377126252</c:v>
                </c:pt>
                <c:pt idx="16">
                  <c:v>323.29245290524887</c:v>
                </c:pt>
                <c:pt idx="17">
                  <c:v>311.77966468492542</c:v>
                </c:pt>
                <c:pt idx="18">
                  <c:v>294.39031764593227</c:v>
                </c:pt>
                <c:pt idx="19">
                  <c:v>271.81767017945623</c:v>
                </c:pt>
                <c:pt idx="20">
                  <c:v>244.96162250787745</c:v>
                </c:pt>
                <c:pt idx="21">
                  <c:v>214.89284050270271</c:v>
                </c:pt>
                <c:pt idx="22">
                  <c:v>182.81007161494963</c:v>
                </c:pt>
                <c:pt idx="23">
                  <c:v>149.99235459714097</c:v>
                </c:pt>
                <c:pt idx="24">
                  <c:v>117.74802826448222</c:v>
                </c:pt>
                <c:pt idx="25">
                  <c:v>87.362572155000507</c:v>
                </c:pt>
                <c:pt idx="26">
                  <c:v>60.047358516929435</c:v>
                </c:pt>
                <c:pt idx="27">
                  <c:v>36.891358719877729</c:v>
                </c:pt>
                <c:pt idx="28">
                  <c:v>18.817729402770706</c:v>
                </c:pt>
                <c:pt idx="29">
                  <c:v>6.5470091318460852</c:v>
                </c:pt>
                <c:pt idx="30">
                  <c:v>0.87429123291805744</c:v>
                </c:pt>
                <c:pt idx="31">
                  <c:v>0.56839280180862506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59C-4A66-B01F-48A665D0C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7978431"/>
        <c:axId val="1407976511"/>
      </c:scatterChart>
      <c:valAx>
        <c:axId val="1407978431"/>
        <c:scaling>
          <c:orientation val="minMax"/>
          <c:max val="3"/>
          <c:min val="0.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θ</a:t>
                </a:r>
                <a:r>
                  <a:rPr lang="en-US"/>
                  <a:t> [rad]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6511"/>
        <c:crosses val="autoZero"/>
        <c:crossBetween val="midCat"/>
      </c:valAx>
      <c:valAx>
        <c:axId val="140797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Power [W]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978431"/>
        <c:crosses val="autoZero"/>
        <c:crossBetween val="midCat"/>
      </c:valAx>
      <c:spPr>
        <a:noFill/>
        <a:ln>
          <a:solidFill>
            <a:schemeClr val="accent1">
              <a:alpha val="93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67400784694515914"/>
          <c:y val="0.13638621197560691"/>
          <c:w val="0.13287385049355033"/>
          <c:h val="0.131429154583077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Variation on half line cycle </a:t>
            </a:r>
          </a:p>
          <a:p>
            <a:pPr>
              <a:defRPr/>
            </a:pPr>
            <a:r>
              <a:rPr lang="en-US"/>
              <a:t>@Vinmin, Vinmax and Vinnom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1"/>
          <c:tx>
            <c:strRef>
              <c:f>RTC!$BF$205</c:f>
              <c:strCache>
                <c:ptCount val="1"/>
                <c:pt idx="0">
                  <c:v>Upper fres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RTC!$BC$206:$BC$218</c:f>
              <c:numCache>
                <c:formatCode>0.00</c:formatCode>
                <c:ptCount val="13"/>
                <c:pt idx="0">
                  <c:v>3.1415926535897931</c:v>
                </c:pt>
                <c:pt idx="1">
                  <c:v>2.879793265790644</c:v>
                </c:pt>
                <c:pt idx="2">
                  <c:v>2.617993877991494</c:v>
                </c:pt>
                <c:pt idx="3">
                  <c:v>2.3561944901923448</c:v>
                </c:pt>
                <c:pt idx="4">
                  <c:v>2.0943951023931953</c:v>
                </c:pt>
                <c:pt idx="5">
                  <c:v>1.8325957145940459</c:v>
                </c:pt>
                <c:pt idx="6">
                  <c:v>1.5707963267948966</c:v>
                </c:pt>
                <c:pt idx="7">
                  <c:v>1.3089969389957472</c:v>
                </c:pt>
                <c:pt idx="8">
                  <c:v>1.0471975511965976</c:v>
                </c:pt>
                <c:pt idx="9">
                  <c:v>0.78539816339744828</c:v>
                </c:pt>
                <c:pt idx="10">
                  <c:v>0.52359877559829882</c:v>
                </c:pt>
                <c:pt idx="11">
                  <c:v>0.26179938779914941</c:v>
                </c:pt>
                <c:pt idx="12">
                  <c:v>0</c:v>
                </c:pt>
              </c:numCache>
            </c:numRef>
          </c:xVal>
          <c:yVal>
            <c:numRef>
              <c:f>RTC!$BF$206:$BF$218</c:f>
              <c:numCache>
                <c:formatCode>0.00</c:formatCode>
                <c:ptCount val="13"/>
                <c:pt idx="0">
                  <c:v>151.7482841316334</c:v>
                </c:pt>
                <c:pt idx="1">
                  <c:v>151.7482841316334</c:v>
                </c:pt>
                <c:pt idx="2">
                  <c:v>151.7482841316334</c:v>
                </c:pt>
                <c:pt idx="3">
                  <c:v>151.7482841316334</c:v>
                </c:pt>
                <c:pt idx="4">
                  <c:v>151.7482841316334</c:v>
                </c:pt>
                <c:pt idx="5">
                  <c:v>151.7482841316334</c:v>
                </c:pt>
                <c:pt idx="6">
                  <c:v>151.7482841316334</c:v>
                </c:pt>
                <c:pt idx="7">
                  <c:v>151.7482841316334</c:v>
                </c:pt>
                <c:pt idx="8">
                  <c:v>151.7482841316334</c:v>
                </c:pt>
                <c:pt idx="9">
                  <c:v>151.7482841316334</c:v>
                </c:pt>
                <c:pt idx="10">
                  <c:v>151.7482841316334</c:v>
                </c:pt>
                <c:pt idx="11">
                  <c:v>151.7482841316334</c:v>
                </c:pt>
                <c:pt idx="12">
                  <c:v>151.7482841316334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F0-4A79-8D01-EB0ECD65D545}"/>
            </c:ext>
          </c:extLst>
        </c:ser>
        <c:ser>
          <c:idx val="3"/>
          <c:order val="2"/>
          <c:tx>
            <c:strRef>
              <c:f>RTC!$BG$205</c:f>
              <c:strCache>
                <c:ptCount val="1"/>
                <c:pt idx="0">
                  <c:v>Lower fres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RTC!$BC$206:$BC$218</c:f>
              <c:numCache>
                <c:formatCode>0.00</c:formatCode>
                <c:ptCount val="13"/>
                <c:pt idx="0">
                  <c:v>3.1415926535897931</c:v>
                </c:pt>
                <c:pt idx="1">
                  <c:v>2.879793265790644</c:v>
                </c:pt>
                <c:pt idx="2">
                  <c:v>2.617993877991494</c:v>
                </c:pt>
                <c:pt idx="3">
                  <c:v>2.3561944901923448</c:v>
                </c:pt>
                <c:pt idx="4">
                  <c:v>2.0943951023931953</c:v>
                </c:pt>
                <c:pt idx="5">
                  <c:v>1.8325957145940459</c:v>
                </c:pt>
                <c:pt idx="6">
                  <c:v>1.5707963267948966</c:v>
                </c:pt>
                <c:pt idx="7">
                  <c:v>1.3089969389957472</c:v>
                </c:pt>
                <c:pt idx="8">
                  <c:v>1.0471975511965976</c:v>
                </c:pt>
                <c:pt idx="9">
                  <c:v>0.78539816339744828</c:v>
                </c:pt>
                <c:pt idx="10">
                  <c:v>0.52359877559829882</c:v>
                </c:pt>
                <c:pt idx="11">
                  <c:v>0.26179938779914941</c:v>
                </c:pt>
                <c:pt idx="12">
                  <c:v>0</c:v>
                </c:pt>
              </c:numCache>
            </c:numRef>
          </c:xVal>
          <c:yVal>
            <c:numRef>
              <c:f>RTC!$BG$206:$BG$218</c:f>
              <c:numCache>
                <c:formatCode>0.00</c:formatCode>
                <c:ptCount val="13"/>
                <c:pt idx="0">
                  <c:v>85.071895494482334</c:v>
                </c:pt>
                <c:pt idx="1">
                  <c:v>85.071895494482334</c:v>
                </c:pt>
                <c:pt idx="2">
                  <c:v>85.071895494482334</c:v>
                </c:pt>
                <c:pt idx="3">
                  <c:v>85.071895494482334</c:v>
                </c:pt>
                <c:pt idx="4">
                  <c:v>85.071895494482334</c:v>
                </c:pt>
                <c:pt idx="5">
                  <c:v>85.071895494482334</c:v>
                </c:pt>
                <c:pt idx="6">
                  <c:v>85.071895494482334</c:v>
                </c:pt>
                <c:pt idx="7">
                  <c:v>85.071895494482334</c:v>
                </c:pt>
                <c:pt idx="8">
                  <c:v>85.071895494482334</c:v>
                </c:pt>
                <c:pt idx="9">
                  <c:v>85.071895494482334</c:v>
                </c:pt>
                <c:pt idx="10">
                  <c:v>85.071895494482334</c:v>
                </c:pt>
                <c:pt idx="11">
                  <c:v>85.071895494482334</c:v>
                </c:pt>
                <c:pt idx="12">
                  <c:v>85.071895494482334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F0-4A79-8D01-EB0ECD65D545}"/>
            </c:ext>
          </c:extLst>
        </c:ser>
        <c:ser>
          <c:idx val="4"/>
          <c:order val="3"/>
          <c:tx>
            <c:strRef>
              <c:f>RTC!$BB$156</c:f>
              <c:strCache>
                <c:ptCount val="1"/>
                <c:pt idx="0">
                  <c:v>Vinmin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RTC!$BC$158:$BC$170</c:f>
              <c:numCache>
                <c:formatCode>0.00</c:formatCode>
                <c:ptCount val="13"/>
                <c:pt idx="0">
                  <c:v>3.1415926535897931</c:v>
                </c:pt>
                <c:pt idx="1">
                  <c:v>2.879793265790644</c:v>
                </c:pt>
                <c:pt idx="2">
                  <c:v>2.617993877991494</c:v>
                </c:pt>
                <c:pt idx="3">
                  <c:v>2.3561944901923448</c:v>
                </c:pt>
                <c:pt idx="4">
                  <c:v>2.0943951023931953</c:v>
                </c:pt>
                <c:pt idx="5">
                  <c:v>1.8325957145940459</c:v>
                </c:pt>
                <c:pt idx="6">
                  <c:v>1.5707963267948966</c:v>
                </c:pt>
                <c:pt idx="7">
                  <c:v>1.3089969389957472</c:v>
                </c:pt>
                <c:pt idx="8">
                  <c:v>1.0471975511965976</c:v>
                </c:pt>
                <c:pt idx="9">
                  <c:v>0.78539816339744828</c:v>
                </c:pt>
                <c:pt idx="10">
                  <c:v>0.52359877559829882</c:v>
                </c:pt>
                <c:pt idx="11">
                  <c:v>0.26179938779914941</c:v>
                </c:pt>
                <c:pt idx="12">
                  <c:v>0</c:v>
                </c:pt>
              </c:numCache>
            </c:numRef>
          </c:xVal>
          <c:yVal>
            <c:numRef>
              <c:f>RTC!$BD$158:$BD$170</c:f>
              <c:numCache>
                <c:formatCode>General</c:formatCode>
                <c:ptCount val="13"/>
                <c:pt idx="0" formatCode="0.00">
                  <c:v>85.071895494482334</c:v>
                </c:pt>
                <c:pt idx="1">
                  <c:v>90.452896658554877</c:v>
                </c:pt>
                <c:pt idx="2">
                  <c:v>95.801961726706921</c:v>
                </c:pt>
                <c:pt idx="3">
                  <c:v>100.55806933584952</c:v>
                </c:pt>
                <c:pt idx="4">
                  <c:v>104.54363405125365</c:v>
                </c:pt>
                <c:pt idx="5">
                  <c:v>107.39270385136004</c:v>
                </c:pt>
                <c:pt idx="6">
                  <c:v>108.48953112300353</c:v>
                </c:pt>
                <c:pt idx="7">
                  <c:v>107.39270385136004</c:v>
                </c:pt>
                <c:pt idx="8">
                  <c:v>104.54363405125365</c:v>
                </c:pt>
                <c:pt idx="9">
                  <c:v>100.55806933584952</c:v>
                </c:pt>
                <c:pt idx="10">
                  <c:v>95.801961726706921</c:v>
                </c:pt>
                <c:pt idx="11">
                  <c:v>90.452896658554877</c:v>
                </c:pt>
                <c:pt idx="12" formatCode="0.00">
                  <c:v>85.071895494482334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F0-4A79-8D01-EB0ECD65D545}"/>
            </c:ext>
          </c:extLst>
        </c:ser>
        <c:ser>
          <c:idx val="5"/>
          <c:order val="4"/>
          <c:tx>
            <c:strRef>
              <c:f>RTC!$BB$204</c:f>
              <c:strCache>
                <c:ptCount val="1"/>
                <c:pt idx="0">
                  <c:v>Vinmax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RTC!$BC$206:$BC$218</c:f>
              <c:numCache>
                <c:formatCode>0.00</c:formatCode>
                <c:ptCount val="13"/>
                <c:pt idx="0">
                  <c:v>3.1415926535897931</c:v>
                </c:pt>
                <c:pt idx="1">
                  <c:v>2.879793265790644</c:v>
                </c:pt>
                <c:pt idx="2">
                  <c:v>2.617993877991494</c:v>
                </c:pt>
                <c:pt idx="3">
                  <c:v>2.3561944901923448</c:v>
                </c:pt>
                <c:pt idx="4">
                  <c:v>2.0943951023931953</c:v>
                </c:pt>
                <c:pt idx="5">
                  <c:v>1.8325957145940459</c:v>
                </c:pt>
                <c:pt idx="6">
                  <c:v>1.5707963267948966</c:v>
                </c:pt>
                <c:pt idx="7">
                  <c:v>1.3089969389957472</c:v>
                </c:pt>
                <c:pt idx="8">
                  <c:v>1.0471975511965976</c:v>
                </c:pt>
                <c:pt idx="9">
                  <c:v>0.78539816339744828</c:v>
                </c:pt>
                <c:pt idx="10">
                  <c:v>0.52359877559829882</c:v>
                </c:pt>
                <c:pt idx="11">
                  <c:v>0.26179938779914941</c:v>
                </c:pt>
                <c:pt idx="12">
                  <c:v>0</c:v>
                </c:pt>
              </c:numCache>
            </c:numRef>
          </c:xVal>
          <c:yVal>
            <c:numRef>
              <c:f>RTC!$BD$206:$BD$218</c:f>
              <c:numCache>
                <c:formatCode>General</c:formatCode>
                <c:ptCount val="13"/>
                <c:pt idx="0" formatCode="0.00">
                  <c:v>85.071895494482334</c:v>
                </c:pt>
                <c:pt idx="1">
                  <c:v>93.86394011245622</c:v>
                </c:pt>
                <c:pt idx="2">
                  <c:v>104.55421405122226</c:v>
                </c:pt>
                <c:pt idx="3">
                  <c:v>117.75404838414873</c:v>
                </c:pt>
                <c:pt idx="4">
                  <c:v>133.06124683601601</c:v>
                </c:pt>
                <c:pt idx="5">
                  <c:v>146.61572787619298</c:v>
                </c:pt>
                <c:pt idx="6">
                  <c:v>152.08936938083821</c:v>
                </c:pt>
                <c:pt idx="7">
                  <c:v>146.61572787619298</c:v>
                </c:pt>
                <c:pt idx="8">
                  <c:v>133.06124683601601</c:v>
                </c:pt>
                <c:pt idx="9">
                  <c:v>117.75404838414873</c:v>
                </c:pt>
                <c:pt idx="10">
                  <c:v>104.55421405122226</c:v>
                </c:pt>
                <c:pt idx="11">
                  <c:v>93.86394011245622</c:v>
                </c:pt>
                <c:pt idx="12" formatCode="0.00">
                  <c:v>85.071895494482334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8F0-4A79-8D01-EB0ECD65D545}"/>
            </c:ext>
          </c:extLst>
        </c:ser>
        <c:ser>
          <c:idx val="0"/>
          <c:order val="5"/>
          <c:tx>
            <c:strRef>
              <c:f>RTC!$BB$180</c:f>
              <c:strCache>
                <c:ptCount val="1"/>
                <c:pt idx="0">
                  <c:v>Vinnom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RTC!$BC$206:$BC$218</c:f>
              <c:numCache>
                <c:formatCode>0.00</c:formatCode>
                <c:ptCount val="13"/>
                <c:pt idx="0">
                  <c:v>3.1415926535897931</c:v>
                </c:pt>
                <c:pt idx="1">
                  <c:v>2.879793265790644</c:v>
                </c:pt>
                <c:pt idx="2">
                  <c:v>2.617993877991494</c:v>
                </c:pt>
                <c:pt idx="3">
                  <c:v>2.3561944901923448</c:v>
                </c:pt>
                <c:pt idx="4">
                  <c:v>2.0943951023931953</c:v>
                </c:pt>
                <c:pt idx="5">
                  <c:v>1.8325957145940459</c:v>
                </c:pt>
                <c:pt idx="6">
                  <c:v>1.5707963267948966</c:v>
                </c:pt>
                <c:pt idx="7">
                  <c:v>1.3089969389957472</c:v>
                </c:pt>
                <c:pt idx="8">
                  <c:v>1.0471975511965976</c:v>
                </c:pt>
                <c:pt idx="9">
                  <c:v>0.78539816339744828</c:v>
                </c:pt>
                <c:pt idx="10">
                  <c:v>0.52359877559829882</c:v>
                </c:pt>
                <c:pt idx="11">
                  <c:v>0.26179938779914941</c:v>
                </c:pt>
                <c:pt idx="12">
                  <c:v>0</c:v>
                </c:pt>
              </c:numCache>
            </c:numRef>
          </c:xVal>
          <c:yVal>
            <c:numRef>
              <c:f>RTC!$BD$182:$BD$194</c:f>
              <c:numCache>
                <c:formatCode>General</c:formatCode>
                <c:ptCount val="13"/>
                <c:pt idx="0" formatCode="0.00">
                  <c:v>85.071895494482334</c:v>
                </c:pt>
                <c:pt idx="1">
                  <c:v>92.286650246291018</c:v>
                </c:pt>
                <c:pt idx="2">
                  <c:v>100.5681778966689</c:v>
                </c:pt>
                <c:pt idx="3">
                  <c:v>109.68324566871813</c:v>
                </c:pt>
                <c:pt idx="4">
                  <c:v>119.31379413140024</c:v>
                </c:pt>
                <c:pt idx="5">
                  <c:v>127.4352829062385</c:v>
                </c:pt>
                <c:pt idx="6">
                  <c:v>130.73839898927929</c:v>
                </c:pt>
                <c:pt idx="7">
                  <c:v>127.4352829062385</c:v>
                </c:pt>
                <c:pt idx="8">
                  <c:v>119.31379413140024</c:v>
                </c:pt>
                <c:pt idx="9">
                  <c:v>109.68324566871813</c:v>
                </c:pt>
                <c:pt idx="10">
                  <c:v>100.5681778966689</c:v>
                </c:pt>
                <c:pt idx="11">
                  <c:v>92.286650246291018</c:v>
                </c:pt>
                <c:pt idx="12" formatCode="0.00">
                  <c:v>85.071895494482334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8F0-4A79-8D01-EB0ECD65D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944255"/>
        <c:axId val="27296345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RTC!$BE$157</c15:sqref>
                        </c15:formulaRef>
                      </c:ext>
                    </c:extLst>
                    <c:strCache>
                      <c:ptCount val="1"/>
                      <c:pt idx="0">
                        <c:v>fmax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RTC!$BC$206:$BC$218</c15:sqref>
                        </c15:formulaRef>
                      </c:ext>
                    </c:extLst>
                    <c:numCache>
                      <c:formatCode>0.00</c:formatCode>
                      <c:ptCount val="13"/>
                      <c:pt idx="0">
                        <c:v>3.1415926535897931</c:v>
                      </c:pt>
                      <c:pt idx="1">
                        <c:v>2.879793265790644</c:v>
                      </c:pt>
                      <c:pt idx="2">
                        <c:v>2.617993877991494</c:v>
                      </c:pt>
                      <c:pt idx="3">
                        <c:v>2.3561944901923448</c:v>
                      </c:pt>
                      <c:pt idx="4">
                        <c:v>2.0943951023931953</c:v>
                      </c:pt>
                      <c:pt idx="5">
                        <c:v>1.8325957145940459</c:v>
                      </c:pt>
                      <c:pt idx="6">
                        <c:v>1.5707963267948966</c:v>
                      </c:pt>
                      <c:pt idx="7">
                        <c:v>1.3089969389957472</c:v>
                      </c:pt>
                      <c:pt idx="8">
                        <c:v>1.0471975511965976</c:v>
                      </c:pt>
                      <c:pt idx="9">
                        <c:v>0.78539816339744828</c:v>
                      </c:pt>
                      <c:pt idx="10">
                        <c:v>0.52359877559829882</c:v>
                      </c:pt>
                      <c:pt idx="11">
                        <c:v>0.26179938779914941</c:v>
                      </c:pt>
                      <c:pt idx="12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RTC!$BE$206:$BE$218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225</c:v>
                      </c:pt>
                      <c:pt idx="1">
                        <c:v>225</c:v>
                      </c:pt>
                      <c:pt idx="2">
                        <c:v>225</c:v>
                      </c:pt>
                      <c:pt idx="3">
                        <c:v>225</c:v>
                      </c:pt>
                      <c:pt idx="4">
                        <c:v>225</c:v>
                      </c:pt>
                      <c:pt idx="5">
                        <c:v>225</c:v>
                      </c:pt>
                      <c:pt idx="6">
                        <c:v>225</c:v>
                      </c:pt>
                      <c:pt idx="7">
                        <c:v>225</c:v>
                      </c:pt>
                      <c:pt idx="8">
                        <c:v>225</c:v>
                      </c:pt>
                      <c:pt idx="9">
                        <c:v>225</c:v>
                      </c:pt>
                      <c:pt idx="10">
                        <c:v>225</c:v>
                      </c:pt>
                      <c:pt idx="11">
                        <c:v>225</c:v>
                      </c:pt>
                      <c:pt idx="12">
                        <c:v>225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C8F0-4A79-8D01-EB0ECD65D545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6"/>
          <c:order val="6"/>
          <c:tx>
            <c:strRef>
              <c:f>CC!$B$15</c:f>
              <c:strCache>
                <c:ptCount val="1"/>
                <c:pt idx="0">
                  <c:v>Iout.inst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CC!$C$4:$AM$4</c:f>
              <c:numCache>
                <c:formatCode>General</c:formatCode>
                <c:ptCount val="37"/>
                <c:pt idx="0">
                  <c:v>0</c:v>
                </c:pt>
                <c:pt idx="1">
                  <c:v>0.10134169850289655</c:v>
                </c:pt>
                <c:pt idx="2">
                  <c:v>0.2026833970057931</c:v>
                </c:pt>
                <c:pt idx="3">
                  <c:v>0.30402509550868967</c:v>
                </c:pt>
                <c:pt idx="4">
                  <c:v>0.40536679401158621</c:v>
                </c:pt>
                <c:pt idx="5">
                  <c:v>0.5067084925144828</c:v>
                </c:pt>
                <c:pt idx="6">
                  <c:v>0.60805019101737934</c:v>
                </c:pt>
                <c:pt idx="7">
                  <c:v>0.70939188952027588</c:v>
                </c:pt>
                <c:pt idx="8">
                  <c:v>0.78539816339744828</c:v>
                </c:pt>
                <c:pt idx="9">
                  <c:v>0.81073358802317241</c:v>
                </c:pt>
                <c:pt idx="10">
                  <c:v>0.91207528652606895</c:v>
                </c:pt>
                <c:pt idx="11">
                  <c:v>1.0134169850289656</c:v>
                </c:pt>
                <c:pt idx="12">
                  <c:v>1.0471975511965976</c:v>
                </c:pt>
                <c:pt idx="13">
                  <c:v>1.1147586835318619</c:v>
                </c:pt>
                <c:pt idx="14">
                  <c:v>1.2161003820347587</c:v>
                </c:pt>
                <c:pt idx="15">
                  <c:v>1.3174420805376552</c:v>
                </c:pt>
                <c:pt idx="16">
                  <c:v>1.4187837790405518</c:v>
                </c:pt>
                <c:pt idx="17">
                  <c:v>1.5201254775434481</c:v>
                </c:pt>
                <c:pt idx="18">
                  <c:v>1.5707963267948966</c:v>
                </c:pt>
                <c:pt idx="19">
                  <c:v>1.6214671760463448</c:v>
                </c:pt>
                <c:pt idx="20">
                  <c:v>1.7228088745492416</c:v>
                </c:pt>
                <c:pt idx="21">
                  <c:v>1.8241505730521379</c:v>
                </c:pt>
                <c:pt idx="22">
                  <c:v>1.9254922715550344</c:v>
                </c:pt>
                <c:pt idx="23">
                  <c:v>2.0268339700579312</c:v>
                </c:pt>
                <c:pt idx="24">
                  <c:v>2.0943951023931953</c:v>
                </c:pt>
                <c:pt idx="25">
                  <c:v>2.1281756685608277</c:v>
                </c:pt>
                <c:pt idx="26">
                  <c:v>2.2295173670637238</c:v>
                </c:pt>
                <c:pt idx="27">
                  <c:v>2.3308590655666204</c:v>
                </c:pt>
                <c:pt idx="28">
                  <c:v>2.3561944901923448</c:v>
                </c:pt>
                <c:pt idx="29">
                  <c:v>2.4322007640695174</c:v>
                </c:pt>
                <c:pt idx="30">
                  <c:v>2.5335424625724139</c:v>
                </c:pt>
                <c:pt idx="31">
                  <c:v>2.6348841610753104</c:v>
                </c:pt>
                <c:pt idx="32">
                  <c:v>2.736225859578207</c:v>
                </c:pt>
                <c:pt idx="33">
                  <c:v>2.8375675580811035</c:v>
                </c:pt>
                <c:pt idx="34">
                  <c:v>2.938909256584</c:v>
                </c:pt>
                <c:pt idx="35">
                  <c:v>3.0402509550868961</c:v>
                </c:pt>
                <c:pt idx="36">
                  <c:v>3.1415926535897931</c:v>
                </c:pt>
              </c:numCache>
            </c:numRef>
          </c:xVal>
          <c:yVal>
            <c:numRef>
              <c:f>CC!$C$15:$AM$15</c:f>
              <c:numCache>
                <c:formatCode>General</c:formatCode>
                <c:ptCount val="37"/>
                <c:pt idx="0">
                  <c:v>0</c:v>
                </c:pt>
                <c:pt idx="1">
                  <c:v>0.53836254505939463</c:v>
                </c:pt>
                <c:pt idx="2">
                  <c:v>2.1314095543879343</c:v>
                </c:pt>
                <c:pt idx="3">
                  <c:v>4.7139214962486324</c:v>
                </c:pt>
                <c:pt idx="4">
                  <c:v>8.1801700283094423</c:v>
                </c:pt>
                <c:pt idx="5">
                  <c:v>12.388246528400886</c:v>
                </c:pt>
                <c:pt idx="6">
                  <c:v>17.16587185018123</c:v>
                </c:pt>
                <c:pt idx="7">
                  <c:v>22.317449451629631</c:v>
                </c:pt>
                <c:pt idx="8">
                  <c:v>26.299999999999997</c:v>
                </c:pt>
                <c:pt idx="9">
                  <c:v>27.632073140458136</c:v>
                </c:pt>
                <c:pt idx="10">
                  <c:v>32.892161598404343</c:v>
                </c:pt>
                <c:pt idx="11">
                  <c:v>37.882366185965779</c:v>
                </c:pt>
                <c:pt idx="12">
                  <c:v>39.449999999999996</c:v>
                </c:pt>
                <c:pt idx="13">
                  <c:v>42.398387341003527</c:v>
                </c:pt>
                <c:pt idx="14">
                  <c:v>46.255338626820404</c:v>
                </c:pt>
                <c:pt idx="15">
                  <c:v>49.295316004602512</c:v>
                </c:pt>
                <c:pt idx="16">
                  <c:v>51.393862443321289</c:v>
                </c:pt>
                <c:pt idx="17">
                  <c:v>52.465063205206846</c:v>
                </c:pt>
                <c:pt idx="18">
                  <c:v>52.6</c:v>
                </c:pt>
                <c:pt idx="19">
                  <c:v>52.465063205206846</c:v>
                </c:pt>
                <c:pt idx="20">
                  <c:v>51.393862443321289</c:v>
                </c:pt>
                <c:pt idx="21">
                  <c:v>49.295316004602512</c:v>
                </c:pt>
                <c:pt idx="22">
                  <c:v>46.255338626820404</c:v>
                </c:pt>
                <c:pt idx="23">
                  <c:v>42.398387341003527</c:v>
                </c:pt>
                <c:pt idx="24">
                  <c:v>39.450000000000003</c:v>
                </c:pt>
                <c:pt idx="25">
                  <c:v>37.882366185965779</c:v>
                </c:pt>
                <c:pt idx="26">
                  <c:v>32.892161598404371</c:v>
                </c:pt>
                <c:pt idx="27">
                  <c:v>27.632073140458161</c:v>
                </c:pt>
                <c:pt idx="28">
                  <c:v>26.300000000000004</c:v>
                </c:pt>
                <c:pt idx="29">
                  <c:v>22.317449451629635</c:v>
                </c:pt>
                <c:pt idx="30">
                  <c:v>17.16587185018123</c:v>
                </c:pt>
                <c:pt idx="31">
                  <c:v>12.388246528400886</c:v>
                </c:pt>
                <c:pt idx="32">
                  <c:v>8.1801700283094441</c:v>
                </c:pt>
                <c:pt idx="33">
                  <c:v>4.7139214962486351</c:v>
                </c:pt>
                <c:pt idx="34">
                  <c:v>2.1314095543879361</c:v>
                </c:pt>
                <c:pt idx="35">
                  <c:v>0.53836254505940062</c:v>
                </c:pt>
                <c:pt idx="36">
                  <c:v>7.8952007543317891E-31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F3-40DE-9C81-1F063DE7B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577519"/>
        <c:axId val="1749595279"/>
      </c:scatterChart>
      <c:valAx>
        <c:axId val="272944255"/>
        <c:scaling>
          <c:orientation val="minMax"/>
          <c:max val="3.1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Ѳ</a:t>
                </a:r>
                <a:r>
                  <a:rPr lang="en-US"/>
                  <a:t> [rad]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63455"/>
        <c:crosses val="autoZero"/>
        <c:crossBetween val="midCat"/>
        <c:majorUnit val="0.4"/>
      </c:valAx>
      <c:valAx>
        <c:axId val="27296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fsw [kHz]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4255"/>
        <c:crosses val="autoZero"/>
        <c:crossBetween val="midCat"/>
      </c:valAx>
      <c:valAx>
        <c:axId val="174959527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577519"/>
        <c:crosses val="max"/>
        <c:crossBetween val="midCat"/>
      </c:valAx>
      <c:valAx>
        <c:axId val="17495775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49595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84698593479997"/>
          <c:y val="0.16196283010773191"/>
          <c:w val="0.16720380479655308"/>
          <c:h val="0.25312318408085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image" Target="../media/image11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8.emf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2" Type="http://schemas.openxmlformats.org/officeDocument/2006/relationships/chart" Target="../charts/chart16.xml"/><Relationship Id="rId16" Type="http://schemas.openxmlformats.org/officeDocument/2006/relationships/image" Target="../media/image2.png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5" Type="http://schemas.openxmlformats.org/officeDocument/2006/relationships/chart" Target="../charts/chart2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751840</xdr:colOff>
      <xdr:row>1</xdr:row>
      <xdr:rowOff>166370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8C99E18-6ADC-4E7C-A670-5B7FCF76DD0B}"/>
            </a:ext>
          </a:extLst>
        </xdr:cNvPr>
        <xdr:cNvGrpSpPr>
          <a:grpSpLocks/>
        </xdr:cNvGrpSpPr>
      </xdr:nvGrpSpPr>
      <xdr:grpSpPr bwMode="auto">
        <a:xfrm>
          <a:off x="0" y="0"/>
          <a:ext cx="1332865" cy="356870"/>
          <a:chOff x="892" y="153"/>
          <a:chExt cx="2144" cy="552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F1B33C19-274D-828C-AD4C-9CC4AA8C3A82}"/>
              </a:ext>
            </a:extLst>
          </xdr:cNvPr>
          <xdr:cNvGrpSpPr>
            <a:grpSpLocks/>
          </xdr:cNvGrpSpPr>
        </xdr:nvGrpSpPr>
        <xdr:grpSpPr bwMode="auto">
          <a:xfrm>
            <a:off x="892" y="153"/>
            <a:ext cx="1036" cy="452"/>
            <a:chOff x="892" y="153"/>
            <a:chExt cx="1036" cy="452"/>
          </a:xfrm>
        </xdr:grpSpPr>
        <xdr:sp macro="" textlink="">
          <xdr:nvSpPr>
            <xdr:cNvPr id="71" name="Freeform 4884">
              <a:extLst>
                <a:ext uri="{FF2B5EF4-FFF2-40B4-BE49-F238E27FC236}">
                  <a16:creationId xmlns:a16="http://schemas.microsoft.com/office/drawing/2014/main" id="{ABC5AD15-4BEB-FED2-9FD2-C8112BF43D37}"/>
                </a:ext>
              </a:extLst>
            </xdr:cNvPr>
            <xdr:cNvSpPr>
              <a:spLocks/>
            </xdr:cNvSpPr>
          </xdr:nvSpPr>
          <xdr:spPr bwMode="auto">
            <a:xfrm>
              <a:off x="892" y="153"/>
              <a:ext cx="1036" cy="452"/>
            </a:xfrm>
            <a:custGeom>
              <a:avLst/>
              <a:gdLst>
                <a:gd name="T0" fmla="+- 0 1239 892"/>
                <a:gd name="T1" fmla="*/ T0 w 1036"/>
                <a:gd name="T2" fmla="+- 0 604 153"/>
                <a:gd name="T3" fmla="*/ 604 h 452"/>
                <a:gd name="T4" fmla="+- 0 895 892"/>
                <a:gd name="T5" fmla="*/ T4 w 1036"/>
                <a:gd name="T6" fmla="+- 0 604 153"/>
                <a:gd name="T7" fmla="*/ 604 h 452"/>
                <a:gd name="T8" fmla="+- 0 892 892"/>
                <a:gd name="T9" fmla="*/ T8 w 1036"/>
                <a:gd name="T10" fmla="+- 0 601 153"/>
                <a:gd name="T11" fmla="*/ 601 h 452"/>
                <a:gd name="T12" fmla="+- 0 892 892"/>
                <a:gd name="T13" fmla="*/ T12 w 1036"/>
                <a:gd name="T14" fmla="+- 0 595 153"/>
                <a:gd name="T15" fmla="*/ 595 h 452"/>
                <a:gd name="T16" fmla="+- 0 892 892"/>
                <a:gd name="T17" fmla="*/ T16 w 1036"/>
                <a:gd name="T18" fmla="+- 0 594 153"/>
                <a:gd name="T19" fmla="*/ 594 h 452"/>
                <a:gd name="T20" fmla="+- 0 1046 892"/>
                <a:gd name="T21" fmla="*/ T20 w 1036"/>
                <a:gd name="T22" fmla="+- 0 225 153"/>
                <a:gd name="T23" fmla="*/ 225 h 452"/>
                <a:gd name="T24" fmla="+- 0 1087 892"/>
                <a:gd name="T25" fmla="*/ T24 w 1036"/>
                <a:gd name="T26" fmla="+- 0 178 153"/>
                <a:gd name="T27" fmla="*/ 178 h 452"/>
                <a:gd name="T28" fmla="+- 0 1146 892"/>
                <a:gd name="T29" fmla="*/ T28 w 1036"/>
                <a:gd name="T30" fmla="+- 0 155 153"/>
                <a:gd name="T31" fmla="*/ 155 h 452"/>
                <a:gd name="T32" fmla="+- 0 1919 892"/>
                <a:gd name="T33" fmla="*/ T32 w 1036"/>
                <a:gd name="T34" fmla="+- 0 153 153"/>
                <a:gd name="T35" fmla="*/ 153 h 452"/>
                <a:gd name="T36" fmla="+- 0 1923 892"/>
                <a:gd name="T37" fmla="*/ T36 w 1036"/>
                <a:gd name="T38" fmla="+- 0 153 153"/>
                <a:gd name="T39" fmla="*/ 153 h 452"/>
                <a:gd name="T40" fmla="+- 0 1927 892"/>
                <a:gd name="T41" fmla="*/ T40 w 1036"/>
                <a:gd name="T42" fmla="+- 0 156 153"/>
                <a:gd name="T43" fmla="*/ 156 h 452"/>
                <a:gd name="T44" fmla="+- 0 1927 892"/>
                <a:gd name="T45" fmla="*/ T44 w 1036"/>
                <a:gd name="T46" fmla="+- 0 162 153"/>
                <a:gd name="T47" fmla="*/ 162 h 452"/>
                <a:gd name="T48" fmla="+- 0 1927 892"/>
                <a:gd name="T49" fmla="*/ T48 w 1036"/>
                <a:gd name="T50" fmla="+- 0 163 153"/>
                <a:gd name="T51" fmla="*/ 163 h 452"/>
                <a:gd name="T52" fmla="+- 0 1900 892"/>
                <a:gd name="T53" fmla="*/ T52 w 1036"/>
                <a:gd name="T54" fmla="+- 0 227 153"/>
                <a:gd name="T55" fmla="*/ 227 h 452"/>
                <a:gd name="T56" fmla="+- 0 1899 892"/>
                <a:gd name="T57" fmla="*/ T56 w 1036"/>
                <a:gd name="T58" fmla="+- 0 230 153"/>
                <a:gd name="T59" fmla="*/ 230 h 452"/>
                <a:gd name="T60" fmla="+- 0 1896 892"/>
                <a:gd name="T61" fmla="*/ T60 w 1036"/>
                <a:gd name="T62" fmla="+- 0 232 153"/>
                <a:gd name="T63" fmla="*/ 232 h 452"/>
                <a:gd name="T64" fmla="+- 0 1212 892"/>
                <a:gd name="T65" fmla="*/ T64 w 1036"/>
                <a:gd name="T66" fmla="+- 0 233 153"/>
                <a:gd name="T67" fmla="*/ 233 h 452"/>
                <a:gd name="T68" fmla="+- 0 1189 892"/>
                <a:gd name="T69" fmla="*/ T68 w 1036"/>
                <a:gd name="T70" fmla="+- 0 237 153"/>
                <a:gd name="T71" fmla="*/ 237 h 452"/>
                <a:gd name="T72" fmla="+- 0 1135 892"/>
                <a:gd name="T73" fmla="*/ T72 w 1036"/>
                <a:gd name="T74" fmla="+- 0 266 153"/>
                <a:gd name="T75" fmla="*/ 266 h 452"/>
                <a:gd name="T76" fmla="+- 0 1100 892"/>
                <a:gd name="T77" fmla="*/ T76 w 1036"/>
                <a:gd name="T78" fmla="+- 0 330 153"/>
                <a:gd name="T79" fmla="*/ 330 h 452"/>
                <a:gd name="T80" fmla="+- 0 1096 892"/>
                <a:gd name="T81" fmla="*/ T80 w 1036"/>
                <a:gd name="T82" fmla="+- 0 366 153"/>
                <a:gd name="T83" fmla="*/ 366 h 452"/>
                <a:gd name="T84" fmla="+- 0 1098 892"/>
                <a:gd name="T85" fmla="*/ T84 w 1036"/>
                <a:gd name="T86" fmla="+- 0 384 153"/>
                <a:gd name="T87" fmla="*/ 384 h 452"/>
                <a:gd name="T88" fmla="+- 0 1130 892"/>
                <a:gd name="T89" fmla="*/ T88 w 1036"/>
                <a:gd name="T90" fmla="+- 0 446 153"/>
                <a:gd name="T91" fmla="*/ 446 h 452"/>
                <a:gd name="T92" fmla="+- 0 1260 892"/>
                <a:gd name="T93" fmla="*/ T92 w 1036"/>
                <a:gd name="T94" fmla="+- 0 569 153"/>
                <a:gd name="T95" fmla="*/ 569 h 452"/>
                <a:gd name="T96" fmla="+- 0 1264 892"/>
                <a:gd name="T97" fmla="*/ T96 w 1036"/>
                <a:gd name="T98" fmla="+- 0 586 153"/>
                <a:gd name="T99" fmla="*/ 586 h 452"/>
                <a:gd name="T100" fmla="+- 0 1256 892"/>
                <a:gd name="T101" fmla="*/ T100 w 1036"/>
                <a:gd name="T102" fmla="+- 0 599 153"/>
                <a:gd name="T103" fmla="*/ 599 h 452"/>
                <a:gd name="T104" fmla="+- 0 1239 892"/>
                <a:gd name="T105" fmla="*/ T104 w 1036"/>
                <a:gd name="T106" fmla="+- 0 604 153"/>
                <a:gd name="T107" fmla="*/ 604 h 45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  <a:cxn ang="0">
                  <a:pos x="T105" y="T107"/>
                </a:cxn>
              </a:cxnLst>
              <a:rect l="0" t="0" r="r" b="b"/>
              <a:pathLst>
                <a:path w="1036" h="452">
                  <a:moveTo>
                    <a:pt x="347" y="451"/>
                  </a:moveTo>
                  <a:lnTo>
                    <a:pt x="3" y="451"/>
                  </a:lnTo>
                  <a:lnTo>
                    <a:pt x="0" y="448"/>
                  </a:lnTo>
                  <a:lnTo>
                    <a:pt x="0" y="442"/>
                  </a:lnTo>
                  <a:lnTo>
                    <a:pt x="0" y="441"/>
                  </a:lnTo>
                  <a:lnTo>
                    <a:pt x="154" y="72"/>
                  </a:lnTo>
                  <a:lnTo>
                    <a:pt x="195" y="25"/>
                  </a:lnTo>
                  <a:lnTo>
                    <a:pt x="254" y="2"/>
                  </a:lnTo>
                  <a:lnTo>
                    <a:pt x="1027" y="0"/>
                  </a:lnTo>
                  <a:lnTo>
                    <a:pt x="1031" y="0"/>
                  </a:lnTo>
                  <a:lnTo>
                    <a:pt x="1035" y="3"/>
                  </a:lnTo>
                  <a:lnTo>
                    <a:pt x="1035" y="9"/>
                  </a:lnTo>
                  <a:lnTo>
                    <a:pt x="1035" y="10"/>
                  </a:lnTo>
                  <a:lnTo>
                    <a:pt x="1008" y="74"/>
                  </a:lnTo>
                  <a:lnTo>
                    <a:pt x="1007" y="77"/>
                  </a:lnTo>
                  <a:lnTo>
                    <a:pt x="1004" y="79"/>
                  </a:lnTo>
                  <a:lnTo>
                    <a:pt x="320" y="80"/>
                  </a:lnTo>
                  <a:lnTo>
                    <a:pt x="297" y="84"/>
                  </a:lnTo>
                  <a:lnTo>
                    <a:pt x="243" y="113"/>
                  </a:lnTo>
                  <a:lnTo>
                    <a:pt x="208" y="177"/>
                  </a:lnTo>
                  <a:lnTo>
                    <a:pt x="204" y="213"/>
                  </a:lnTo>
                  <a:lnTo>
                    <a:pt x="206" y="231"/>
                  </a:lnTo>
                  <a:lnTo>
                    <a:pt x="238" y="293"/>
                  </a:lnTo>
                  <a:lnTo>
                    <a:pt x="368" y="416"/>
                  </a:lnTo>
                  <a:lnTo>
                    <a:pt x="372" y="433"/>
                  </a:lnTo>
                  <a:lnTo>
                    <a:pt x="364" y="446"/>
                  </a:lnTo>
                  <a:lnTo>
                    <a:pt x="347" y="45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2364AC83-7C99-EAD1-161E-B9013462E5A6}"/>
              </a:ext>
            </a:extLst>
          </xdr:cNvPr>
          <xdr:cNvGrpSpPr>
            <a:grpSpLocks/>
          </xdr:cNvGrpSpPr>
        </xdr:nvGrpSpPr>
        <xdr:grpSpPr bwMode="auto">
          <a:xfrm>
            <a:off x="1554" y="335"/>
            <a:ext cx="299" cy="370"/>
            <a:chOff x="1554" y="335"/>
            <a:chExt cx="299" cy="370"/>
          </a:xfrm>
        </xdr:grpSpPr>
        <xdr:sp macro="" textlink="">
          <xdr:nvSpPr>
            <xdr:cNvPr id="69" name="Freeform 4882">
              <a:extLst>
                <a:ext uri="{FF2B5EF4-FFF2-40B4-BE49-F238E27FC236}">
                  <a16:creationId xmlns:a16="http://schemas.microsoft.com/office/drawing/2014/main" id="{A20C4773-BDD8-34DB-1517-D32559306B6F}"/>
                </a:ext>
              </a:extLst>
            </xdr:cNvPr>
            <xdr:cNvSpPr>
              <a:spLocks/>
            </xdr:cNvSpPr>
          </xdr:nvSpPr>
          <xdr:spPr bwMode="auto">
            <a:xfrm>
              <a:off x="1554" y="335"/>
              <a:ext cx="299" cy="370"/>
            </a:xfrm>
            <a:custGeom>
              <a:avLst/>
              <a:gdLst>
                <a:gd name="T0" fmla="+- 0 1557 1554"/>
                <a:gd name="T1" fmla="*/ T0 w 299"/>
                <a:gd name="T2" fmla="+- 0 705 335"/>
                <a:gd name="T3" fmla="*/ 705 h 370"/>
                <a:gd name="T4" fmla="+- 0 1554 1554"/>
                <a:gd name="T5" fmla="*/ T4 w 299"/>
                <a:gd name="T6" fmla="+- 0 701 335"/>
                <a:gd name="T7" fmla="*/ 701 h 370"/>
                <a:gd name="T8" fmla="+- 0 1554 1554"/>
                <a:gd name="T9" fmla="*/ T8 w 299"/>
                <a:gd name="T10" fmla="+- 0 696 335"/>
                <a:gd name="T11" fmla="*/ 696 h 370"/>
                <a:gd name="T12" fmla="+- 0 1554 1554"/>
                <a:gd name="T13" fmla="*/ T12 w 299"/>
                <a:gd name="T14" fmla="+- 0 694 335"/>
                <a:gd name="T15" fmla="*/ 694 h 370"/>
                <a:gd name="T16" fmla="+- 0 1555 1554"/>
                <a:gd name="T17" fmla="*/ T16 w 299"/>
                <a:gd name="T18" fmla="+- 0 693 335"/>
                <a:gd name="T19" fmla="*/ 693 h 370"/>
                <a:gd name="T20" fmla="+- 0 1701 1554"/>
                <a:gd name="T21" fmla="*/ T20 w 299"/>
                <a:gd name="T22" fmla="+- 0 340 335"/>
                <a:gd name="T23" fmla="*/ 340 h 370"/>
                <a:gd name="T24" fmla="+- 0 1708 1554"/>
                <a:gd name="T25" fmla="*/ T24 w 299"/>
                <a:gd name="T26" fmla="+- 0 335 335"/>
                <a:gd name="T27" fmla="*/ 335 h 370"/>
                <a:gd name="T28" fmla="+- 0 1848 1554"/>
                <a:gd name="T29" fmla="*/ T28 w 299"/>
                <a:gd name="T30" fmla="+- 0 335 335"/>
                <a:gd name="T31" fmla="*/ 335 h 370"/>
                <a:gd name="T32" fmla="+- 0 1852 1554"/>
                <a:gd name="T33" fmla="*/ T32 w 299"/>
                <a:gd name="T34" fmla="+- 0 338 335"/>
                <a:gd name="T35" fmla="*/ 338 h 370"/>
                <a:gd name="T36" fmla="+- 0 1852 1554"/>
                <a:gd name="T37" fmla="*/ T36 w 299"/>
                <a:gd name="T38" fmla="+- 0 340 335"/>
                <a:gd name="T39" fmla="*/ 340 h 370"/>
                <a:gd name="T40" fmla="+- 0 1852 1554"/>
                <a:gd name="T41" fmla="*/ T40 w 299"/>
                <a:gd name="T42" fmla="+- 0 344 335"/>
                <a:gd name="T43" fmla="*/ 344 h 370"/>
                <a:gd name="T44" fmla="+- 0 1852 1554"/>
                <a:gd name="T45" fmla="*/ T44 w 299"/>
                <a:gd name="T46" fmla="+- 0 345 335"/>
                <a:gd name="T47" fmla="*/ 345 h 370"/>
                <a:gd name="T48" fmla="+- 0 1851 1554"/>
                <a:gd name="T49" fmla="*/ T48 w 299"/>
                <a:gd name="T50" fmla="+- 0 345 335"/>
                <a:gd name="T51" fmla="*/ 345 h 370"/>
                <a:gd name="T52" fmla="+- 0 1738 1554"/>
                <a:gd name="T53" fmla="*/ T52 w 299"/>
                <a:gd name="T54" fmla="+- 0 620 335"/>
                <a:gd name="T55" fmla="*/ 620 h 370"/>
                <a:gd name="T56" fmla="+- 0 1731 1554"/>
                <a:gd name="T57" fmla="*/ T56 w 299"/>
                <a:gd name="T58" fmla="+- 0 633 335"/>
                <a:gd name="T59" fmla="*/ 633 h 370"/>
                <a:gd name="T60" fmla="+- 0 1690 1554"/>
                <a:gd name="T61" fmla="*/ T60 w 299"/>
                <a:gd name="T62" fmla="+- 0 679 335"/>
                <a:gd name="T63" fmla="*/ 679 h 370"/>
                <a:gd name="T64" fmla="+- 0 1631 1554"/>
                <a:gd name="T65" fmla="*/ T64 w 299"/>
                <a:gd name="T66" fmla="+- 0 703 335"/>
                <a:gd name="T67" fmla="*/ 703 h 370"/>
                <a:gd name="T68" fmla="+- 0 1609 1554"/>
                <a:gd name="T69" fmla="*/ T68 w 299"/>
                <a:gd name="T70" fmla="+- 0 705 335"/>
                <a:gd name="T71" fmla="*/ 705 h 370"/>
                <a:gd name="T72" fmla="+- 0 1557 1554"/>
                <a:gd name="T73" fmla="*/ T72 w 299"/>
                <a:gd name="T74" fmla="+- 0 705 335"/>
                <a:gd name="T75" fmla="*/ 705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</a:cxnLst>
              <a:rect l="0" t="0" r="r" b="b"/>
              <a:pathLst>
                <a:path w="299" h="370">
                  <a:moveTo>
                    <a:pt x="3" y="370"/>
                  </a:moveTo>
                  <a:lnTo>
                    <a:pt x="0" y="366"/>
                  </a:lnTo>
                  <a:lnTo>
                    <a:pt x="0" y="361"/>
                  </a:lnTo>
                  <a:lnTo>
                    <a:pt x="0" y="359"/>
                  </a:lnTo>
                  <a:lnTo>
                    <a:pt x="1" y="358"/>
                  </a:lnTo>
                  <a:lnTo>
                    <a:pt x="147" y="5"/>
                  </a:lnTo>
                  <a:lnTo>
                    <a:pt x="154" y="0"/>
                  </a:lnTo>
                  <a:lnTo>
                    <a:pt x="294" y="0"/>
                  </a:lnTo>
                  <a:lnTo>
                    <a:pt x="298" y="3"/>
                  </a:lnTo>
                  <a:lnTo>
                    <a:pt x="298" y="5"/>
                  </a:lnTo>
                  <a:lnTo>
                    <a:pt x="298" y="9"/>
                  </a:lnTo>
                  <a:lnTo>
                    <a:pt x="298" y="10"/>
                  </a:lnTo>
                  <a:lnTo>
                    <a:pt x="297" y="10"/>
                  </a:lnTo>
                  <a:lnTo>
                    <a:pt x="184" y="285"/>
                  </a:lnTo>
                  <a:lnTo>
                    <a:pt x="177" y="298"/>
                  </a:lnTo>
                  <a:lnTo>
                    <a:pt x="136" y="344"/>
                  </a:lnTo>
                  <a:lnTo>
                    <a:pt x="77" y="368"/>
                  </a:lnTo>
                  <a:lnTo>
                    <a:pt x="55" y="370"/>
                  </a:lnTo>
                  <a:lnTo>
                    <a:pt x="3" y="3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0" name="Freeform 4881">
              <a:extLst>
                <a:ext uri="{FF2B5EF4-FFF2-40B4-BE49-F238E27FC236}">
                  <a16:creationId xmlns:a16="http://schemas.microsoft.com/office/drawing/2014/main" id="{53C61B7E-862F-D7B7-60C3-92BA8A8421E1}"/>
                </a:ext>
              </a:extLst>
            </xdr:cNvPr>
            <xdr:cNvSpPr>
              <a:spLocks/>
            </xdr:cNvSpPr>
          </xdr:nvSpPr>
          <xdr:spPr bwMode="auto">
            <a:xfrm>
              <a:off x="1554" y="335"/>
              <a:ext cx="299" cy="370"/>
            </a:xfrm>
            <a:custGeom>
              <a:avLst/>
              <a:gdLst>
                <a:gd name="T0" fmla="+- 0 1738 1554"/>
                <a:gd name="T1" fmla="*/ T0 w 299"/>
                <a:gd name="T2" fmla="+- 0 620 335"/>
                <a:gd name="T3" fmla="*/ 620 h 370"/>
                <a:gd name="T4" fmla="+- 0 1738 1554"/>
                <a:gd name="T5" fmla="*/ T4 w 299"/>
                <a:gd name="T6" fmla="+- 0 620 335"/>
                <a:gd name="T7" fmla="*/ 620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299" h="370">
                  <a:moveTo>
                    <a:pt x="184" y="285"/>
                  </a:moveTo>
                  <a:lnTo>
                    <a:pt x="184" y="28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1F984D36-8D30-9E35-05A7-C61D502768AC}"/>
              </a:ext>
            </a:extLst>
          </xdr:cNvPr>
          <xdr:cNvGrpSpPr>
            <a:grpSpLocks/>
          </xdr:cNvGrpSpPr>
        </xdr:nvGrpSpPr>
        <xdr:grpSpPr bwMode="auto">
          <a:xfrm>
            <a:off x="1200" y="335"/>
            <a:ext cx="394" cy="370"/>
            <a:chOff x="1200" y="335"/>
            <a:chExt cx="394" cy="370"/>
          </a:xfrm>
        </xdr:grpSpPr>
        <xdr:sp macro="" textlink="">
          <xdr:nvSpPr>
            <xdr:cNvPr id="68" name="Freeform 4879">
              <a:extLst>
                <a:ext uri="{FF2B5EF4-FFF2-40B4-BE49-F238E27FC236}">
                  <a16:creationId xmlns:a16="http://schemas.microsoft.com/office/drawing/2014/main" id="{ED51A100-C2AB-34BE-883F-AC4C351CABBF}"/>
                </a:ext>
              </a:extLst>
            </xdr:cNvPr>
            <xdr:cNvSpPr>
              <a:spLocks/>
            </xdr:cNvSpPr>
          </xdr:nvSpPr>
          <xdr:spPr bwMode="auto">
            <a:xfrm>
              <a:off x="1200" y="335"/>
              <a:ext cx="394" cy="370"/>
            </a:xfrm>
            <a:custGeom>
              <a:avLst/>
              <a:gdLst>
                <a:gd name="T0" fmla="+- 0 1439 1200"/>
                <a:gd name="T1" fmla="*/ T0 w 394"/>
                <a:gd name="T2" fmla="+- 0 705 335"/>
                <a:gd name="T3" fmla="*/ 705 h 370"/>
                <a:gd name="T4" fmla="+- 0 1290 1200"/>
                <a:gd name="T5" fmla="*/ T4 w 394"/>
                <a:gd name="T6" fmla="+- 0 705 335"/>
                <a:gd name="T7" fmla="*/ 705 h 370"/>
                <a:gd name="T8" fmla="+- 0 1289 1200"/>
                <a:gd name="T9" fmla="*/ T8 w 394"/>
                <a:gd name="T10" fmla="+- 0 704 335"/>
                <a:gd name="T11" fmla="*/ 704 h 370"/>
                <a:gd name="T12" fmla="+- 0 1289 1200"/>
                <a:gd name="T13" fmla="*/ T12 w 394"/>
                <a:gd name="T14" fmla="+- 0 702 335"/>
                <a:gd name="T15" fmla="*/ 702 h 370"/>
                <a:gd name="T16" fmla="+- 0 1290 1200"/>
                <a:gd name="T17" fmla="*/ T16 w 394"/>
                <a:gd name="T18" fmla="+- 0 701 335"/>
                <a:gd name="T19" fmla="*/ 701 h 370"/>
                <a:gd name="T20" fmla="+- 0 1298 1200"/>
                <a:gd name="T21" fmla="*/ T20 w 394"/>
                <a:gd name="T22" fmla="+- 0 697 335"/>
                <a:gd name="T23" fmla="*/ 697 h 370"/>
                <a:gd name="T24" fmla="+- 0 1312 1200"/>
                <a:gd name="T25" fmla="*/ T24 w 394"/>
                <a:gd name="T26" fmla="+- 0 688 335"/>
                <a:gd name="T27" fmla="*/ 688 h 370"/>
                <a:gd name="T28" fmla="+- 0 1351 1200"/>
                <a:gd name="T29" fmla="*/ T28 w 394"/>
                <a:gd name="T30" fmla="+- 0 641 335"/>
                <a:gd name="T31" fmla="*/ 641 h 370"/>
                <a:gd name="T32" fmla="+- 0 1366 1200"/>
                <a:gd name="T33" fmla="*/ T32 w 394"/>
                <a:gd name="T34" fmla="+- 0 593 335"/>
                <a:gd name="T35" fmla="*/ 593 h 370"/>
                <a:gd name="T36" fmla="+- 0 1366 1200"/>
                <a:gd name="T37" fmla="*/ T36 w 394"/>
                <a:gd name="T38" fmla="+- 0 564 335"/>
                <a:gd name="T39" fmla="*/ 564 h 370"/>
                <a:gd name="T40" fmla="+- 0 1339 1200"/>
                <a:gd name="T41" fmla="*/ T40 w 394"/>
                <a:gd name="T42" fmla="+- 0 503 335"/>
                <a:gd name="T43" fmla="*/ 503 h 370"/>
                <a:gd name="T44" fmla="+- 0 1201 1200"/>
                <a:gd name="T45" fmla="*/ T44 w 394"/>
                <a:gd name="T46" fmla="+- 0 368 335"/>
                <a:gd name="T47" fmla="*/ 368 h 370"/>
                <a:gd name="T48" fmla="+- 0 1200 1200"/>
                <a:gd name="T49" fmla="*/ T48 w 394"/>
                <a:gd name="T50" fmla="+- 0 352 335"/>
                <a:gd name="T51" fmla="*/ 352 h 370"/>
                <a:gd name="T52" fmla="+- 0 1209 1200"/>
                <a:gd name="T53" fmla="*/ T52 w 394"/>
                <a:gd name="T54" fmla="+- 0 340 335"/>
                <a:gd name="T55" fmla="*/ 340 h 370"/>
                <a:gd name="T56" fmla="+- 0 1224 1200"/>
                <a:gd name="T57" fmla="*/ T56 w 394"/>
                <a:gd name="T58" fmla="+- 0 335 335"/>
                <a:gd name="T59" fmla="*/ 335 h 370"/>
                <a:gd name="T60" fmla="+- 0 1590 1200"/>
                <a:gd name="T61" fmla="*/ T60 w 394"/>
                <a:gd name="T62" fmla="+- 0 335 335"/>
                <a:gd name="T63" fmla="*/ 335 h 370"/>
                <a:gd name="T64" fmla="+- 0 1593 1200"/>
                <a:gd name="T65" fmla="*/ T64 w 394"/>
                <a:gd name="T66" fmla="+- 0 338 335"/>
                <a:gd name="T67" fmla="*/ 338 h 370"/>
                <a:gd name="T68" fmla="+- 0 1593 1200"/>
                <a:gd name="T69" fmla="*/ T68 w 394"/>
                <a:gd name="T70" fmla="+- 0 344 335"/>
                <a:gd name="T71" fmla="*/ 344 h 370"/>
                <a:gd name="T72" fmla="+- 0 1593 1200"/>
                <a:gd name="T73" fmla="*/ T72 w 394"/>
                <a:gd name="T74" fmla="+- 0 345 335"/>
                <a:gd name="T75" fmla="*/ 345 h 370"/>
                <a:gd name="T76" fmla="+- 0 1593 1200"/>
                <a:gd name="T77" fmla="*/ T76 w 394"/>
                <a:gd name="T78" fmla="+- 0 345 335"/>
                <a:gd name="T79" fmla="*/ 345 h 370"/>
                <a:gd name="T80" fmla="+- 0 1446 1200"/>
                <a:gd name="T81" fmla="*/ T80 w 394"/>
                <a:gd name="T82" fmla="+- 0 700 335"/>
                <a:gd name="T83" fmla="*/ 700 h 370"/>
                <a:gd name="T84" fmla="+- 0 1439 1200"/>
                <a:gd name="T85" fmla="*/ T84 w 394"/>
                <a:gd name="T86" fmla="+- 0 705 335"/>
                <a:gd name="T87" fmla="*/ 705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</a:cxnLst>
              <a:rect l="0" t="0" r="r" b="b"/>
              <a:pathLst>
                <a:path w="394" h="370">
                  <a:moveTo>
                    <a:pt x="239" y="370"/>
                  </a:moveTo>
                  <a:lnTo>
                    <a:pt x="90" y="370"/>
                  </a:lnTo>
                  <a:lnTo>
                    <a:pt x="89" y="369"/>
                  </a:lnTo>
                  <a:lnTo>
                    <a:pt x="89" y="367"/>
                  </a:lnTo>
                  <a:lnTo>
                    <a:pt x="90" y="366"/>
                  </a:lnTo>
                  <a:lnTo>
                    <a:pt x="98" y="362"/>
                  </a:lnTo>
                  <a:lnTo>
                    <a:pt x="112" y="353"/>
                  </a:lnTo>
                  <a:lnTo>
                    <a:pt x="151" y="306"/>
                  </a:lnTo>
                  <a:lnTo>
                    <a:pt x="166" y="258"/>
                  </a:lnTo>
                  <a:lnTo>
                    <a:pt x="166" y="229"/>
                  </a:lnTo>
                  <a:lnTo>
                    <a:pt x="139" y="168"/>
                  </a:lnTo>
                  <a:lnTo>
                    <a:pt x="1" y="33"/>
                  </a:lnTo>
                  <a:lnTo>
                    <a:pt x="0" y="17"/>
                  </a:lnTo>
                  <a:lnTo>
                    <a:pt x="9" y="5"/>
                  </a:lnTo>
                  <a:lnTo>
                    <a:pt x="24" y="0"/>
                  </a:lnTo>
                  <a:lnTo>
                    <a:pt x="390" y="0"/>
                  </a:lnTo>
                  <a:lnTo>
                    <a:pt x="393" y="3"/>
                  </a:lnTo>
                  <a:lnTo>
                    <a:pt x="393" y="9"/>
                  </a:lnTo>
                  <a:lnTo>
                    <a:pt x="393" y="10"/>
                  </a:lnTo>
                  <a:lnTo>
                    <a:pt x="246" y="365"/>
                  </a:lnTo>
                  <a:lnTo>
                    <a:pt x="239" y="3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E8D40C16-7E19-D23B-1946-86BE027A6B36}"/>
              </a:ext>
            </a:extLst>
          </xdr:cNvPr>
          <xdr:cNvGrpSpPr>
            <a:grpSpLocks/>
          </xdr:cNvGrpSpPr>
        </xdr:nvGrpSpPr>
        <xdr:grpSpPr bwMode="auto">
          <a:xfrm>
            <a:off x="1986" y="492"/>
            <a:ext cx="11" cy="16"/>
            <a:chOff x="1986" y="492"/>
            <a:chExt cx="11" cy="16"/>
          </a:xfrm>
        </xdr:grpSpPr>
        <xdr:sp macro="" textlink="">
          <xdr:nvSpPr>
            <xdr:cNvPr id="67" name="Freeform 4877">
              <a:extLst>
                <a:ext uri="{FF2B5EF4-FFF2-40B4-BE49-F238E27FC236}">
                  <a16:creationId xmlns:a16="http://schemas.microsoft.com/office/drawing/2014/main" id="{5B808C49-04AD-C073-A521-694DE2CB857A}"/>
                </a:ext>
              </a:extLst>
            </xdr:cNvPr>
            <xdr:cNvSpPr>
              <a:spLocks/>
            </xdr:cNvSpPr>
          </xdr:nvSpPr>
          <xdr:spPr bwMode="auto">
            <a:xfrm>
              <a:off x="1986" y="492"/>
              <a:ext cx="11" cy="16"/>
            </a:xfrm>
            <a:custGeom>
              <a:avLst/>
              <a:gdLst>
                <a:gd name="T0" fmla="+- 0 1986 1986"/>
                <a:gd name="T1" fmla="*/ T0 w 11"/>
                <a:gd name="T2" fmla="+- 0 500 492"/>
                <a:gd name="T3" fmla="*/ 500 h 16"/>
                <a:gd name="T4" fmla="+- 0 1997 1986"/>
                <a:gd name="T5" fmla="*/ T4 w 11"/>
                <a:gd name="T6" fmla="+- 0 500 492"/>
                <a:gd name="T7" fmla="*/ 500 h 1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11" h="16">
                  <a:moveTo>
                    <a:pt x="0" y="8"/>
                  </a:moveTo>
                  <a:lnTo>
                    <a:pt x="11" y="8"/>
                  </a:lnTo>
                </a:path>
              </a:pathLst>
            </a:custGeom>
            <a:noFill/>
            <a:ln w="11238">
              <a:solidFill>
                <a:srgbClr val="001E4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6D8DCF87-673C-5D75-FE44-36C33588CA7E}"/>
              </a:ext>
            </a:extLst>
          </xdr:cNvPr>
          <xdr:cNvGrpSpPr>
            <a:grpSpLocks/>
          </xdr:cNvGrpSpPr>
        </xdr:nvGrpSpPr>
        <xdr:grpSpPr bwMode="auto">
          <a:xfrm>
            <a:off x="1927" y="495"/>
            <a:ext cx="36" cy="106"/>
            <a:chOff x="1927" y="495"/>
            <a:chExt cx="36" cy="106"/>
          </a:xfrm>
        </xdr:grpSpPr>
        <xdr:sp macro="" textlink="">
          <xdr:nvSpPr>
            <xdr:cNvPr id="65" name="Freeform 4875">
              <a:extLst>
                <a:ext uri="{FF2B5EF4-FFF2-40B4-BE49-F238E27FC236}">
                  <a16:creationId xmlns:a16="http://schemas.microsoft.com/office/drawing/2014/main" id="{F200D84A-CF56-0D70-700F-E1D320F4E574}"/>
                </a:ext>
              </a:extLst>
            </xdr:cNvPr>
            <xdr:cNvSpPr>
              <a:spLocks/>
            </xdr:cNvSpPr>
          </xdr:nvSpPr>
          <xdr:spPr bwMode="auto">
            <a:xfrm>
              <a:off x="1927" y="495"/>
              <a:ext cx="36" cy="106"/>
            </a:xfrm>
            <a:custGeom>
              <a:avLst/>
              <a:gdLst>
                <a:gd name="T0" fmla="+- 0 1951 1927"/>
                <a:gd name="T1" fmla="*/ T0 w 36"/>
                <a:gd name="T2" fmla="+- 0 591 495"/>
                <a:gd name="T3" fmla="*/ 591 h 106"/>
                <a:gd name="T4" fmla="+- 0 1940 1927"/>
                <a:gd name="T5" fmla="*/ T4 w 36"/>
                <a:gd name="T6" fmla="+- 0 591 495"/>
                <a:gd name="T7" fmla="*/ 591 h 106"/>
                <a:gd name="T8" fmla="+- 0 1940 1927"/>
                <a:gd name="T9" fmla="*/ T8 w 36"/>
                <a:gd name="T10" fmla="+- 0 505 495"/>
                <a:gd name="T11" fmla="*/ 505 h 106"/>
                <a:gd name="T12" fmla="+- 0 1928 1927"/>
                <a:gd name="T13" fmla="*/ T12 w 36"/>
                <a:gd name="T14" fmla="+- 0 505 495"/>
                <a:gd name="T15" fmla="*/ 505 h 106"/>
                <a:gd name="T16" fmla="+- 0 1928 1927"/>
                <a:gd name="T17" fmla="*/ T16 w 36"/>
                <a:gd name="T18" fmla="+- 0 495 495"/>
                <a:gd name="T19" fmla="*/ 495 h 106"/>
                <a:gd name="T20" fmla="+- 0 1951 1927"/>
                <a:gd name="T21" fmla="*/ T20 w 36"/>
                <a:gd name="T22" fmla="+- 0 495 495"/>
                <a:gd name="T23" fmla="*/ 495 h 106"/>
                <a:gd name="T24" fmla="+- 0 1951 1927"/>
                <a:gd name="T25" fmla="*/ T24 w 36"/>
                <a:gd name="T26" fmla="+- 0 591 495"/>
                <a:gd name="T27" fmla="*/ 591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6" h="106">
                  <a:moveTo>
                    <a:pt x="24" y="96"/>
                  </a:moveTo>
                  <a:lnTo>
                    <a:pt x="13" y="96"/>
                  </a:lnTo>
                  <a:lnTo>
                    <a:pt x="13" y="10"/>
                  </a:lnTo>
                  <a:lnTo>
                    <a:pt x="1" y="10"/>
                  </a:lnTo>
                  <a:lnTo>
                    <a:pt x="1" y="0"/>
                  </a:lnTo>
                  <a:lnTo>
                    <a:pt x="24" y="0"/>
                  </a:lnTo>
                  <a:lnTo>
                    <a:pt x="24" y="9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6" name="Freeform 4874">
              <a:extLst>
                <a:ext uri="{FF2B5EF4-FFF2-40B4-BE49-F238E27FC236}">
                  <a16:creationId xmlns:a16="http://schemas.microsoft.com/office/drawing/2014/main" id="{9BE01C1E-14E1-1AD2-9867-ECF914DA36B7}"/>
                </a:ext>
              </a:extLst>
            </xdr:cNvPr>
            <xdr:cNvSpPr>
              <a:spLocks/>
            </xdr:cNvSpPr>
          </xdr:nvSpPr>
          <xdr:spPr bwMode="auto">
            <a:xfrm>
              <a:off x="1927" y="495"/>
              <a:ext cx="36" cy="106"/>
            </a:xfrm>
            <a:custGeom>
              <a:avLst/>
              <a:gdLst>
                <a:gd name="T0" fmla="+- 0 1963 1927"/>
                <a:gd name="T1" fmla="*/ T0 w 36"/>
                <a:gd name="T2" fmla="+- 0 600 495"/>
                <a:gd name="T3" fmla="*/ 600 h 106"/>
                <a:gd name="T4" fmla="+- 0 1927 1927"/>
                <a:gd name="T5" fmla="*/ T4 w 36"/>
                <a:gd name="T6" fmla="+- 0 600 495"/>
                <a:gd name="T7" fmla="*/ 600 h 106"/>
                <a:gd name="T8" fmla="+- 0 1927 1927"/>
                <a:gd name="T9" fmla="*/ T8 w 36"/>
                <a:gd name="T10" fmla="+- 0 591 495"/>
                <a:gd name="T11" fmla="*/ 591 h 106"/>
                <a:gd name="T12" fmla="+- 0 1963 1927"/>
                <a:gd name="T13" fmla="*/ T12 w 36"/>
                <a:gd name="T14" fmla="+- 0 591 495"/>
                <a:gd name="T15" fmla="*/ 591 h 106"/>
                <a:gd name="T16" fmla="+- 0 1963 1927"/>
                <a:gd name="T17" fmla="*/ T16 w 36"/>
                <a:gd name="T18" fmla="+- 0 600 495"/>
                <a:gd name="T19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6" h="106">
                  <a:moveTo>
                    <a:pt x="36" y="105"/>
                  </a:moveTo>
                  <a:lnTo>
                    <a:pt x="0" y="105"/>
                  </a:lnTo>
                  <a:lnTo>
                    <a:pt x="0" y="96"/>
                  </a:lnTo>
                  <a:lnTo>
                    <a:pt x="36" y="96"/>
                  </a:lnTo>
                  <a:lnTo>
                    <a:pt x="36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13699248-E2FE-37C9-4768-F8489B72878A}"/>
              </a:ext>
            </a:extLst>
          </xdr:cNvPr>
          <xdr:cNvGrpSpPr>
            <a:grpSpLocks/>
          </xdr:cNvGrpSpPr>
        </xdr:nvGrpSpPr>
        <xdr:grpSpPr bwMode="auto">
          <a:xfrm>
            <a:off x="1976" y="522"/>
            <a:ext cx="36" cy="79"/>
            <a:chOff x="1976" y="522"/>
            <a:chExt cx="36" cy="79"/>
          </a:xfrm>
        </xdr:grpSpPr>
        <xdr:sp macro="" textlink="">
          <xdr:nvSpPr>
            <xdr:cNvPr id="63" name="Freeform 4872">
              <a:extLst>
                <a:ext uri="{FF2B5EF4-FFF2-40B4-BE49-F238E27FC236}">
                  <a16:creationId xmlns:a16="http://schemas.microsoft.com/office/drawing/2014/main" id="{BD3EDE9D-3470-9C74-B759-538C6C9E4BB2}"/>
                </a:ext>
              </a:extLst>
            </xdr:cNvPr>
            <xdr:cNvSpPr>
              <a:spLocks/>
            </xdr:cNvSpPr>
          </xdr:nvSpPr>
          <xdr:spPr bwMode="auto">
            <a:xfrm>
              <a:off x="1976" y="522"/>
              <a:ext cx="36" cy="79"/>
            </a:xfrm>
            <a:custGeom>
              <a:avLst/>
              <a:gdLst>
                <a:gd name="T0" fmla="+- 0 1999 1976"/>
                <a:gd name="T1" fmla="*/ T0 w 36"/>
                <a:gd name="T2" fmla="+- 0 591 522"/>
                <a:gd name="T3" fmla="*/ 591 h 79"/>
                <a:gd name="T4" fmla="+- 0 1989 1976"/>
                <a:gd name="T5" fmla="*/ T4 w 36"/>
                <a:gd name="T6" fmla="+- 0 591 522"/>
                <a:gd name="T7" fmla="*/ 591 h 79"/>
                <a:gd name="T8" fmla="+- 0 1989 1976"/>
                <a:gd name="T9" fmla="*/ T8 w 36"/>
                <a:gd name="T10" fmla="+- 0 532 522"/>
                <a:gd name="T11" fmla="*/ 532 h 79"/>
                <a:gd name="T12" fmla="+- 0 1976 1976"/>
                <a:gd name="T13" fmla="*/ T12 w 36"/>
                <a:gd name="T14" fmla="+- 0 532 522"/>
                <a:gd name="T15" fmla="*/ 532 h 79"/>
                <a:gd name="T16" fmla="+- 0 1976 1976"/>
                <a:gd name="T17" fmla="*/ T16 w 36"/>
                <a:gd name="T18" fmla="+- 0 522 522"/>
                <a:gd name="T19" fmla="*/ 522 h 79"/>
                <a:gd name="T20" fmla="+- 0 1999 1976"/>
                <a:gd name="T21" fmla="*/ T20 w 36"/>
                <a:gd name="T22" fmla="+- 0 522 522"/>
                <a:gd name="T23" fmla="*/ 522 h 79"/>
                <a:gd name="T24" fmla="+- 0 1999 1976"/>
                <a:gd name="T25" fmla="*/ T24 w 36"/>
                <a:gd name="T26" fmla="+- 0 591 522"/>
                <a:gd name="T27" fmla="*/ 591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6" h="79">
                  <a:moveTo>
                    <a:pt x="23" y="69"/>
                  </a:moveTo>
                  <a:lnTo>
                    <a:pt x="13" y="69"/>
                  </a:lnTo>
                  <a:lnTo>
                    <a:pt x="13" y="10"/>
                  </a:lnTo>
                  <a:lnTo>
                    <a:pt x="0" y="10"/>
                  </a:lnTo>
                  <a:lnTo>
                    <a:pt x="0" y="0"/>
                  </a:lnTo>
                  <a:lnTo>
                    <a:pt x="23" y="0"/>
                  </a:lnTo>
                  <a:lnTo>
                    <a:pt x="23" y="6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4" name="Freeform 4871">
              <a:extLst>
                <a:ext uri="{FF2B5EF4-FFF2-40B4-BE49-F238E27FC236}">
                  <a16:creationId xmlns:a16="http://schemas.microsoft.com/office/drawing/2014/main" id="{C27AC7FA-5CA5-0242-274A-B11A7ADF8850}"/>
                </a:ext>
              </a:extLst>
            </xdr:cNvPr>
            <xdr:cNvSpPr>
              <a:spLocks/>
            </xdr:cNvSpPr>
          </xdr:nvSpPr>
          <xdr:spPr bwMode="auto">
            <a:xfrm>
              <a:off x="1976" y="522"/>
              <a:ext cx="36" cy="79"/>
            </a:xfrm>
            <a:custGeom>
              <a:avLst/>
              <a:gdLst>
                <a:gd name="T0" fmla="+- 0 2011 1976"/>
                <a:gd name="T1" fmla="*/ T0 w 36"/>
                <a:gd name="T2" fmla="+- 0 600 522"/>
                <a:gd name="T3" fmla="*/ 600 h 79"/>
                <a:gd name="T4" fmla="+- 0 1976 1976"/>
                <a:gd name="T5" fmla="*/ T4 w 36"/>
                <a:gd name="T6" fmla="+- 0 600 522"/>
                <a:gd name="T7" fmla="*/ 600 h 79"/>
                <a:gd name="T8" fmla="+- 0 1976 1976"/>
                <a:gd name="T9" fmla="*/ T8 w 36"/>
                <a:gd name="T10" fmla="+- 0 591 522"/>
                <a:gd name="T11" fmla="*/ 591 h 79"/>
                <a:gd name="T12" fmla="+- 0 2011 1976"/>
                <a:gd name="T13" fmla="*/ T12 w 36"/>
                <a:gd name="T14" fmla="+- 0 591 522"/>
                <a:gd name="T15" fmla="*/ 591 h 79"/>
                <a:gd name="T16" fmla="+- 0 2011 1976"/>
                <a:gd name="T17" fmla="*/ T16 w 36"/>
                <a:gd name="T18" fmla="+- 0 600 522"/>
                <a:gd name="T19" fmla="*/ 600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6" h="79">
                  <a:moveTo>
                    <a:pt x="35" y="78"/>
                  </a:moveTo>
                  <a:lnTo>
                    <a:pt x="0" y="78"/>
                  </a:lnTo>
                  <a:lnTo>
                    <a:pt x="0" y="69"/>
                  </a:lnTo>
                  <a:lnTo>
                    <a:pt x="35" y="69"/>
                  </a:lnTo>
                  <a:lnTo>
                    <a:pt x="35" y="7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203E64F-5A49-8D0F-5BA2-EDA51DDCD440}"/>
              </a:ext>
            </a:extLst>
          </xdr:cNvPr>
          <xdr:cNvGrpSpPr>
            <a:grpSpLocks/>
          </xdr:cNvGrpSpPr>
        </xdr:nvGrpSpPr>
        <xdr:grpSpPr bwMode="auto">
          <a:xfrm>
            <a:off x="2022" y="494"/>
            <a:ext cx="39" cy="107"/>
            <a:chOff x="2022" y="494"/>
            <a:chExt cx="39" cy="107"/>
          </a:xfrm>
        </xdr:grpSpPr>
        <xdr:sp macro="" textlink="">
          <xdr:nvSpPr>
            <xdr:cNvPr id="59" name="Freeform 4869">
              <a:extLst>
                <a:ext uri="{FF2B5EF4-FFF2-40B4-BE49-F238E27FC236}">
                  <a16:creationId xmlns:a16="http://schemas.microsoft.com/office/drawing/2014/main" id="{C8B5C3C8-0FB9-E458-52B4-64DB004DFA74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45 2022"/>
                <a:gd name="T1" fmla="*/ T0 w 39"/>
                <a:gd name="T2" fmla="+- 0 522 494"/>
                <a:gd name="T3" fmla="*/ 522 h 107"/>
                <a:gd name="T4" fmla="+- 0 2035 2022"/>
                <a:gd name="T5" fmla="*/ T4 w 39"/>
                <a:gd name="T6" fmla="+- 0 522 494"/>
                <a:gd name="T7" fmla="*/ 522 h 107"/>
                <a:gd name="T8" fmla="+- 0 2035 2022"/>
                <a:gd name="T9" fmla="*/ T8 w 39"/>
                <a:gd name="T10" fmla="+- 0 521 494"/>
                <a:gd name="T11" fmla="*/ 521 h 107"/>
                <a:gd name="T12" fmla="+- 0 2035 2022"/>
                <a:gd name="T13" fmla="*/ T12 w 39"/>
                <a:gd name="T14" fmla="+- 0 513 494"/>
                <a:gd name="T15" fmla="*/ 513 h 107"/>
                <a:gd name="T16" fmla="+- 0 2035 2022"/>
                <a:gd name="T17" fmla="*/ T16 w 39"/>
                <a:gd name="T18" fmla="+- 0 506 494"/>
                <a:gd name="T19" fmla="*/ 506 h 107"/>
                <a:gd name="T20" fmla="+- 0 2042 2022"/>
                <a:gd name="T21" fmla="*/ T20 w 39"/>
                <a:gd name="T22" fmla="+- 0 500 494"/>
                <a:gd name="T23" fmla="*/ 500 h 107"/>
                <a:gd name="T24" fmla="+- 0 2046 2022"/>
                <a:gd name="T25" fmla="*/ T24 w 39"/>
                <a:gd name="T26" fmla="+- 0 496 494"/>
                <a:gd name="T27" fmla="*/ 496 h 107"/>
                <a:gd name="T28" fmla="+- 0 2052 2022"/>
                <a:gd name="T29" fmla="*/ T28 w 39"/>
                <a:gd name="T30" fmla="+- 0 494 494"/>
                <a:gd name="T31" fmla="*/ 494 h 107"/>
                <a:gd name="T32" fmla="+- 0 2061 2022"/>
                <a:gd name="T33" fmla="*/ T32 w 39"/>
                <a:gd name="T34" fmla="+- 0 494 494"/>
                <a:gd name="T35" fmla="*/ 494 h 107"/>
                <a:gd name="T36" fmla="+- 0 2061 2022"/>
                <a:gd name="T37" fmla="*/ T36 w 39"/>
                <a:gd name="T38" fmla="+- 0 503 494"/>
                <a:gd name="T39" fmla="*/ 503 h 107"/>
                <a:gd name="T40" fmla="+- 0 2056 2022"/>
                <a:gd name="T41" fmla="*/ T40 w 39"/>
                <a:gd name="T42" fmla="+- 0 503 494"/>
                <a:gd name="T43" fmla="*/ 503 h 107"/>
                <a:gd name="T44" fmla="+- 0 2053 2022"/>
                <a:gd name="T45" fmla="*/ T44 w 39"/>
                <a:gd name="T46" fmla="+- 0 505 494"/>
                <a:gd name="T47" fmla="*/ 505 h 107"/>
                <a:gd name="T48" fmla="+- 0 2050 2022"/>
                <a:gd name="T49" fmla="*/ T48 w 39"/>
                <a:gd name="T50" fmla="+- 0 507 494"/>
                <a:gd name="T51" fmla="*/ 507 h 107"/>
                <a:gd name="T52" fmla="+- 0 2045 2022"/>
                <a:gd name="T53" fmla="*/ T52 w 39"/>
                <a:gd name="T54" fmla="+- 0 510 494"/>
                <a:gd name="T55" fmla="*/ 510 h 107"/>
                <a:gd name="T56" fmla="+- 0 2045 2022"/>
                <a:gd name="T57" fmla="*/ T56 w 39"/>
                <a:gd name="T58" fmla="+- 0 515 494"/>
                <a:gd name="T59" fmla="*/ 515 h 107"/>
                <a:gd name="T60" fmla="+- 0 2045 2022"/>
                <a:gd name="T61" fmla="*/ T60 w 39"/>
                <a:gd name="T62" fmla="+- 0 521 494"/>
                <a:gd name="T63" fmla="*/ 521 h 107"/>
                <a:gd name="T64" fmla="+- 0 2045 2022"/>
                <a:gd name="T65" fmla="*/ T64 w 39"/>
                <a:gd name="T66" fmla="+- 0 522 494"/>
                <a:gd name="T67" fmla="*/ 522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39" h="107">
                  <a:moveTo>
                    <a:pt x="23" y="28"/>
                  </a:moveTo>
                  <a:lnTo>
                    <a:pt x="13" y="28"/>
                  </a:lnTo>
                  <a:lnTo>
                    <a:pt x="13" y="27"/>
                  </a:lnTo>
                  <a:lnTo>
                    <a:pt x="13" y="19"/>
                  </a:lnTo>
                  <a:lnTo>
                    <a:pt x="13" y="12"/>
                  </a:lnTo>
                  <a:lnTo>
                    <a:pt x="20" y="6"/>
                  </a:lnTo>
                  <a:lnTo>
                    <a:pt x="24" y="2"/>
                  </a:lnTo>
                  <a:lnTo>
                    <a:pt x="30" y="0"/>
                  </a:lnTo>
                  <a:lnTo>
                    <a:pt x="39" y="0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31" y="11"/>
                  </a:lnTo>
                  <a:lnTo>
                    <a:pt x="28" y="13"/>
                  </a:lnTo>
                  <a:lnTo>
                    <a:pt x="23" y="16"/>
                  </a:lnTo>
                  <a:lnTo>
                    <a:pt x="23" y="21"/>
                  </a:lnTo>
                  <a:lnTo>
                    <a:pt x="23" y="27"/>
                  </a:lnTo>
                  <a:lnTo>
                    <a:pt x="23" y="2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0" name="Freeform 4868">
              <a:extLst>
                <a:ext uri="{FF2B5EF4-FFF2-40B4-BE49-F238E27FC236}">
                  <a16:creationId xmlns:a16="http://schemas.microsoft.com/office/drawing/2014/main" id="{E82F100C-9DB1-9D60-99AA-DCF6C290D71C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58 2022"/>
                <a:gd name="T1" fmla="*/ T0 w 39"/>
                <a:gd name="T2" fmla="+- 0 533 494"/>
                <a:gd name="T3" fmla="*/ 533 h 107"/>
                <a:gd name="T4" fmla="+- 0 2022 2022"/>
                <a:gd name="T5" fmla="*/ T4 w 39"/>
                <a:gd name="T6" fmla="+- 0 533 494"/>
                <a:gd name="T7" fmla="*/ 533 h 107"/>
                <a:gd name="T8" fmla="+- 0 2022 2022"/>
                <a:gd name="T9" fmla="*/ T8 w 39"/>
                <a:gd name="T10" fmla="+- 0 522 494"/>
                <a:gd name="T11" fmla="*/ 522 h 107"/>
                <a:gd name="T12" fmla="+- 0 2058 2022"/>
                <a:gd name="T13" fmla="*/ T12 w 39"/>
                <a:gd name="T14" fmla="+- 0 522 494"/>
                <a:gd name="T15" fmla="*/ 522 h 107"/>
                <a:gd name="T16" fmla="+- 0 2058 2022"/>
                <a:gd name="T17" fmla="*/ T16 w 39"/>
                <a:gd name="T18" fmla="+- 0 533 494"/>
                <a:gd name="T19" fmla="*/ 533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36" y="39"/>
                  </a:moveTo>
                  <a:lnTo>
                    <a:pt x="0" y="39"/>
                  </a:lnTo>
                  <a:lnTo>
                    <a:pt x="0" y="28"/>
                  </a:lnTo>
                  <a:lnTo>
                    <a:pt x="36" y="28"/>
                  </a:lnTo>
                  <a:lnTo>
                    <a:pt x="36" y="3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1" name="Freeform 4867">
              <a:extLst>
                <a:ext uri="{FF2B5EF4-FFF2-40B4-BE49-F238E27FC236}">
                  <a16:creationId xmlns:a16="http://schemas.microsoft.com/office/drawing/2014/main" id="{0E94B13F-21D3-322A-9F9F-63755982CA99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45 2022"/>
                <a:gd name="T1" fmla="*/ T0 w 39"/>
                <a:gd name="T2" fmla="+- 0 591 494"/>
                <a:gd name="T3" fmla="*/ 591 h 107"/>
                <a:gd name="T4" fmla="+- 0 2035 2022"/>
                <a:gd name="T5" fmla="*/ T4 w 39"/>
                <a:gd name="T6" fmla="+- 0 591 494"/>
                <a:gd name="T7" fmla="*/ 591 h 107"/>
                <a:gd name="T8" fmla="+- 0 2035 2022"/>
                <a:gd name="T9" fmla="*/ T8 w 39"/>
                <a:gd name="T10" fmla="+- 0 533 494"/>
                <a:gd name="T11" fmla="*/ 533 h 107"/>
                <a:gd name="T12" fmla="+- 0 2045 2022"/>
                <a:gd name="T13" fmla="*/ T12 w 39"/>
                <a:gd name="T14" fmla="+- 0 533 494"/>
                <a:gd name="T15" fmla="*/ 533 h 107"/>
                <a:gd name="T16" fmla="+- 0 2045 2022"/>
                <a:gd name="T17" fmla="*/ T16 w 39"/>
                <a:gd name="T18" fmla="+- 0 591 494"/>
                <a:gd name="T19" fmla="*/ 591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23" y="97"/>
                  </a:moveTo>
                  <a:lnTo>
                    <a:pt x="13" y="97"/>
                  </a:lnTo>
                  <a:lnTo>
                    <a:pt x="13" y="39"/>
                  </a:lnTo>
                  <a:lnTo>
                    <a:pt x="23" y="39"/>
                  </a:lnTo>
                  <a:lnTo>
                    <a:pt x="23" y="9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2" name="Freeform 4866">
              <a:extLst>
                <a:ext uri="{FF2B5EF4-FFF2-40B4-BE49-F238E27FC236}">
                  <a16:creationId xmlns:a16="http://schemas.microsoft.com/office/drawing/2014/main" id="{CF18E8C9-60B2-9DE2-89C8-9F0B2DE2DB23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58 2022"/>
                <a:gd name="T1" fmla="*/ T0 w 39"/>
                <a:gd name="T2" fmla="+- 0 601 494"/>
                <a:gd name="T3" fmla="*/ 601 h 107"/>
                <a:gd name="T4" fmla="+- 0 2022 2022"/>
                <a:gd name="T5" fmla="*/ T4 w 39"/>
                <a:gd name="T6" fmla="+- 0 601 494"/>
                <a:gd name="T7" fmla="*/ 601 h 107"/>
                <a:gd name="T8" fmla="+- 0 2022 2022"/>
                <a:gd name="T9" fmla="*/ T8 w 39"/>
                <a:gd name="T10" fmla="+- 0 591 494"/>
                <a:gd name="T11" fmla="*/ 591 h 107"/>
                <a:gd name="T12" fmla="+- 0 2058 2022"/>
                <a:gd name="T13" fmla="*/ T12 w 39"/>
                <a:gd name="T14" fmla="+- 0 591 494"/>
                <a:gd name="T15" fmla="*/ 591 h 107"/>
                <a:gd name="T16" fmla="+- 0 2058 2022"/>
                <a:gd name="T17" fmla="*/ T16 w 39"/>
                <a:gd name="T18" fmla="+- 0 601 494"/>
                <a:gd name="T19" fmla="*/ 601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36" y="107"/>
                  </a:moveTo>
                  <a:lnTo>
                    <a:pt x="0" y="107"/>
                  </a:lnTo>
                  <a:lnTo>
                    <a:pt x="0" y="97"/>
                  </a:lnTo>
                  <a:lnTo>
                    <a:pt x="36" y="97"/>
                  </a:lnTo>
                  <a:lnTo>
                    <a:pt x="36" y="10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037E7453-5054-A23B-121B-253A7C737135}"/>
              </a:ext>
            </a:extLst>
          </xdr:cNvPr>
          <xdr:cNvGrpSpPr>
            <a:grpSpLocks/>
          </xdr:cNvGrpSpPr>
        </xdr:nvGrpSpPr>
        <xdr:grpSpPr bwMode="auto">
          <a:xfrm>
            <a:off x="2076" y="522"/>
            <a:ext cx="76" cy="79"/>
            <a:chOff x="2076" y="522"/>
            <a:chExt cx="76" cy="79"/>
          </a:xfrm>
        </xdr:grpSpPr>
        <xdr:sp macro="" textlink="">
          <xdr:nvSpPr>
            <xdr:cNvPr id="56" name="Freeform 4864">
              <a:extLst>
                <a:ext uri="{FF2B5EF4-FFF2-40B4-BE49-F238E27FC236}">
                  <a16:creationId xmlns:a16="http://schemas.microsoft.com/office/drawing/2014/main" id="{785D66F0-080B-CC02-9BAD-6828744F6403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01 2076"/>
                <a:gd name="T1" fmla="*/ T0 w 76"/>
                <a:gd name="T2" fmla="+- 0 601 522"/>
                <a:gd name="T3" fmla="*/ 601 h 79"/>
                <a:gd name="T4" fmla="+- 0 2087 2076"/>
                <a:gd name="T5" fmla="*/ T4 w 76"/>
                <a:gd name="T6" fmla="+- 0 591 522"/>
                <a:gd name="T7" fmla="*/ 591 h 79"/>
                <a:gd name="T8" fmla="+- 0 2078 2076"/>
                <a:gd name="T9" fmla="*/ T8 w 76"/>
                <a:gd name="T10" fmla="+- 0 573 522"/>
                <a:gd name="T11" fmla="*/ 573 h 79"/>
                <a:gd name="T12" fmla="+- 0 2076 2076"/>
                <a:gd name="T13" fmla="*/ T12 w 76"/>
                <a:gd name="T14" fmla="+- 0 545 522"/>
                <a:gd name="T15" fmla="*/ 545 h 79"/>
                <a:gd name="T16" fmla="+- 0 2091 2076"/>
                <a:gd name="T17" fmla="*/ T16 w 76"/>
                <a:gd name="T18" fmla="+- 0 529 522"/>
                <a:gd name="T19" fmla="*/ 529 h 79"/>
                <a:gd name="T20" fmla="+- 0 2112 2076"/>
                <a:gd name="T21" fmla="*/ T20 w 76"/>
                <a:gd name="T22" fmla="+- 0 522 522"/>
                <a:gd name="T23" fmla="*/ 522 h 79"/>
                <a:gd name="T24" fmla="+- 0 2130 2076"/>
                <a:gd name="T25" fmla="*/ T24 w 76"/>
                <a:gd name="T26" fmla="+- 0 527 522"/>
                <a:gd name="T27" fmla="*/ 527 h 79"/>
                <a:gd name="T28" fmla="+- 0 2136 2076"/>
                <a:gd name="T29" fmla="*/ T28 w 76"/>
                <a:gd name="T30" fmla="+- 0 532 522"/>
                <a:gd name="T31" fmla="*/ 532 h 79"/>
                <a:gd name="T32" fmla="+- 0 2098 2076"/>
                <a:gd name="T33" fmla="*/ T32 w 76"/>
                <a:gd name="T34" fmla="+- 0 532 522"/>
                <a:gd name="T35" fmla="*/ 532 h 79"/>
                <a:gd name="T36" fmla="+- 0 2085 2076"/>
                <a:gd name="T37" fmla="*/ T36 w 76"/>
                <a:gd name="T38" fmla="+- 0 543 522"/>
                <a:gd name="T39" fmla="*/ 543 h 79"/>
                <a:gd name="T40" fmla="+- 0 2083 2076"/>
                <a:gd name="T41" fmla="*/ T40 w 76"/>
                <a:gd name="T42" fmla="+- 0 557 522"/>
                <a:gd name="T43" fmla="*/ 557 h 79"/>
                <a:gd name="T44" fmla="+- 0 2150 2076"/>
                <a:gd name="T45" fmla="*/ T44 w 76"/>
                <a:gd name="T46" fmla="+- 0 557 522"/>
                <a:gd name="T47" fmla="*/ 557 h 79"/>
                <a:gd name="T48" fmla="+- 0 2152 2076"/>
                <a:gd name="T49" fmla="*/ T48 w 76"/>
                <a:gd name="T50" fmla="+- 0 563 522"/>
                <a:gd name="T51" fmla="*/ 563 h 79"/>
                <a:gd name="T52" fmla="+- 0 2152 2076"/>
                <a:gd name="T53" fmla="*/ T52 w 76"/>
                <a:gd name="T54" fmla="+- 0 566 522"/>
                <a:gd name="T55" fmla="*/ 566 h 79"/>
                <a:gd name="T56" fmla="+- 0 2083 2076"/>
                <a:gd name="T57" fmla="*/ T56 w 76"/>
                <a:gd name="T58" fmla="+- 0 566 522"/>
                <a:gd name="T59" fmla="*/ 566 h 79"/>
                <a:gd name="T60" fmla="+- 0 2084 2076"/>
                <a:gd name="T61" fmla="*/ T60 w 76"/>
                <a:gd name="T62" fmla="+- 0 581 522"/>
                <a:gd name="T63" fmla="*/ 581 h 79"/>
                <a:gd name="T64" fmla="+- 0 2097 2076"/>
                <a:gd name="T65" fmla="*/ T64 w 76"/>
                <a:gd name="T66" fmla="+- 0 593 522"/>
                <a:gd name="T67" fmla="*/ 593 h 79"/>
                <a:gd name="T68" fmla="+- 0 2135 2076"/>
                <a:gd name="T69" fmla="*/ T68 w 76"/>
                <a:gd name="T70" fmla="+- 0 593 522"/>
                <a:gd name="T71" fmla="*/ 593 h 79"/>
                <a:gd name="T72" fmla="+- 0 2126 2076"/>
                <a:gd name="T73" fmla="*/ T72 w 76"/>
                <a:gd name="T74" fmla="+- 0 598 522"/>
                <a:gd name="T75" fmla="*/ 598 h 79"/>
                <a:gd name="T76" fmla="+- 0 2101 2076"/>
                <a:gd name="T77" fmla="*/ T76 w 76"/>
                <a:gd name="T78" fmla="+- 0 601 522"/>
                <a:gd name="T79" fmla="*/ 601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6" h="79">
                  <a:moveTo>
                    <a:pt x="25" y="79"/>
                  </a:moveTo>
                  <a:lnTo>
                    <a:pt x="11" y="69"/>
                  </a:lnTo>
                  <a:lnTo>
                    <a:pt x="2" y="51"/>
                  </a:lnTo>
                  <a:lnTo>
                    <a:pt x="0" y="23"/>
                  </a:lnTo>
                  <a:lnTo>
                    <a:pt x="15" y="7"/>
                  </a:lnTo>
                  <a:lnTo>
                    <a:pt x="36" y="0"/>
                  </a:lnTo>
                  <a:lnTo>
                    <a:pt x="54" y="5"/>
                  </a:lnTo>
                  <a:lnTo>
                    <a:pt x="60" y="10"/>
                  </a:lnTo>
                  <a:lnTo>
                    <a:pt x="22" y="10"/>
                  </a:lnTo>
                  <a:lnTo>
                    <a:pt x="9" y="21"/>
                  </a:lnTo>
                  <a:lnTo>
                    <a:pt x="7" y="35"/>
                  </a:lnTo>
                  <a:lnTo>
                    <a:pt x="74" y="35"/>
                  </a:lnTo>
                  <a:lnTo>
                    <a:pt x="76" y="41"/>
                  </a:lnTo>
                  <a:lnTo>
                    <a:pt x="76" y="44"/>
                  </a:lnTo>
                  <a:lnTo>
                    <a:pt x="7" y="44"/>
                  </a:lnTo>
                  <a:lnTo>
                    <a:pt x="8" y="59"/>
                  </a:lnTo>
                  <a:lnTo>
                    <a:pt x="21" y="71"/>
                  </a:lnTo>
                  <a:lnTo>
                    <a:pt x="59" y="71"/>
                  </a:lnTo>
                  <a:lnTo>
                    <a:pt x="50" y="76"/>
                  </a:lnTo>
                  <a:lnTo>
                    <a:pt x="25" y="7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7" name="Freeform 4863">
              <a:extLst>
                <a:ext uri="{FF2B5EF4-FFF2-40B4-BE49-F238E27FC236}">
                  <a16:creationId xmlns:a16="http://schemas.microsoft.com/office/drawing/2014/main" id="{1A226B6F-45B4-5C66-469E-BCACB134EDE7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50 2076"/>
                <a:gd name="T1" fmla="*/ T0 w 76"/>
                <a:gd name="T2" fmla="+- 0 557 522"/>
                <a:gd name="T3" fmla="*/ 557 h 79"/>
                <a:gd name="T4" fmla="+- 0 2142 2076"/>
                <a:gd name="T5" fmla="*/ T4 w 76"/>
                <a:gd name="T6" fmla="+- 0 557 522"/>
                <a:gd name="T7" fmla="*/ 557 h 79"/>
                <a:gd name="T8" fmla="+- 0 2139 2076"/>
                <a:gd name="T9" fmla="*/ T8 w 76"/>
                <a:gd name="T10" fmla="+- 0 543 522"/>
                <a:gd name="T11" fmla="*/ 543 h 79"/>
                <a:gd name="T12" fmla="+- 0 2127 2076"/>
                <a:gd name="T13" fmla="*/ T12 w 76"/>
                <a:gd name="T14" fmla="+- 0 532 522"/>
                <a:gd name="T15" fmla="*/ 532 h 79"/>
                <a:gd name="T16" fmla="+- 0 2136 2076"/>
                <a:gd name="T17" fmla="*/ T16 w 76"/>
                <a:gd name="T18" fmla="+- 0 532 522"/>
                <a:gd name="T19" fmla="*/ 532 h 79"/>
                <a:gd name="T20" fmla="+- 0 2146 2076"/>
                <a:gd name="T21" fmla="*/ T20 w 76"/>
                <a:gd name="T22" fmla="+- 0 541 522"/>
                <a:gd name="T23" fmla="*/ 541 h 79"/>
                <a:gd name="T24" fmla="+- 0 2150 2076"/>
                <a:gd name="T25" fmla="*/ T24 w 76"/>
                <a:gd name="T26" fmla="+- 0 557 522"/>
                <a:gd name="T27" fmla="*/ 557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76" h="79">
                  <a:moveTo>
                    <a:pt x="74" y="35"/>
                  </a:moveTo>
                  <a:lnTo>
                    <a:pt x="66" y="35"/>
                  </a:lnTo>
                  <a:lnTo>
                    <a:pt x="63" y="21"/>
                  </a:lnTo>
                  <a:lnTo>
                    <a:pt x="51" y="10"/>
                  </a:lnTo>
                  <a:lnTo>
                    <a:pt x="60" y="10"/>
                  </a:lnTo>
                  <a:lnTo>
                    <a:pt x="70" y="19"/>
                  </a:lnTo>
                  <a:lnTo>
                    <a:pt x="74" y="3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8" name="Freeform 4862">
              <a:extLst>
                <a:ext uri="{FF2B5EF4-FFF2-40B4-BE49-F238E27FC236}">
                  <a16:creationId xmlns:a16="http://schemas.microsoft.com/office/drawing/2014/main" id="{1DB666E7-FE3D-5ABB-5DAA-C04A60518A0B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35 2076"/>
                <a:gd name="T1" fmla="*/ T0 w 76"/>
                <a:gd name="T2" fmla="+- 0 593 522"/>
                <a:gd name="T3" fmla="*/ 593 h 79"/>
                <a:gd name="T4" fmla="+- 0 2123 2076"/>
                <a:gd name="T5" fmla="*/ T4 w 76"/>
                <a:gd name="T6" fmla="+- 0 593 522"/>
                <a:gd name="T7" fmla="*/ 593 h 79"/>
                <a:gd name="T8" fmla="+- 0 2132 2076"/>
                <a:gd name="T9" fmla="*/ T8 w 76"/>
                <a:gd name="T10" fmla="+- 0 587 522"/>
                <a:gd name="T11" fmla="*/ 587 h 79"/>
                <a:gd name="T12" fmla="+- 0 2137 2076"/>
                <a:gd name="T13" fmla="*/ T12 w 76"/>
                <a:gd name="T14" fmla="+- 0 578 522"/>
                <a:gd name="T15" fmla="*/ 578 h 79"/>
                <a:gd name="T16" fmla="+- 0 2138 2076"/>
                <a:gd name="T17" fmla="*/ T16 w 76"/>
                <a:gd name="T18" fmla="+- 0 578 522"/>
                <a:gd name="T19" fmla="*/ 578 h 79"/>
                <a:gd name="T20" fmla="+- 0 2149 2076"/>
                <a:gd name="T21" fmla="*/ T20 w 76"/>
                <a:gd name="T22" fmla="+- 0 578 522"/>
                <a:gd name="T23" fmla="*/ 578 h 79"/>
                <a:gd name="T24" fmla="+- 0 2142 2076"/>
                <a:gd name="T25" fmla="*/ T24 w 76"/>
                <a:gd name="T26" fmla="+- 0 588 522"/>
                <a:gd name="T27" fmla="*/ 588 h 79"/>
                <a:gd name="T28" fmla="+- 0 2135 2076"/>
                <a:gd name="T29" fmla="*/ T28 w 76"/>
                <a:gd name="T30" fmla="+- 0 593 522"/>
                <a:gd name="T31" fmla="*/ 593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6" h="79">
                  <a:moveTo>
                    <a:pt x="59" y="71"/>
                  </a:moveTo>
                  <a:lnTo>
                    <a:pt x="47" y="71"/>
                  </a:lnTo>
                  <a:lnTo>
                    <a:pt x="56" y="65"/>
                  </a:lnTo>
                  <a:lnTo>
                    <a:pt x="61" y="56"/>
                  </a:lnTo>
                  <a:lnTo>
                    <a:pt x="62" y="56"/>
                  </a:lnTo>
                  <a:lnTo>
                    <a:pt x="73" y="56"/>
                  </a:lnTo>
                  <a:lnTo>
                    <a:pt x="66" y="66"/>
                  </a:lnTo>
                  <a:lnTo>
                    <a:pt x="59" y="7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BB1095EA-B9D9-47B3-87E0-C6323D0CB48D}"/>
              </a:ext>
            </a:extLst>
          </xdr:cNvPr>
          <xdr:cNvGrpSpPr>
            <a:grpSpLocks/>
          </xdr:cNvGrpSpPr>
        </xdr:nvGrpSpPr>
        <xdr:grpSpPr bwMode="auto">
          <a:xfrm>
            <a:off x="2228" y="520"/>
            <a:ext cx="78" cy="81"/>
            <a:chOff x="2228" y="520"/>
            <a:chExt cx="78" cy="81"/>
          </a:xfrm>
        </xdr:grpSpPr>
        <xdr:sp macro="" textlink="">
          <xdr:nvSpPr>
            <xdr:cNvPr id="52" name="Freeform 4860">
              <a:extLst>
                <a:ext uri="{FF2B5EF4-FFF2-40B4-BE49-F238E27FC236}">
                  <a16:creationId xmlns:a16="http://schemas.microsoft.com/office/drawing/2014/main" id="{CDDAEB9A-6479-5501-7160-CEC12778DDF8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274 2228"/>
                <a:gd name="T1" fmla="*/ T0 w 78"/>
                <a:gd name="T2" fmla="+- 0 600 520"/>
                <a:gd name="T3" fmla="*/ 600 h 81"/>
                <a:gd name="T4" fmla="+- 0 2252 2228"/>
                <a:gd name="T5" fmla="*/ T4 w 78"/>
                <a:gd name="T6" fmla="+- 0 600 520"/>
                <a:gd name="T7" fmla="*/ 600 h 81"/>
                <a:gd name="T8" fmla="+- 0 2238 2228"/>
                <a:gd name="T9" fmla="*/ T8 w 78"/>
                <a:gd name="T10" fmla="+- 0 590 520"/>
                <a:gd name="T11" fmla="*/ 590 h 81"/>
                <a:gd name="T12" fmla="+- 0 2229 2228"/>
                <a:gd name="T13" fmla="*/ T12 w 78"/>
                <a:gd name="T14" fmla="+- 0 571 520"/>
                <a:gd name="T15" fmla="*/ 571 h 81"/>
                <a:gd name="T16" fmla="+- 0 2228 2228"/>
                <a:gd name="T17" fmla="*/ T16 w 78"/>
                <a:gd name="T18" fmla="+- 0 543 520"/>
                <a:gd name="T19" fmla="*/ 543 h 81"/>
                <a:gd name="T20" fmla="+- 0 2243 2228"/>
                <a:gd name="T21" fmla="*/ T20 w 78"/>
                <a:gd name="T22" fmla="+- 0 527 520"/>
                <a:gd name="T23" fmla="*/ 527 h 81"/>
                <a:gd name="T24" fmla="+- 0 2266 2228"/>
                <a:gd name="T25" fmla="*/ T24 w 78"/>
                <a:gd name="T26" fmla="+- 0 520 520"/>
                <a:gd name="T27" fmla="*/ 520 h 81"/>
                <a:gd name="T28" fmla="+- 0 2272 2228"/>
                <a:gd name="T29" fmla="*/ T28 w 78"/>
                <a:gd name="T30" fmla="+- 0 520 520"/>
                <a:gd name="T31" fmla="*/ 520 h 81"/>
                <a:gd name="T32" fmla="+- 0 2286 2228"/>
                <a:gd name="T33" fmla="*/ T32 w 78"/>
                <a:gd name="T34" fmla="+- 0 522 520"/>
                <a:gd name="T35" fmla="*/ 522 h 81"/>
                <a:gd name="T36" fmla="+- 0 2293 2228"/>
                <a:gd name="T37" fmla="*/ T36 w 78"/>
                <a:gd name="T38" fmla="+- 0 531 520"/>
                <a:gd name="T39" fmla="*/ 531 h 81"/>
                <a:gd name="T40" fmla="+- 0 2259 2228"/>
                <a:gd name="T41" fmla="*/ T40 w 78"/>
                <a:gd name="T42" fmla="+- 0 531 520"/>
                <a:gd name="T43" fmla="*/ 531 h 81"/>
                <a:gd name="T44" fmla="+- 0 2242 2228"/>
                <a:gd name="T45" fmla="*/ T44 w 78"/>
                <a:gd name="T46" fmla="+- 0 542 520"/>
                <a:gd name="T47" fmla="*/ 542 h 81"/>
                <a:gd name="T48" fmla="+- 0 2235 2228"/>
                <a:gd name="T49" fmla="*/ T48 w 78"/>
                <a:gd name="T50" fmla="+- 0 566 520"/>
                <a:gd name="T51" fmla="*/ 566 h 81"/>
                <a:gd name="T52" fmla="+- 0 2245 2228"/>
                <a:gd name="T53" fmla="*/ T52 w 78"/>
                <a:gd name="T54" fmla="+- 0 585 520"/>
                <a:gd name="T55" fmla="*/ 585 h 81"/>
                <a:gd name="T56" fmla="+- 0 2266 2228"/>
                <a:gd name="T57" fmla="*/ T56 w 78"/>
                <a:gd name="T58" fmla="+- 0 592 520"/>
                <a:gd name="T59" fmla="*/ 592 h 81"/>
                <a:gd name="T60" fmla="+- 0 2306 2228"/>
                <a:gd name="T61" fmla="*/ T60 w 78"/>
                <a:gd name="T62" fmla="+- 0 592 520"/>
                <a:gd name="T63" fmla="*/ 592 h 81"/>
                <a:gd name="T64" fmla="+- 0 2306 2228"/>
                <a:gd name="T65" fmla="*/ T64 w 78"/>
                <a:gd name="T66" fmla="+- 0 593 520"/>
                <a:gd name="T67" fmla="*/ 593 h 81"/>
                <a:gd name="T68" fmla="+- 0 2291 2228"/>
                <a:gd name="T69" fmla="*/ T68 w 78"/>
                <a:gd name="T70" fmla="+- 0 593 520"/>
                <a:gd name="T71" fmla="*/ 593 h 81"/>
                <a:gd name="T72" fmla="+- 0 2274 2228"/>
                <a:gd name="T73" fmla="*/ T72 w 78"/>
                <a:gd name="T74" fmla="+- 0 600 520"/>
                <a:gd name="T75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</a:cxnLst>
              <a:rect l="0" t="0" r="r" b="b"/>
              <a:pathLst>
                <a:path w="78" h="81">
                  <a:moveTo>
                    <a:pt x="46" y="80"/>
                  </a:moveTo>
                  <a:lnTo>
                    <a:pt x="24" y="80"/>
                  </a:lnTo>
                  <a:lnTo>
                    <a:pt x="10" y="70"/>
                  </a:lnTo>
                  <a:lnTo>
                    <a:pt x="1" y="51"/>
                  </a:lnTo>
                  <a:lnTo>
                    <a:pt x="0" y="23"/>
                  </a:lnTo>
                  <a:lnTo>
                    <a:pt x="15" y="7"/>
                  </a:lnTo>
                  <a:lnTo>
                    <a:pt x="38" y="0"/>
                  </a:lnTo>
                  <a:lnTo>
                    <a:pt x="44" y="0"/>
                  </a:lnTo>
                  <a:lnTo>
                    <a:pt x="58" y="2"/>
                  </a:lnTo>
                  <a:lnTo>
                    <a:pt x="65" y="11"/>
                  </a:lnTo>
                  <a:lnTo>
                    <a:pt x="31" y="11"/>
                  </a:lnTo>
                  <a:lnTo>
                    <a:pt x="14" y="22"/>
                  </a:lnTo>
                  <a:lnTo>
                    <a:pt x="7" y="46"/>
                  </a:lnTo>
                  <a:lnTo>
                    <a:pt x="17" y="65"/>
                  </a:lnTo>
                  <a:lnTo>
                    <a:pt x="38" y="72"/>
                  </a:lnTo>
                  <a:lnTo>
                    <a:pt x="78" y="72"/>
                  </a:lnTo>
                  <a:lnTo>
                    <a:pt x="78" y="73"/>
                  </a:lnTo>
                  <a:lnTo>
                    <a:pt x="63" y="73"/>
                  </a:lnTo>
                  <a:lnTo>
                    <a:pt x="46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3" name="Freeform 4859">
              <a:extLst>
                <a:ext uri="{FF2B5EF4-FFF2-40B4-BE49-F238E27FC236}">
                  <a16:creationId xmlns:a16="http://schemas.microsoft.com/office/drawing/2014/main" id="{FAD8F5DC-EA4A-1AE1-7DC0-5E93573A02D5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535 520"/>
                <a:gd name="T3" fmla="*/ 535 h 81"/>
                <a:gd name="T4" fmla="+- 0 2295 2228"/>
                <a:gd name="T5" fmla="*/ T4 w 78"/>
                <a:gd name="T6" fmla="+- 0 535 520"/>
                <a:gd name="T7" fmla="*/ 535 h 81"/>
                <a:gd name="T8" fmla="+- 0 2295 2228"/>
                <a:gd name="T9" fmla="*/ T8 w 78"/>
                <a:gd name="T10" fmla="+- 0 522 520"/>
                <a:gd name="T11" fmla="*/ 522 h 81"/>
                <a:gd name="T12" fmla="+- 0 2306 2228"/>
                <a:gd name="T13" fmla="*/ T12 w 78"/>
                <a:gd name="T14" fmla="+- 0 522 520"/>
                <a:gd name="T15" fmla="*/ 522 h 81"/>
                <a:gd name="T16" fmla="+- 0 2306 2228"/>
                <a:gd name="T17" fmla="*/ T16 w 78"/>
                <a:gd name="T18" fmla="+- 0 535 520"/>
                <a:gd name="T19" fmla="*/ 535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81">
                  <a:moveTo>
                    <a:pt x="78" y="15"/>
                  </a:moveTo>
                  <a:lnTo>
                    <a:pt x="67" y="15"/>
                  </a:lnTo>
                  <a:lnTo>
                    <a:pt x="67" y="2"/>
                  </a:lnTo>
                  <a:lnTo>
                    <a:pt x="78" y="2"/>
                  </a:lnTo>
                  <a:lnTo>
                    <a:pt x="78" y="1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4" name="Freeform 4858">
              <a:extLst>
                <a:ext uri="{FF2B5EF4-FFF2-40B4-BE49-F238E27FC236}">
                  <a16:creationId xmlns:a16="http://schemas.microsoft.com/office/drawing/2014/main" id="{C2F2B122-E67B-632A-01E8-6348C5B6BCA6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592 520"/>
                <a:gd name="T3" fmla="*/ 592 h 81"/>
                <a:gd name="T4" fmla="+- 0 2266 2228"/>
                <a:gd name="T5" fmla="*/ T4 w 78"/>
                <a:gd name="T6" fmla="+- 0 592 520"/>
                <a:gd name="T7" fmla="*/ 592 h 81"/>
                <a:gd name="T8" fmla="+- 0 2276 2228"/>
                <a:gd name="T9" fmla="*/ T8 w 78"/>
                <a:gd name="T10" fmla="+- 0 590 520"/>
                <a:gd name="T11" fmla="*/ 590 h 81"/>
                <a:gd name="T12" fmla="+- 0 2290 2228"/>
                <a:gd name="T13" fmla="*/ T12 w 78"/>
                <a:gd name="T14" fmla="+- 0 577 520"/>
                <a:gd name="T15" fmla="*/ 577 h 81"/>
                <a:gd name="T16" fmla="+- 0 2295 2228"/>
                <a:gd name="T17" fmla="*/ T16 w 78"/>
                <a:gd name="T18" fmla="+- 0 552 520"/>
                <a:gd name="T19" fmla="*/ 552 h 81"/>
                <a:gd name="T20" fmla="+- 0 2282 2228"/>
                <a:gd name="T21" fmla="*/ T20 w 78"/>
                <a:gd name="T22" fmla="+- 0 537 520"/>
                <a:gd name="T23" fmla="*/ 537 h 81"/>
                <a:gd name="T24" fmla="+- 0 2259 2228"/>
                <a:gd name="T25" fmla="*/ T24 w 78"/>
                <a:gd name="T26" fmla="+- 0 531 520"/>
                <a:gd name="T27" fmla="*/ 531 h 81"/>
                <a:gd name="T28" fmla="+- 0 2293 2228"/>
                <a:gd name="T29" fmla="*/ T28 w 78"/>
                <a:gd name="T30" fmla="+- 0 531 520"/>
                <a:gd name="T31" fmla="*/ 531 h 81"/>
                <a:gd name="T32" fmla="+- 0 2295 2228"/>
                <a:gd name="T33" fmla="*/ T32 w 78"/>
                <a:gd name="T34" fmla="+- 0 535 520"/>
                <a:gd name="T35" fmla="*/ 535 h 81"/>
                <a:gd name="T36" fmla="+- 0 2306 2228"/>
                <a:gd name="T37" fmla="*/ T36 w 78"/>
                <a:gd name="T38" fmla="+- 0 535 520"/>
                <a:gd name="T39" fmla="*/ 535 h 81"/>
                <a:gd name="T40" fmla="+- 0 2306 2228"/>
                <a:gd name="T41" fmla="*/ T40 w 78"/>
                <a:gd name="T42" fmla="+- 0 592 520"/>
                <a:gd name="T43" fmla="*/ 592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78" h="81">
                  <a:moveTo>
                    <a:pt x="78" y="72"/>
                  </a:moveTo>
                  <a:lnTo>
                    <a:pt x="38" y="72"/>
                  </a:lnTo>
                  <a:lnTo>
                    <a:pt x="48" y="70"/>
                  </a:lnTo>
                  <a:lnTo>
                    <a:pt x="62" y="57"/>
                  </a:lnTo>
                  <a:lnTo>
                    <a:pt x="67" y="32"/>
                  </a:lnTo>
                  <a:lnTo>
                    <a:pt x="54" y="17"/>
                  </a:lnTo>
                  <a:lnTo>
                    <a:pt x="31" y="11"/>
                  </a:lnTo>
                  <a:lnTo>
                    <a:pt x="65" y="11"/>
                  </a:lnTo>
                  <a:lnTo>
                    <a:pt x="67" y="15"/>
                  </a:lnTo>
                  <a:lnTo>
                    <a:pt x="78" y="15"/>
                  </a:lnTo>
                  <a:lnTo>
                    <a:pt x="78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5" name="Freeform 4857">
              <a:extLst>
                <a:ext uri="{FF2B5EF4-FFF2-40B4-BE49-F238E27FC236}">
                  <a16:creationId xmlns:a16="http://schemas.microsoft.com/office/drawing/2014/main" id="{D6CD82FC-D5F7-8C21-ACD4-E66780CC2833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600 520"/>
                <a:gd name="T3" fmla="*/ 600 h 81"/>
                <a:gd name="T4" fmla="+- 0 2295 2228"/>
                <a:gd name="T5" fmla="*/ T4 w 78"/>
                <a:gd name="T6" fmla="+- 0 600 520"/>
                <a:gd name="T7" fmla="*/ 600 h 81"/>
                <a:gd name="T8" fmla="+- 0 2291 2228"/>
                <a:gd name="T9" fmla="*/ T8 w 78"/>
                <a:gd name="T10" fmla="+- 0 593 520"/>
                <a:gd name="T11" fmla="*/ 593 h 81"/>
                <a:gd name="T12" fmla="+- 0 2306 2228"/>
                <a:gd name="T13" fmla="*/ T12 w 78"/>
                <a:gd name="T14" fmla="+- 0 593 520"/>
                <a:gd name="T15" fmla="*/ 593 h 81"/>
                <a:gd name="T16" fmla="+- 0 2306 2228"/>
                <a:gd name="T17" fmla="*/ T16 w 78"/>
                <a:gd name="T18" fmla="+- 0 600 520"/>
                <a:gd name="T19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81">
                  <a:moveTo>
                    <a:pt x="78" y="80"/>
                  </a:moveTo>
                  <a:lnTo>
                    <a:pt x="67" y="80"/>
                  </a:lnTo>
                  <a:lnTo>
                    <a:pt x="63" y="73"/>
                  </a:lnTo>
                  <a:lnTo>
                    <a:pt x="78" y="73"/>
                  </a:lnTo>
                  <a:lnTo>
                    <a:pt x="78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66DF2119-1B4C-D07A-C89F-865DCA537E99}"/>
              </a:ext>
            </a:extLst>
          </xdr:cNvPr>
          <xdr:cNvGrpSpPr>
            <a:grpSpLocks/>
          </xdr:cNvGrpSpPr>
        </xdr:nvGrpSpPr>
        <xdr:grpSpPr bwMode="auto">
          <a:xfrm>
            <a:off x="2328" y="522"/>
            <a:ext cx="69" cy="80"/>
            <a:chOff x="2328" y="522"/>
            <a:chExt cx="69" cy="80"/>
          </a:xfrm>
        </xdr:grpSpPr>
        <xdr:sp macro="" textlink="">
          <xdr:nvSpPr>
            <xdr:cNvPr id="49" name="Freeform 4855">
              <a:extLst>
                <a:ext uri="{FF2B5EF4-FFF2-40B4-BE49-F238E27FC236}">
                  <a16:creationId xmlns:a16="http://schemas.microsoft.com/office/drawing/2014/main" id="{BD6AC42F-2FD1-4803-FD69-53319E4E5B53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77 2328"/>
                <a:gd name="T1" fmla="*/ T0 w 69"/>
                <a:gd name="T2" fmla="+- 0 602 522"/>
                <a:gd name="T3" fmla="*/ 602 h 80"/>
                <a:gd name="T4" fmla="+- 0 2346 2328"/>
                <a:gd name="T5" fmla="*/ T4 w 69"/>
                <a:gd name="T6" fmla="+- 0 602 522"/>
                <a:gd name="T7" fmla="*/ 602 h 80"/>
                <a:gd name="T8" fmla="+- 0 2338 2328"/>
                <a:gd name="T9" fmla="*/ T8 w 69"/>
                <a:gd name="T10" fmla="+- 0 595 522"/>
                <a:gd name="T11" fmla="*/ 595 h 80"/>
                <a:gd name="T12" fmla="+- 0 2334 2328"/>
                <a:gd name="T13" fmla="*/ T12 w 69"/>
                <a:gd name="T14" fmla="+- 0 591 522"/>
                <a:gd name="T15" fmla="*/ 591 h 80"/>
                <a:gd name="T16" fmla="+- 0 2330 2328"/>
                <a:gd name="T17" fmla="*/ T16 w 69"/>
                <a:gd name="T18" fmla="+- 0 585 522"/>
                <a:gd name="T19" fmla="*/ 585 h 80"/>
                <a:gd name="T20" fmla="+- 0 2328 2328"/>
                <a:gd name="T21" fmla="*/ T20 w 69"/>
                <a:gd name="T22" fmla="+- 0 576 522"/>
                <a:gd name="T23" fmla="*/ 576 h 80"/>
                <a:gd name="T24" fmla="+- 0 2328 2328"/>
                <a:gd name="T25" fmla="*/ T24 w 69"/>
                <a:gd name="T26" fmla="+- 0 522 522"/>
                <a:gd name="T27" fmla="*/ 522 h 80"/>
                <a:gd name="T28" fmla="+- 0 2339 2328"/>
                <a:gd name="T29" fmla="*/ T28 w 69"/>
                <a:gd name="T30" fmla="+- 0 522 522"/>
                <a:gd name="T31" fmla="*/ 522 h 80"/>
                <a:gd name="T32" fmla="+- 0 2339 2328"/>
                <a:gd name="T33" fmla="*/ T32 w 69"/>
                <a:gd name="T34" fmla="+- 0 574 522"/>
                <a:gd name="T35" fmla="*/ 574 h 80"/>
                <a:gd name="T36" fmla="+- 0 2340 2328"/>
                <a:gd name="T37" fmla="*/ T36 w 69"/>
                <a:gd name="T38" fmla="+- 0 581 522"/>
                <a:gd name="T39" fmla="*/ 581 h 80"/>
                <a:gd name="T40" fmla="+- 0 2344 2328"/>
                <a:gd name="T41" fmla="*/ T40 w 69"/>
                <a:gd name="T42" fmla="+- 0 585 522"/>
                <a:gd name="T43" fmla="*/ 585 h 80"/>
                <a:gd name="T44" fmla="+- 0 2348 2328"/>
                <a:gd name="T45" fmla="*/ T44 w 69"/>
                <a:gd name="T46" fmla="+- 0 590 522"/>
                <a:gd name="T47" fmla="*/ 590 h 80"/>
                <a:gd name="T48" fmla="+- 0 2354 2328"/>
                <a:gd name="T49" fmla="*/ T48 w 69"/>
                <a:gd name="T50" fmla="+- 0 592 522"/>
                <a:gd name="T51" fmla="*/ 592 h 80"/>
                <a:gd name="T52" fmla="+- 0 2384 2328"/>
                <a:gd name="T53" fmla="*/ T52 w 69"/>
                <a:gd name="T54" fmla="+- 0 592 522"/>
                <a:gd name="T55" fmla="*/ 592 h 80"/>
                <a:gd name="T56" fmla="+- 0 2383 2328"/>
                <a:gd name="T57" fmla="*/ T56 w 69"/>
                <a:gd name="T58" fmla="+- 0 594 522"/>
                <a:gd name="T59" fmla="*/ 594 h 80"/>
                <a:gd name="T60" fmla="+- 0 2377 2328"/>
                <a:gd name="T61" fmla="*/ T60 w 69"/>
                <a:gd name="T62" fmla="+- 0 602 522"/>
                <a:gd name="T63" fmla="*/ 60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</a:cxnLst>
              <a:rect l="0" t="0" r="r" b="b"/>
              <a:pathLst>
                <a:path w="69" h="80">
                  <a:moveTo>
                    <a:pt x="49" y="80"/>
                  </a:moveTo>
                  <a:lnTo>
                    <a:pt x="18" y="80"/>
                  </a:lnTo>
                  <a:lnTo>
                    <a:pt x="10" y="73"/>
                  </a:lnTo>
                  <a:lnTo>
                    <a:pt x="6" y="69"/>
                  </a:lnTo>
                  <a:lnTo>
                    <a:pt x="2" y="63"/>
                  </a:lnTo>
                  <a:lnTo>
                    <a:pt x="0" y="54"/>
                  </a:lnTo>
                  <a:lnTo>
                    <a:pt x="0" y="0"/>
                  </a:lnTo>
                  <a:lnTo>
                    <a:pt x="11" y="0"/>
                  </a:lnTo>
                  <a:lnTo>
                    <a:pt x="11" y="52"/>
                  </a:lnTo>
                  <a:lnTo>
                    <a:pt x="12" y="59"/>
                  </a:lnTo>
                  <a:lnTo>
                    <a:pt x="16" y="63"/>
                  </a:lnTo>
                  <a:lnTo>
                    <a:pt x="20" y="68"/>
                  </a:lnTo>
                  <a:lnTo>
                    <a:pt x="26" y="70"/>
                  </a:lnTo>
                  <a:lnTo>
                    <a:pt x="56" y="70"/>
                  </a:lnTo>
                  <a:lnTo>
                    <a:pt x="55" y="72"/>
                  </a:lnTo>
                  <a:lnTo>
                    <a:pt x="49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0" name="Freeform 4854">
              <a:extLst>
                <a:ext uri="{FF2B5EF4-FFF2-40B4-BE49-F238E27FC236}">
                  <a16:creationId xmlns:a16="http://schemas.microsoft.com/office/drawing/2014/main" id="{539EF0D7-A87A-280D-B11F-22DE24482A5D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84 2328"/>
                <a:gd name="T1" fmla="*/ T0 w 69"/>
                <a:gd name="T2" fmla="+- 0 592 522"/>
                <a:gd name="T3" fmla="*/ 592 h 80"/>
                <a:gd name="T4" fmla="+- 0 2368 2328"/>
                <a:gd name="T5" fmla="*/ T4 w 69"/>
                <a:gd name="T6" fmla="+- 0 592 522"/>
                <a:gd name="T7" fmla="*/ 592 h 80"/>
                <a:gd name="T8" fmla="+- 0 2373 2328"/>
                <a:gd name="T9" fmla="*/ T8 w 69"/>
                <a:gd name="T10" fmla="+- 0 590 522"/>
                <a:gd name="T11" fmla="*/ 590 h 80"/>
                <a:gd name="T12" fmla="+- 0 2377 2328"/>
                <a:gd name="T13" fmla="*/ T12 w 69"/>
                <a:gd name="T14" fmla="+- 0 586 522"/>
                <a:gd name="T15" fmla="*/ 586 h 80"/>
                <a:gd name="T16" fmla="+- 0 2381 2328"/>
                <a:gd name="T17" fmla="*/ T16 w 69"/>
                <a:gd name="T18" fmla="+- 0 582 522"/>
                <a:gd name="T19" fmla="*/ 582 h 80"/>
                <a:gd name="T20" fmla="+- 0 2385 2328"/>
                <a:gd name="T21" fmla="*/ T20 w 69"/>
                <a:gd name="T22" fmla="+- 0 577 522"/>
                <a:gd name="T23" fmla="*/ 577 h 80"/>
                <a:gd name="T24" fmla="+- 0 2385 2328"/>
                <a:gd name="T25" fmla="*/ T24 w 69"/>
                <a:gd name="T26" fmla="+- 0 564 522"/>
                <a:gd name="T27" fmla="*/ 564 h 80"/>
                <a:gd name="T28" fmla="+- 0 2385 2328"/>
                <a:gd name="T29" fmla="*/ T28 w 69"/>
                <a:gd name="T30" fmla="+- 0 522 522"/>
                <a:gd name="T31" fmla="*/ 522 h 80"/>
                <a:gd name="T32" fmla="+- 0 2396 2328"/>
                <a:gd name="T33" fmla="*/ T32 w 69"/>
                <a:gd name="T34" fmla="+- 0 522 522"/>
                <a:gd name="T35" fmla="*/ 522 h 80"/>
                <a:gd name="T36" fmla="+- 0 2396 2328"/>
                <a:gd name="T37" fmla="*/ T36 w 69"/>
                <a:gd name="T38" fmla="+- 0 590 522"/>
                <a:gd name="T39" fmla="*/ 590 h 80"/>
                <a:gd name="T40" fmla="+- 0 2386 2328"/>
                <a:gd name="T41" fmla="*/ T40 w 69"/>
                <a:gd name="T42" fmla="+- 0 590 522"/>
                <a:gd name="T43" fmla="*/ 590 h 80"/>
                <a:gd name="T44" fmla="+- 0 2384 2328"/>
                <a:gd name="T45" fmla="*/ T44 w 69"/>
                <a:gd name="T46" fmla="+- 0 592 522"/>
                <a:gd name="T47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69" h="80">
                  <a:moveTo>
                    <a:pt x="56" y="70"/>
                  </a:moveTo>
                  <a:lnTo>
                    <a:pt x="40" y="70"/>
                  </a:lnTo>
                  <a:lnTo>
                    <a:pt x="45" y="68"/>
                  </a:lnTo>
                  <a:lnTo>
                    <a:pt x="49" y="64"/>
                  </a:lnTo>
                  <a:lnTo>
                    <a:pt x="53" y="60"/>
                  </a:lnTo>
                  <a:lnTo>
                    <a:pt x="57" y="55"/>
                  </a:lnTo>
                  <a:lnTo>
                    <a:pt x="57" y="42"/>
                  </a:lnTo>
                  <a:lnTo>
                    <a:pt x="57" y="0"/>
                  </a:lnTo>
                  <a:lnTo>
                    <a:pt x="68" y="0"/>
                  </a:lnTo>
                  <a:lnTo>
                    <a:pt x="68" y="68"/>
                  </a:lnTo>
                  <a:lnTo>
                    <a:pt x="58" y="68"/>
                  </a:lnTo>
                  <a:lnTo>
                    <a:pt x="56" y="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1" name="Freeform 4853">
              <a:extLst>
                <a:ext uri="{FF2B5EF4-FFF2-40B4-BE49-F238E27FC236}">
                  <a16:creationId xmlns:a16="http://schemas.microsoft.com/office/drawing/2014/main" id="{F3347188-06D3-36ED-E0E5-D3E667BE86FF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96 2328"/>
                <a:gd name="T1" fmla="*/ T0 w 69"/>
                <a:gd name="T2" fmla="+- 0 600 522"/>
                <a:gd name="T3" fmla="*/ 600 h 80"/>
                <a:gd name="T4" fmla="+- 0 2386 2328"/>
                <a:gd name="T5" fmla="*/ T4 w 69"/>
                <a:gd name="T6" fmla="+- 0 600 522"/>
                <a:gd name="T7" fmla="*/ 600 h 80"/>
                <a:gd name="T8" fmla="+- 0 2386 2328"/>
                <a:gd name="T9" fmla="*/ T8 w 69"/>
                <a:gd name="T10" fmla="+- 0 590 522"/>
                <a:gd name="T11" fmla="*/ 590 h 80"/>
                <a:gd name="T12" fmla="+- 0 2396 2328"/>
                <a:gd name="T13" fmla="*/ T12 w 69"/>
                <a:gd name="T14" fmla="+- 0 590 522"/>
                <a:gd name="T15" fmla="*/ 590 h 80"/>
                <a:gd name="T16" fmla="+- 0 2396 2328"/>
                <a:gd name="T17" fmla="*/ T16 w 69"/>
                <a:gd name="T18" fmla="+- 0 600 522"/>
                <a:gd name="T1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69" h="80">
                  <a:moveTo>
                    <a:pt x="68" y="78"/>
                  </a:moveTo>
                  <a:lnTo>
                    <a:pt x="58" y="78"/>
                  </a:lnTo>
                  <a:lnTo>
                    <a:pt x="58" y="68"/>
                  </a:lnTo>
                  <a:lnTo>
                    <a:pt x="68" y="68"/>
                  </a:lnTo>
                  <a:lnTo>
                    <a:pt x="68" y="7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C67D7F68-D7DE-52F3-D660-84EC798F7211}"/>
              </a:ext>
            </a:extLst>
          </xdr:cNvPr>
          <xdr:cNvGrpSpPr>
            <a:grpSpLocks/>
          </xdr:cNvGrpSpPr>
        </xdr:nvGrpSpPr>
        <xdr:grpSpPr bwMode="auto">
          <a:xfrm>
            <a:off x="2411" y="520"/>
            <a:ext cx="79" cy="111"/>
            <a:chOff x="2411" y="520"/>
            <a:chExt cx="79" cy="111"/>
          </a:xfrm>
        </xdr:grpSpPr>
        <xdr:sp macro="" textlink="">
          <xdr:nvSpPr>
            <xdr:cNvPr id="44" name="Freeform 4851">
              <a:extLst>
                <a:ext uri="{FF2B5EF4-FFF2-40B4-BE49-F238E27FC236}">
                  <a16:creationId xmlns:a16="http://schemas.microsoft.com/office/drawing/2014/main" id="{09C2FAC2-4052-D362-E9E9-3B2AB13971CA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36 2411"/>
                <a:gd name="T1" fmla="*/ T0 w 79"/>
                <a:gd name="T2" fmla="+- 0 600 520"/>
                <a:gd name="T3" fmla="*/ 600 h 111"/>
                <a:gd name="T4" fmla="+- 0 2423 2411"/>
                <a:gd name="T5" fmla="*/ T4 w 79"/>
                <a:gd name="T6" fmla="+- 0 590 520"/>
                <a:gd name="T7" fmla="*/ 590 h 111"/>
                <a:gd name="T8" fmla="+- 0 2414 2411"/>
                <a:gd name="T9" fmla="*/ T8 w 79"/>
                <a:gd name="T10" fmla="+- 0 571 520"/>
                <a:gd name="T11" fmla="*/ 571 h 111"/>
                <a:gd name="T12" fmla="+- 0 2414 2411"/>
                <a:gd name="T13" fmla="*/ T12 w 79"/>
                <a:gd name="T14" fmla="+- 0 541 520"/>
                <a:gd name="T15" fmla="*/ 541 h 111"/>
                <a:gd name="T16" fmla="+- 0 2429 2411"/>
                <a:gd name="T17" fmla="*/ T16 w 79"/>
                <a:gd name="T18" fmla="+- 0 526 520"/>
                <a:gd name="T19" fmla="*/ 526 h 111"/>
                <a:gd name="T20" fmla="+- 0 2449 2411"/>
                <a:gd name="T21" fmla="*/ T20 w 79"/>
                <a:gd name="T22" fmla="+- 0 520 520"/>
                <a:gd name="T23" fmla="*/ 520 h 111"/>
                <a:gd name="T24" fmla="+- 0 2455 2411"/>
                <a:gd name="T25" fmla="*/ T24 w 79"/>
                <a:gd name="T26" fmla="+- 0 520 520"/>
                <a:gd name="T27" fmla="*/ 520 h 111"/>
                <a:gd name="T28" fmla="+- 0 2469 2411"/>
                <a:gd name="T29" fmla="*/ T28 w 79"/>
                <a:gd name="T30" fmla="+- 0 522 520"/>
                <a:gd name="T31" fmla="*/ 522 h 111"/>
                <a:gd name="T32" fmla="+- 0 2475 2411"/>
                <a:gd name="T33" fmla="*/ T32 w 79"/>
                <a:gd name="T34" fmla="+- 0 531 520"/>
                <a:gd name="T35" fmla="*/ 531 h 111"/>
                <a:gd name="T36" fmla="+- 0 2443 2411"/>
                <a:gd name="T37" fmla="*/ T36 w 79"/>
                <a:gd name="T38" fmla="+- 0 531 520"/>
                <a:gd name="T39" fmla="*/ 531 h 111"/>
                <a:gd name="T40" fmla="+- 0 2426 2411"/>
                <a:gd name="T41" fmla="*/ T40 w 79"/>
                <a:gd name="T42" fmla="+- 0 542 520"/>
                <a:gd name="T43" fmla="*/ 542 h 111"/>
                <a:gd name="T44" fmla="+- 0 2420 2411"/>
                <a:gd name="T45" fmla="*/ T44 w 79"/>
                <a:gd name="T46" fmla="+- 0 565 520"/>
                <a:gd name="T47" fmla="*/ 565 h 111"/>
                <a:gd name="T48" fmla="+- 0 2429 2411"/>
                <a:gd name="T49" fmla="*/ T48 w 79"/>
                <a:gd name="T50" fmla="+- 0 584 520"/>
                <a:gd name="T51" fmla="*/ 584 h 111"/>
                <a:gd name="T52" fmla="+- 0 2449 2411"/>
                <a:gd name="T53" fmla="*/ T52 w 79"/>
                <a:gd name="T54" fmla="+- 0 592 520"/>
                <a:gd name="T55" fmla="*/ 592 h 111"/>
                <a:gd name="T56" fmla="+- 0 2474 2411"/>
                <a:gd name="T57" fmla="*/ T56 w 79"/>
                <a:gd name="T58" fmla="+- 0 592 520"/>
                <a:gd name="T59" fmla="*/ 592 h 111"/>
                <a:gd name="T60" fmla="+- 0 2461 2411"/>
                <a:gd name="T61" fmla="*/ T60 w 79"/>
                <a:gd name="T62" fmla="+- 0 599 520"/>
                <a:gd name="T63" fmla="*/ 599 h 111"/>
                <a:gd name="T64" fmla="+- 0 2436 2411"/>
                <a:gd name="T65" fmla="*/ T64 w 79"/>
                <a:gd name="T66" fmla="+- 0 600 520"/>
                <a:gd name="T67" fmla="*/ 600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9" h="111">
                  <a:moveTo>
                    <a:pt x="25" y="80"/>
                  </a:moveTo>
                  <a:lnTo>
                    <a:pt x="12" y="70"/>
                  </a:lnTo>
                  <a:lnTo>
                    <a:pt x="3" y="51"/>
                  </a:lnTo>
                  <a:lnTo>
                    <a:pt x="3" y="21"/>
                  </a:lnTo>
                  <a:lnTo>
                    <a:pt x="18" y="6"/>
                  </a:lnTo>
                  <a:lnTo>
                    <a:pt x="38" y="0"/>
                  </a:lnTo>
                  <a:lnTo>
                    <a:pt x="44" y="0"/>
                  </a:lnTo>
                  <a:lnTo>
                    <a:pt x="58" y="2"/>
                  </a:lnTo>
                  <a:lnTo>
                    <a:pt x="64" y="11"/>
                  </a:lnTo>
                  <a:lnTo>
                    <a:pt x="32" y="11"/>
                  </a:lnTo>
                  <a:lnTo>
                    <a:pt x="15" y="22"/>
                  </a:lnTo>
                  <a:lnTo>
                    <a:pt x="9" y="45"/>
                  </a:lnTo>
                  <a:lnTo>
                    <a:pt x="18" y="64"/>
                  </a:lnTo>
                  <a:lnTo>
                    <a:pt x="38" y="72"/>
                  </a:lnTo>
                  <a:lnTo>
                    <a:pt x="63" y="72"/>
                  </a:lnTo>
                  <a:lnTo>
                    <a:pt x="50" y="79"/>
                  </a:lnTo>
                  <a:lnTo>
                    <a:pt x="25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5" name="Freeform 4850">
              <a:extLst>
                <a:ext uri="{FF2B5EF4-FFF2-40B4-BE49-F238E27FC236}">
                  <a16:creationId xmlns:a16="http://schemas.microsoft.com/office/drawing/2014/main" id="{C104D145-8282-678A-7DED-FA44ABAEA226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89 2411"/>
                <a:gd name="T1" fmla="*/ T0 w 79"/>
                <a:gd name="T2" fmla="+- 0 535 520"/>
                <a:gd name="T3" fmla="*/ 535 h 111"/>
                <a:gd name="T4" fmla="+- 0 2478 2411"/>
                <a:gd name="T5" fmla="*/ T4 w 79"/>
                <a:gd name="T6" fmla="+- 0 535 520"/>
                <a:gd name="T7" fmla="*/ 535 h 111"/>
                <a:gd name="T8" fmla="+- 0 2478 2411"/>
                <a:gd name="T9" fmla="*/ T8 w 79"/>
                <a:gd name="T10" fmla="+- 0 522 520"/>
                <a:gd name="T11" fmla="*/ 522 h 111"/>
                <a:gd name="T12" fmla="+- 0 2489 2411"/>
                <a:gd name="T13" fmla="*/ T12 w 79"/>
                <a:gd name="T14" fmla="+- 0 522 520"/>
                <a:gd name="T15" fmla="*/ 522 h 111"/>
                <a:gd name="T16" fmla="+- 0 2489 2411"/>
                <a:gd name="T17" fmla="*/ T16 w 79"/>
                <a:gd name="T18" fmla="+- 0 535 520"/>
                <a:gd name="T19" fmla="*/ 535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9" h="111">
                  <a:moveTo>
                    <a:pt x="78" y="15"/>
                  </a:moveTo>
                  <a:lnTo>
                    <a:pt x="67" y="15"/>
                  </a:lnTo>
                  <a:lnTo>
                    <a:pt x="67" y="2"/>
                  </a:lnTo>
                  <a:lnTo>
                    <a:pt x="78" y="2"/>
                  </a:lnTo>
                  <a:lnTo>
                    <a:pt x="78" y="1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6" name="Freeform 4849">
              <a:extLst>
                <a:ext uri="{FF2B5EF4-FFF2-40B4-BE49-F238E27FC236}">
                  <a16:creationId xmlns:a16="http://schemas.microsoft.com/office/drawing/2014/main" id="{2F02B946-82E1-59F5-B769-A1AFC0925F11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74 2411"/>
                <a:gd name="T1" fmla="*/ T0 w 79"/>
                <a:gd name="T2" fmla="+- 0 592 520"/>
                <a:gd name="T3" fmla="*/ 592 h 111"/>
                <a:gd name="T4" fmla="+- 0 2449 2411"/>
                <a:gd name="T5" fmla="*/ T4 w 79"/>
                <a:gd name="T6" fmla="+- 0 592 520"/>
                <a:gd name="T7" fmla="*/ 592 h 111"/>
                <a:gd name="T8" fmla="+- 0 2460 2411"/>
                <a:gd name="T9" fmla="*/ T8 w 79"/>
                <a:gd name="T10" fmla="+- 0 590 520"/>
                <a:gd name="T11" fmla="*/ 590 h 111"/>
                <a:gd name="T12" fmla="+- 0 2474 2411"/>
                <a:gd name="T13" fmla="*/ T12 w 79"/>
                <a:gd name="T14" fmla="+- 0 576 520"/>
                <a:gd name="T15" fmla="*/ 576 h 111"/>
                <a:gd name="T16" fmla="+- 0 2478 2411"/>
                <a:gd name="T17" fmla="*/ T16 w 79"/>
                <a:gd name="T18" fmla="+- 0 553 520"/>
                <a:gd name="T19" fmla="*/ 553 h 111"/>
                <a:gd name="T20" fmla="+- 0 2466 2411"/>
                <a:gd name="T21" fmla="*/ T20 w 79"/>
                <a:gd name="T22" fmla="+- 0 537 520"/>
                <a:gd name="T23" fmla="*/ 537 h 111"/>
                <a:gd name="T24" fmla="+- 0 2443 2411"/>
                <a:gd name="T25" fmla="*/ T24 w 79"/>
                <a:gd name="T26" fmla="+- 0 531 520"/>
                <a:gd name="T27" fmla="*/ 531 h 111"/>
                <a:gd name="T28" fmla="+- 0 2475 2411"/>
                <a:gd name="T29" fmla="*/ T28 w 79"/>
                <a:gd name="T30" fmla="+- 0 531 520"/>
                <a:gd name="T31" fmla="*/ 531 h 111"/>
                <a:gd name="T32" fmla="+- 0 2478 2411"/>
                <a:gd name="T33" fmla="*/ T32 w 79"/>
                <a:gd name="T34" fmla="+- 0 535 520"/>
                <a:gd name="T35" fmla="*/ 535 h 111"/>
                <a:gd name="T36" fmla="+- 0 2489 2411"/>
                <a:gd name="T37" fmla="*/ T36 w 79"/>
                <a:gd name="T38" fmla="+- 0 535 520"/>
                <a:gd name="T39" fmla="*/ 535 h 111"/>
                <a:gd name="T40" fmla="+- 0 2489 2411"/>
                <a:gd name="T41" fmla="*/ T40 w 79"/>
                <a:gd name="T42" fmla="+- 0 591 520"/>
                <a:gd name="T43" fmla="*/ 591 h 111"/>
                <a:gd name="T44" fmla="+- 0 2476 2411"/>
                <a:gd name="T45" fmla="*/ T44 w 79"/>
                <a:gd name="T46" fmla="+- 0 591 520"/>
                <a:gd name="T47" fmla="*/ 591 h 111"/>
                <a:gd name="T48" fmla="+- 0 2474 2411"/>
                <a:gd name="T49" fmla="*/ T48 w 79"/>
                <a:gd name="T50" fmla="+- 0 592 520"/>
                <a:gd name="T51" fmla="*/ 592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79" h="111">
                  <a:moveTo>
                    <a:pt x="63" y="72"/>
                  </a:moveTo>
                  <a:lnTo>
                    <a:pt x="38" y="72"/>
                  </a:lnTo>
                  <a:lnTo>
                    <a:pt x="49" y="70"/>
                  </a:lnTo>
                  <a:lnTo>
                    <a:pt x="63" y="56"/>
                  </a:lnTo>
                  <a:lnTo>
                    <a:pt x="67" y="33"/>
                  </a:lnTo>
                  <a:lnTo>
                    <a:pt x="55" y="17"/>
                  </a:lnTo>
                  <a:lnTo>
                    <a:pt x="32" y="11"/>
                  </a:lnTo>
                  <a:lnTo>
                    <a:pt x="64" y="11"/>
                  </a:lnTo>
                  <a:lnTo>
                    <a:pt x="67" y="15"/>
                  </a:lnTo>
                  <a:lnTo>
                    <a:pt x="78" y="15"/>
                  </a:lnTo>
                  <a:lnTo>
                    <a:pt x="78" y="71"/>
                  </a:lnTo>
                  <a:lnTo>
                    <a:pt x="65" y="71"/>
                  </a:lnTo>
                  <a:lnTo>
                    <a:pt x="63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7" name="Freeform 4848">
              <a:extLst>
                <a:ext uri="{FF2B5EF4-FFF2-40B4-BE49-F238E27FC236}">
                  <a16:creationId xmlns:a16="http://schemas.microsoft.com/office/drawing/2014/main" id="{F7A9BFC1-9B14-0B40-8E4F-2F87C9290C8D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79 2411"/>
                <a:gd name="T1" fmla="*/ T0 w 79"/>
                <a:gd name="T2" fmla="+- 0 621 520"/>
                <a:gd name="T3" fmla="*/ 621 h 111"/>
                <a:gd name="T4" fmla="+- 0 2464 2411"/>
                <a:gd name="T5" fmla="*/ T4 w 79"/>
                <a:gd name="T6" fmla="+- 0 621 520"/>
                <a:gd name="T7" fmla="*/ 621 h 111"/>
                <a:gd name="T8" fmla="+- 0 2478 2411"/>
                <a:gd name="T9" fmla="*/ T8 w 79"/>
                <a:gd name="T10" fmla="+- 0 613 520"/>
                <a:gd name="T11" fmla="*/ 613 h 111"/>
                <a:gd name="T12" fmla="+- 0 2478 2411"/>
                <a:gd name="T13" fmla="*/ T12 w 79"/>
                <a:gd name="T14" fmla="+- 0 592 520"/>
                <a:gd name="T15" fmla="*/ 592 h 111"/>
                <a:gd name="T16" fmla="+- 0 2476 2411"/>
                <a:gd name="T17" fmla="*/ T16 w 79"/>
                <a:gd name="T18" fmla="+- 0 591 520"/>
                <a:gd name="T19" fmla="*/ 591 h 111"/>
                <a:gd name="T20" fmla="+- 0 2489 2411"/>
                <a:gd name="T21" fmla="*/ T20 w 79"/>
                <a:gd name="T22" fmla="+- 0 591 520"/>
                <a:gd name="T23" fmla="*/ 591 h 111"/>
                <a:gd name="T24" fmla="+- 0 2489 2411"/>
                <a:gd name="T25" fmla="*/ T24 w 79"/>
                <a:gd name="T26" fmla="+- 0 607 520"/>
                <a:gd name="T27" fmla="*/ 607 h 111"/>
                <a:gd name="T28" fmla="+- 0 2482 2411"/>
                <a:gd name="T29" fmla="*/ T28 w 79"/>
                <a:gd name="T30" fmla="+- 0 616 520"/>
                <a:gd name="T31" fmla="*/ 616 h 111"/>
                <a:gd name="T32" fmla="+- 0 2479 2411"/>
                <a:gd name="T33" fmla="*/ T32 w 79"/>
                <a:gd name="T34" fmla="+- 0 621 520"/>
                <a:gd name="T35" fmla="*/ 621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79" h="111">
                  <a:moveTo>
                    <a:pt x="68" y="101"/>
                  </a:moveTo>
                  <a:lnTo>
                    <a:pt x="53" y="101"/>
                  </a:lnTo>
                  <a:lnTo>
                    <a:pt x="67" y="93"/>
                  </a:lnTo>
                  <a:lnTo>
                    <a:pt x="67" y="72"/>
                  </a:lnTo>
                  <a:lnTo>
                    <a:pt x="65" y="71"/>
                  </a:lnTo>
                  <a:lnTo>
                    <a:pt x="78" y="71"/>
                  </a:lnTo>
                  <a:lnTo>
                    <a:pt x="78" y="87"/>
                  </a:lnTo>
                  <a:lnTo>
                    <a:pt x="71" y="96"/>
                  </a:lnTo>
                  <a:lnTo>
                    <a:pt x="68" y="10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8" name="Freeform 4847">
              <a:extLst>
                <a:ext uri="{FF2B5EF4-FFF2-40B4-BE49-F238E27FC236}">
                  <a16:creationId xmlns:a16="http://schemas.microsoft.com/office/drawing/2014/main" id="{6D1813BF-D32C-8BBD-B810-C6066DD89556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53 2411"/>
                <a:gd name="T1" fmla="*/ T0 w 79"/>
                <a:gd name="T2" fmla="+- 0 631 520"/>
                <a:gd name="T3" fmla="*/ 631 h 111"/>
                <a:gd name="T4" fmla="+- 0 2446 2411"/>
                <a:gd name="T5" fmla="*/ T4 w 79"/>
                <a:gd name="T6" fmla="+- 0 630 520"/>
                <a:gd name="T7" fmla="*/ 630 h 111"/>
                <a:gd name="T8" fmla="+- 0 2427 2411"/>
                <a:gd name="T9" fmla="*/ T8 w 79"/>
                <a:gd name="T10" fmla="+- 0 624 520"/>
                <a:gd name="T11" fmla="*/ 624 h 111"/>
                <a:gd name="T12" fmla="+- 0 2411 2411"/>
                <a:gd name="T13" fmla="*/ T12 w 79"/>
                <a:gd name="T14" fmla="+- 0 602 520"/>
                <a:gd name="T15" fmla="*/ 602 h 111"/>
                <a:gd name="T16" fmla="+- 0 2411 2411"/>
                <a:gd name="T17" fmla="*/ T16 w 79"/>
                <a:gd name="T18" fmla="+- 0 601 520"/>
                <a:gd name="T19" fmla="*/ 601 h 111"/>
                <a:gd name="T20" fmla="+- 0 2423 2411"/>
                <a:gd name="T21" fmla="*/ T20 w 79"/>
                <a:gd name="T22" fmla="+- 0 601 520"/>
                <a:gd name="T23" fmla="*/ 601 h 111"/>
                <a:gd name="T24" fmla="+- 0 2423 2411"/>
                <a:gd name="T25" fmla="*/ T24 w 79"/>
                <a:gd name="T26" fmla="+- 0 602 520"/>
                <a:gd name="T27" fmla="*/ 602 h 111"/>
                <a:gd name="T28" fmla="+- 0 2425 2411"/>
                <a:gd name="T29" fmla="*/ T28 w 79"/>
                <a:gd name="T30" fmla="+- 0 607 520"/>
                <a:gd name="T31" fmla="*/ 607 h 111"/>
                <a:gd name="T32" fmla="+- 0 2433 2411"/>
                <a:gd name="T33" fmla="*/ T32 w 79"/>
                <a:gd name="T34" fmla="+- 0 621 520"/>
                <a:gd name="T35" fmla="*/ 621 h 111"/>
                <a:gd name="T36" fmla="+- 0 2479 2411"/>
                <a:gd name="T37" fmla="*/ T36 w 79"/>
                <a:gd name="T38" fmla="+- 0 621 520"/>
                <a:gd name="T39" fmla="*/ 621 h 111"/>
                <a:gd name="T40" fmla="+- 0 2472 2411"/>
                <a:gd name="T41" fmla="*/ T40 w 79"/>
                <a:gd name="T42" fmla="+- 0 630 520"/>
                <a:gd name="T43" fmla="*/ 630 h 111"/>
                <a:gd name="T44" fmla="+- 0 2453 2411"/>
                <a:gd name="T45" fmla="*/ T44 w 79"/>
                <a:gd name="T46" fmla="+- 0 631 520"/>
                <a:gd name="T47" fmla="*/ 631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79" h="111">
                  <a:moveTo>
                    <a:pt x="42" y="111"/>
                  </a:moveTo>
                  <a:lnTo>
                    <a:pt x="35" y="110"/>
                  </a:lnTo>
                  <a:lnTo>
                    <a:pt x="16" y="104"/>
                  </a:lnTo>
                  <a:lnTo>
                    <a:pt x="0" y="82"/>
                  </a:lnTo>
                  <a:lnTo>
                    <a:pt x="0" y="81"/>
                  </a:lnTo>
                  <a:lnTo>
                    <a:pt x="12" y="81"/>
                  </a:lnTo>
                  <a:lnTo>
                    <a:pt x="12" y="82"/>
                  </a:lnTo>
                  <a:lnTo>
                    <a:pt x="14" y="87"/>
                  </a:lnTo>
                  <a:lnTo>
                    <a:pt x="22" y="101"/>
                  </a:lnTo>
                  <a:lnTo>
                    <a:pt x="68" y="101"/>
                  </a:lnTo>
                  <a:lnTo>
                    <a:pt x="61" y="110"/>
                  </a:lnTo>
                  <a:lnTo>
                    <a:pt x="42" y="11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6EEAE402-CF0C-5C1C-589C-46239230E490}"/>
              </a:ext>
            </a:extLst>
          </xdr:cNvPr>
          <xdr:cNvGrpSpPr>
            <a:grpSpLocks/>
          </xdr:cNvGrpSpPr>
        </xdr:nvGrpSpPr>
        <xdr:grpSpPr bwMode="auto">
          <a:xfrm>
            <a:off x="2506" y="520"/>
            <a:ext cx="115" cy="81"/>
            <a:chOff x="2506" y="520"/>
            <a:chExt cx="115" cy="81"/>
          </a:xfrm>
        </xdr:grpSpPr>
        <xdr:sp macro="" textlink="">
          <xdr:nvSpPr>
            <xdr:cNvPr id="39" name="Freeform 4845">
              <a:extLst>
                <a:ext uri="{FF2B5EF4-FFF2-40B4-BE49-F238E27FC236}">
                  <a16:creationId xmlns:a16="http://schemas.microsoft.com/office/drawing/2014/main" id="{A964B01C-66AD-5CE2-75D9-972E89DCEA83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61 2506"/>
                <a:gd name="T1" fmla="*/ T0 w 115"/>
                <a:gd name="T2" fmla="+- 0 530 520"/>
                <a:gd name="T3" fmla="*/ 530 h 81"/>
                <a:gd name="T4" fmla="+- 0 2517 2506"/>
                <a:gd name="T5" fmla="*/ T4 w 115"/>
                <a:gd name="T6" fmla="+- 0 530 520"/>
                <a:gd name="T7" fmla="*/ 530 h 81"/>
                <a:gd name="T8" fmla="+- 0 2522 2506"/>
                <a:gd name="T9" fmla="*/ T8 w 115"/>
                <a:gd name="T10" fmla="+- 0 523 520"/>
                <a:gd name="T11" fmla="*/ 523 h 81"/>
                <a:gd name="T12" fmla="+- 0 2530 2506"/>
                <a:gd name="T13" fmla="*/ T12 w 115"/>
                <a:gd name="T14" fmla="+- 0 520 520"/>
                <a:gd name="T15" fmla="*/ 520 h 81"/>
                <a:gd name="T16" fmla="+- 0 2544 2506"/>
                <a:gd name="T17" fmla="*/ T16 w 115"/>
                <a:gd name="T18" fmla="+- 0 520 520"/>
                <a:gd name="T19" fmla="*/ 520 h 81"/>
                <a:gd name="T20" fmla="+- 0 2557 2506"/>
                <a:gd name="T21" fmla="*/ T20 w 115"/>
                <a:gd name="T22" fmla="+- 0 523 520"/>
                <a:gd name="T23" fmla="*/ 523 h 81"/>
                <a:gd name="T24" fmla="+- 0 2561 2506"/>
                <a:gd name="T25" fmla="*/ T24 w 115"/>
                <a:gd name="T26" fmla="+- 0 530 520"/>
                <a:gd name="T27" fmla="*/ 53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15" h="81">
                  <a:moveTo>
                    <a:pt x="55" y="10"/>
                  </a:moveTo>
                  <a:lnTo>
                    <a:pt x="11" y="10"/>
                  </a:lnTo>
                  <a:lnTo>
                    <a:pt x="16" y="3"/>
                  </a:lnTo>
                  <a:lnTo>
                    <a:pt x="24" y="0"/>
                  </a:lnTo>
                  <a:lnTo>
                    <a:pt x="38" y="0"/>
                  </a:lnTo>
                  <a:lnTo>
                    <a:pt x="51" y="3"/>
                  </a:lnTo>
                  <a:lnTo>
                    <a:pt x="55" y="1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0" name="Freeform 4844">
              <a:extLst>
                <a:ext uri="{FF2B5EF4-FFF2-40B4-BE49-F238E27FC236}">
                  <a16:creationId xmlns:a16="http://schemas.microsoft.com/office/drawing/2014/main" id="{F40F4CE1-C97B-2B77-3EA0-E5D87C846526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75 2506"/>
                <a:gd name="T1" fmla="*/ T0 w 115"/>
                <a:gd name="T2" fmla="+- 0 534 520"/>
                <a:gd name="T3" fmla="*/ 534 h 81"/>
                <a:gd name="T4" fmla="+- 0 2563 2506"/>
                <a:gd name="T5" fmla="*/ T4 w 115"/>
                <a:gd name="T6" fmla="+- 0 534 520"/>
                <a:gd name="T7" fmla="*/ 534 h 81"/>
                <a:gd name="T8" fmla="+- 0 2569 2506"/>
                <a:gd name="T9" fmla="*/ T8 w 115"/>
                <a:gd name="T10" fmla="+- 0 523 520"/>
                <a:gd name="T11" fmla="*/ 523 h 81"/>
                <a:gd name="T12" fmla="+- 0 2582 2506"/>
                <a:gd name="T13" fmla="*/ T12 w 115"/>
                <a:gd name="T14" fmla="+- 0 520 520"/>
                <a:gd name="T15" fmla="*/ 520 h 81"/>
                <a:gd name="T16" fmla="+- 0 2589 2506"/>
                <a:gd name="T17" fmla="*/ T16 w 115"/>
                <a:gd name="T18" fmla="+- 0 520 520"/>
                <a:gd name="T19" fmla="*/ 520 h 81"/>
                <a:gd name="T20" fmla="+- 0 2594 2506"/>
                <a:gd name="T21" fmla="*/ T20 w 115"/>
                <a:gd name="T22" fmla="+- 0 521 520"/>
                <a:gd name="T23" fmla="*/ 521 h 81"/>
                <a:gd name="T24" fmla="+- 0 2612 2506"/>
                <a:gd name="T25" fmla="*/ T24 w 115"/>
                <a:gd name="T26" fmla="+- 0 529 520"/>
                <a:gd name="T27" fmla="*/ 529 h 81"/>
                <a:gd name="T28" fmla="+- 0 2612 2506"/>
                <a:gd name="T29" fmla="*/ T28 w 115"/>
                <a:gd name="T30" fmla="+- 0 530 520"/>
                <a:gd name="T31" fmla="*/ 530 h 81"/>
                <a:gd name="T32" fmla="+- 0 2582 2506"/>
                <a:gd name="T33" fmla="*/ T32 w 115"/>
                <a:gd name="T34" fmla="+- 0 530 520"/>
                <a:gd name="T35" fmla="*/ 530 h 81"/>
                <a:gd name="T36" fmla="+- 0 2576 2506"/>
                <a:gd name="T37" fmla="*/ T36 w 115"/>
                <a:gd name="T38" fmla="+- 0 534 520"/>
                <a:gd name="T39" fmla="*/ 534 h 81"/>
                <a:gd name="T40" fmla="+- 0 2575 2506"/>
                <a:gd name="T41" fmla="*/ T40 w 115"/>
                <a:gd name="T42" fmla="+- 0 534 520"/>
                <a:gd name="T43" fmla="*/ 534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15" h="81">
                  <a:moveTo>
                    <a:pt x="69" y="14"/>
                  </a:moveTo>
                  <a:lnTo>
                    <a:pt x="57" y="14"/>
                  </a:lnTo>
                  <a:lnTo>
                    <a:pt x="63" y="3"/>
                  </a:lnTo>
                  <a:lnTo>
                    <a:pt x="76" y="0"/>
                  </a:lnTo>
                  <a:lnTo>
                    <a:pt x="83" y="0"/>
                  </a:lnTo>
                  <a:lnTo>
                    <a:pt x="88" y="1"/>
                  </a:lnTo>
                  <a:lnTo>
                    <a:pt x="106" y="9"/>
                  </a:lnTo>
                  <a:lnTo>
                    <a:pt x="106" y="10"/>
                  </a:lnTo>
                  <a:lnTo>
                    <a:pt x="76" y="10"/>
                  </a:lnTo>
                  <a:lnTo>
                    <a:pt x="70" y="14"/>
                  </a:lnTo>
                  <a:lnTo>
                    <a:pt x="69" y="14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1" name="Freeform 4843">
              <a:extLst>
                <a:ext uri="{FF2B5EF4-FFF2-40B4-BE49-F238E27FC236}">
                  <a16:creationId xmlns:a16="http://schemas.microsoft.com/office/drawing/2014/main" id="{535890EE-6DDC-0C53-88CD-57CB6DD28A63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17 2506"/>
                <a:gd name="T1" fmla="*/ T0 w 115"/>
                <a:gd name="T2" fmla="+- 0 601 520"/>
                <a:gd name="T3" fmla="*/ 601 h 81"/>
                <a:gd name="T4" fmla="+- 0 2506 2506"/>
                <a:gd name="T5" fmla="*/ T4 w 115"/>
                <a:gd name="T6" fmla="+- 0 601 520"/>
                <a:gd name="T7" fmla="*/ 601 h 81"/>
                <a:gd name="T8" fmla="+- 0 2506 2506"/>
                <a:gd name="T9" fmla="*/ T8 w 115"/>
                <a:gd name="T10" fmla="+- 0 522 520"/>
                <a:gd name="T11" fmla="*/ 522 h 81"/>
                <a:gd name="T12" fmla="+- 0 2517 2506"/>
                <a:gd name="T13" fmla="*/ T12 w 115"/>
                <a:gd name="T14" fmla="+- 0 522 520"/>
                <a:gd name="T15" fmla="*/ 522 h 81"/>
                <a:gd name="T16" fmla="+- 0 2517 2506"/>
                <a:gd name="T17" fmla="*/ T16 w 115"/>
                <a:gd name="T18" fmla="+- 0 530 520"/>
                <a:gd name="T19" fmla="*/ 530 h 81"/>
                <a:gd name="T20" fmla="+- 0 2561 2506"/>
                <a:gd name="T21" fmla="*/ T20 w 115"/>
                <a:gd name="T22" fmla="+- 0 530 520"/>
                <a:gd name="T23" fmla="*/ 530 h 81"/>
                <a:gd name="T24" fmla="+- 0 2561 2506"/>
                <a:gd name="T25" fmla="*/ T24 w 115"/>
                <a:gd name="T26" fmla="+- 0 530 520"/>
                <a:gd name="T27" fmla="*/ 530 h 81"/>
                <a:gd name="T28" fmla="+- 0 2530 2506"/>
                <a:gd name="T29" fmla="*/ T28 w 115"/>
                <a:gd name="T30" fmla="+- 0 530 520"/>
                <a:gd name="T31" fmla="*/ 530 h 81"/>
                <a:gd name="T32" fmla="+- 0 2524 2506"/>
                <a:gd name="T33" fmla="*/ T32 w 115"/>
                <a:gd name="T34" fmla="+- 0 534 520"/>
                <a:gd name="T35" fmla="*/ 534 h 81"/>
                <a:gd name="T36" fmla="+- 0 2520 2506"/>
                <a:gd name="T37" fmla="*/ T36 w 115"/>
                <a:gd name="T38" fmla="+- 0 540 520"/>
                <a:gd name="T39" fmla="*/ 540 h 81"/>
                <a:gd name="T40" fmla="+- 0 2518 2506"/>
                <a:gd name="T41" fmla="*/ T40 w 115"/>
                <a:gd name="T42" fmla="+- 0 543 520"/>
                <a:gd name="T43" fmla="*/ 543 h 81"/>
                <a:gd name="T44" fmla="+- 0 2517 2506"/>
                <a:gd name="T45" fmla="*/ T44 w 115"/>
                <a:gd name="T46" fmla="+- 0 547 520"/>
                <a:gd name="T47" fmla="*/ 547 h 81"/>
                <a:gd name="T48" fmla="+- 0 2517 2506"/>
                <a:gd name="T49" fmla="*/ T48 w 115"/>
                <a:gd name="T50" fmla="+- 0 601 520"/>
                <a:gd name="T51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115" h="81">
                  <a:moveTo>
                    <a:pt x="11" y="81"/>
                  </a:moveTo>
                  <a:lnTo>
                    <a:pt x="0" y="81"/>
                  </a:lnTo>
                  <a:lnTo>
                    <a:pt x="0" y="2"/>
                  </a:lnTo>
                  <a:lnTo>
                    <a:pt x="11" y="2"/>
                  </a:lnTo>
                  <a:lnTo>
                    <a:pt x="11" y="10"/>
                  </a:lnTo>
                  <a:lnTo>
                    <a:pt x="55" y="10"/>
                  </a:lnTo>
                  <a:lnTo>
                    <a:pt x="24" y="10"/>
                  </a:lnTo>
                  <a:lnTo>
                    <a:pt x="18" y="14"/>
                  </a:lnTo>
                  <a:lnTo>
                    <a:pt x="14" y="20"/>
                  </a:lnTo>
                  <a:lnTo>
                    <a:pt x="12" y="23"/>
                  </a:lnTo>
                  <a:lnTo>
                    <a:pt x="11" y="27"/>
                  </a:lnTo>
                  <a:lnTo>
                    <a:pt x="11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2" name="Freeform 4842">
              <a:extLst>
                <a:ext uri="{FF2B5EF4-FFF2-40B4-BE49-F238E27FC236}">
                  <a16:creationId xmlns:a16="http://schemas.microsoft.com/office/drawing/2014/main" id="{E415BE7D-C6AB-D86B-E1F3-F1F9C320EA79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69 2506"/>
                <a:gd name="T1" fmla="*/ T0 w 115"/>
                <a:gd name="T2" fmla="+- 0 601 520"/>
                <a:gd name="T3" fmla="*/ 601 h 81"/>
                <a:gd name="T4" fmla="+- 0 2558 2506"/>
                <a:gd name="T5" fmla="*/ T4 w 115"/>
                <a:gd name="T6" fmla="+- 0 601 520"/>
                <a:gd name="T7" fmla="*/ 601 h 81"/>
                <a:gd name="T8" fmla="+- 0 2558 2506"/>
                <a:gd name="T9" fmla="*/ T8 w 115"/>
                <a:gd name="T10" fmla="+- 0 547 520"/>
                <a:gd name="T11" fmla="*/ 547 h 81"/>
                <a:gd name="T12" fmla="+- 0 2556 2506"/>
                <a:gd name="T13" fmla="*/ T12 w 115"/>
                <a:gd name="T14" fmla="+- 0 543 520"/>
                <a:gd name="T15" fmla="*/ 543 h 81"/>
                <a:gd name="T16" fmla="+- 0 2554 2506"/>
                <a:gd name="T17" fmla="*/ T16 w 115"/>
                <a:gd name="T18" fmla="+- 0 540 520"/>
                <a:gd name="T19" fmla="*/ 540 h 81"/>
                <a:gd name="T20" fmla="+- 0 2551 2506"/>
                <a:gd name="T21" fmla="*/ T20 w 115"/>
                <a:gd name="T22" fmla="+- 0 534 520"/>
                <a:gd name="T23" fmla="*/ 534 h 81"/>
                <a:gd name="T24" fmla="+- 0 2545 2506"/>
                <a:gd name="T25" fmla="*/ T24 w 115"/>
                <a:gd name="T26" fmla="+- 0 530 520"/>
                <a:gd name="T27" fmla="*/ 530 h 81"/>
                <a:gd name="T28" fmla="+- 0 2561 2506"/>
                <a:gd name="T29" fmla="*/ T28 w 115"/>
                <a:gd name="T30" fmla="+- 0 530 520"/>
                <a:gd name="T31" fmla="*/ 530 h 81"/>
                <a:gd name="T32" fmla="+- 0 2563 2506"/>
                <a:gd name="T33" fmla="*/ T32 w 115"/>
                <a:gd name="T34" fmla="+- 0 534 520"/>
                <a:gd name="T35" fmla="*/ 534 h 81"/>
                <a:gd name="T36" fmla="+- 0 2575 2506"/>
                <a:gd name="T37" fmla="*/ T36 w 115"/>
                <a:gd name="T38" fmla="+- 0 534 520"/>
                <a:gd name="T39" fmla="*/ 534 h 81"/>
                <a:gd name="T40" fmla="+- 0 2572 2506"/>
                <a:gd name="T41" fmla="*/ T40 w 115"/>
                <a:gd name="T42" fmla="+- 0 540 520"/>
                <a:gd name="T43" fmla="*/ 540 h 81"/>
                <a:gd name="T44" fmla="+- 0 2570 2506"/>
                <a:gd name="T45" fmla="*/ T44 w 115"/>
                <a:gd name="T46" fmla="+- 0 543 520"/>
                <a:gd name="T47" fmla="*/ 543 h 81"/>
                <a:gd name="T48" fmla="+- 0 2569 2506"/>
                <a:gd name="T49" fmla="*/ T48 w 115"/>
                <a:gd name="T50" fmla="+- 0 547 520"/>
                <a:gd name="T51" fmla="*/ 547 h 81"/>
                <a:gd name="T52" fmla="+- 0 2569 2506"/>
                <a:gd name="T53" fmla="*/ T52 w 115"/>
                <a:gd name="T54" fmla="+- 0 601 520"/>
                <a:gd name="T55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115" h="81">
                  <a:moveTo>
                    <a:pt x="63" y="81"/>
                  </a:moveTo>
                  <a:lnTo>
                    <a:pt x="52" y="81"/>
                  </a:lnTo>
                  <a:lnTo>
                    <a:pt x="52" y="27"/>
                  </a:lnTo>
                  <a:lnTo>
                    <a:pt x="50" y="23"/>
                  </a:lnTo>
                  <a:lnTo>
                    <a:pt x="48" y="20"/>
                  </a:lnTo>
                  <a:lnTo>
                    <a:pt x="45" y="14"/>
                  </a:lnTo>
                  <a:lnTo>
                    <a:pt x="39" y="10"/>
                  </a:lnTo>
                  <a:lnTo>
                    <a:pt x="55" y="10"/>
                  </a:lnTo>
                  <a:lnTo>
                    <a:pt x="57" y="14"/>
                  </a:lnTo>
                  <a:lnTo>
                    <a:pt x="69" y="14"/>
                  </a:lnTo>
                  <a:lnTo>
                    <a:pt x="66" y="20"/>
                  </a:lnTo>
                  <a:lnTo>
                    <a:pt x="64" y="23"/>
                  </a:lnTo>
                  <a:lnTo>
                    <a:pt x="63" y="27"/>
                  </a:lnTo>
                  <a:lnTo>
                    <a:pt x="63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3" name="Freeform 4841">
              <a:extLst>
                <a:ext uri="{FF2B5EF4-FFF2-40B4-BE49-F238E27FC236}">
                  <a16:creationId xmlns:a16="http://schemas.microsoft.com/office/drawing/2014/main" id="{7A1D1CCA-E2FE-F7B2-99C3-9067DBA0CEE1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620 2506"/>
                <a:gd name="T1" fmla="*/ T0 w 115"/>
                <a:gd name="T2" fmla="+- 0 601 520"/>
                <a:gd name="T3" fmla="*/ 601 h 81"/>
                <a:gd name="T4" fmla="+- 0 2609 2506"/>
                <a:gd name="T5" fmla="*/ T4 w 115"/>
                <a:gd name="T6" fmla="+- 0 601 520"/>
                <a:gd name="T7" fmla="*/ 601 h 81"/>
                <a:gd name="T8" fmla="+- 0 2609 2506"/>
                <a:gd name="T9" fmla="*/ T8 w 115"/>
                <a:gd name="T10" fmla="+- 0 547 520"/>
                <a:gd name="T11" fmla="*/ 547 h 81"/>
                <a:gd name="T12" fmla="+- 0 2608 2506"/>
                <a:gd name="T13" fmla="*/ T12 w 115"/>
                <a:gd name="T14" fmla="+- 0 543 520"/>
                <a:gd name="T15" fmla="*/ 543 h 81"/>
                <a:gd name="T16" fmla="+- 0 2606 2506"/>
                <a:gd name="T17" fmla="*/ T16 w 115"/>
                <a:gd name="T18" fmla="+- 0 540 520"/>
                <a:gd name="T19" fmla="*/ 540 h 81"/>
                <a:gd name="T20" fmla="+- 0 2603 2506"/>
                <a:gd name="T21" fmla="*/ T20 w 115"/>
                <a:gd name="T22" fmla="+- 0 534 520"/>
                <a:gd name="T23" fmla="*/ 534 h 81"/>
                <a:gd name="T24" fmla="+- 0 2596 2506"/>
                <a:gd name="T25" fmla="*/ T24 w 115"/>
                <a:gd name="T26" fmla="+- 0 530 520"/>
                <a:gd name="T27" fmla="*/ 530 h 81"/>
                <a:gd name="T28" fmla="+- 0 2612 2506"/>
                <a:gd name="T29" fmla="*/ T28 w 115"/>
                <a:gd name="T30" fmla="+- 0 530 520"/>
                <a:gd name="T31" fmla="*/ 530 h 81"/>
                <a:gd name="T32" fmla="+- 0 2620 2506"/>
                <a:gd name="T33" fmla="*/ T32 w 115"/>
                <a:gd name="T34" fmla="+- 0 554 520"/>
                <a:gd name="T35" fmla="*/ 554 h 81"/>
                <a:gd name="T36" fmla="+- 0 2620 2506"/>
                <a:gd name="T37" fmla="*/ T36 w 115"/>
                <a:gd name="T38" fmla="+- 0 601 520"/>
                <a:gd name="T39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15" h="81">
                  <a:moveTo>
                    <a:pt x="114" y="81"/>
                  </a:moveTo>
                  <a:lnTo>
                    <a:pt x="103" y="81"/>
                  </a:lnTo>
                  <a:lnTo>
                    <a:pt x="103" y="27"/>
                  </a:lnTo>
                  <a:lnTo>
                    <a:pt x="102" y="23"/>
                  </a:lnTo>
                  <a:lnTo>
                    <a:pt x="100" y="20"/>
                  </a:lnTo>
                  <a:lnTo>
                    <a:pt x="97" y="14"/>
                  </a:lnTo>
                  <a:lnTo>
                    <a:pt x="90" y="10"/>
                  </a:lnTo>
                  <a:lnTo>
                    <a:pt x="106" y="10"/>
                  </a:lnTo>
                  <a:lnTo>
                    <a:pt x="114" y="34"/>
                  </a:lnTo>
                  <a:lnTo>
                    <a:pt x="114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E50C53FD-8502-5113-3FC4-1A792E512D72}"/>
              </a:ext>
            </a:extLst>
          </xdr:cNvPr>
          <xdr:cNvGrpSpPr>
            <a:grpSpLocks/>
          </xdr:cNvGrpSpPr>
        </xdr:nvGrpSpPr>
        <xdr:grpSpPr bwMode="auto">
          <a:xfrm>
            <a:off x="2638" y="520"/>
            <a:ext cx="78" cy="80"/>
            <a:chOff x="2638" y="520"/>
            <a:chExt cx="78" cy="80"/>
          </a:xfrm>
        </xdr:grpSpPr>
        <xdr:sp macro="" textlink="">
          <xdr:nvSpPr>
            <xdr:cNvPr id="36" name="Freeform 4839">
              <a:extLst>
                <a:ext uri="{FF2B5EF4-FFF2-40B4-BE49-F238E27FC236}">
                  <a16:creationId xmlns:a16="http://schemas.microsoft.com/office/drawing/2014/main" id="{9193614F-F209-9A33-E033-D4A24B428ABE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661 2638"/>
                <a:gd name="T1" fmla="*/ T0 w 78"/>
                <a:gd name="T2" fmla="+- 0 600 520"/>
                <a:gd name="T3" fmla="*/ 600 h 80"/>
                <a:gd name="T4" fmla="+- 0 2647 2638"/>
                <a:gd name="T5" fmla="*/ T4 w 78"/>
                <a:gd name="T6" fmla="+- 0 590 520"/>
                <a:gd name="T7" fmla="*/ 590 h 80"/>
                <a:gd name="T8" fmla="+- 0 2639 2638"/>
                <a:gd name="T9" fmla="*/ T8 w 78"/>
                <a:gd name="T10" fmla="+- 0 571 520"/>
                <a:gd name="T11" fmla="*/ 571 h 80"/>
                <a:gd name="T12" fmla="+- 0 2638 2638"/>
                <a:gd name="T13" fmla="*/ T12 w 78"/>
                <a:gd name="T14" fmla="+- 0 542 520"/>
                <a:gd name="T15" fmla="*/ 542 h 80"/>
                <a:gd name="T16" fmla="+- 0 2653 2638"/>
                <a:gd name="T17" fmla="*/ T16 w 78"/>
                <a:gd name="T18" fmla="+- 0 527 520"/>
                <a:gd name="T19" fmla="*/ 527 h 80"/>
                <a:gd name="T20" fmla="+- 0 2674 2638"/>
                <a:gd name="T21" fmla="*/ T20 w 78"/>
                <a:gd name="T22" fmla="+- 0 520 520"/>
                <a:gd name="T23" fmla="*/ 520 h 80"/>
                <a:gd name="T24" fmla="+- 0 2696 2638"/>
                <a:gd name="T25" fmla="*/ T24 w 78"/>
                <a:gd name="T26" fmla="+- 0 527 520"/>
                <a:gd name="T27" fmla="*/ 527 h 80"/>
                <a:gd name="T28" fmla="+- 0 2699 2638"/>
                <a:gd name="T29" fmla="*/ T28 w 78"/>
                <a:gd name="T30" fmla="+- 0 530 520"/>
                <a:gd name="T31" fmla="*/ 530 h 80"/>
                <a:gd name="T32" fmla="+- 0 2661 2638"/>
                <a:gd name="T33" fmla="*/ T32 w 78"/>
                <a:gd name="T34" fmla="+- 0 530 520"/>
                <a:gd name="T35" fmla="*/ 530 h 80"/>
                <a:gd name="T36" fmla="+- 0 2648 2638"/>
                <a:gd name="T37" fmla="*/ T36 w 78"/>
                <a:gd name="T38" fmla="+- 0 539 520"/>
                <a:gd name="T39" fmla="*/ 539 h 80"/>
                <a:gd name="T40" fmla="+- 0 2645 2638"/>
                <a:gd name="T41" fmla="*/ T40 w 78"/>
                <a:gd name="T42" fmla="+- 0 556 520"/>
                <a:gd name="T43" fmla="*/ 556 h 80"/>
                <a:gd name="T44" fmla="+- 0 2715 2638"/>
                <a:gd name="T45" fmla="*/ T44 w 78"/>
                <a:gd name="T46" fmla="+- 0 556 520"/>
                <a:gd name="T47" fmla="*/ 556 h 80"/>
                <a:gd name="T48" fmla="+- 0 2715 2638"/>
                <a:gd name="T49" fmla="*/ T48 w 78"/>
                <a:gd name="T50" fmla="+- 0 565 520"/>
                <a:gd name="T51" fmla="*/ 565 h 80"/>
                <a:gd name="T52" fmla="+- 0 2714 2638"/>
                <a:gd name="T53" fmla="*/ T52 w 78"/>
                <a:gd name="T54" fmla="+- 0 565 520"/>
                <a:gd name="T55" fmla="*/ 565 h 80"/>
                <a:gd name="T56" fmla="+- 0 2645 2638"/>
                <a:gd name="T57" fmla="*/ T56 w 78"/>
                <a:gd name="T58" fmla="+- 0 565 520"/>
                <a:gd name="T59" fmla="*/ 565 h 80"/>
                <a:gd name="T60" fmla="+- 0 2646 2638"/>
                <a:gd name="T61" fmla="*/ T60 w 78"/>
                <a:gd name="T62" fmla="+- 0 580 520"/>
                <a:gd name="T63" fmla="*/ 580 h 80"/>
                <a:gd name="T64" fmla="+- 0 2659 2638"/>
                <a:gd name="T65" fmla="*/ T64 w 78"/>
                <a:gd name="T66" fmla="+- 0 592 520"/>
                <a:gd name="T67" fmla="*/ 592 h 80"/>
                <a:gd name="T68" fmla="+- 0 2697 2638"/>
                <a:gd name="T69" fmla="*/ T68 w 78"/>
                <a:gd name="T70" fmla="+- 0 592 520"/>
                <a:gd name="T71" fmla="*/ 592 h 80"/>
                <a:gd name="T72" fmla="+- 0 2687 2638"/>
                <a:gd name="T73" fmla="*/ T72 w 78"/>
                <a:gd name="T74" fmla="+- 0 598 520"/>
                <a:gd name="T75" fmla="*/ 598 h 80"/>
                <a:gd name="T76" fmla="+- 0 2661 2638"/>
                <a:gd name="T77" fmla="*/ T76 w 78"/>
                <a:gd name="T78" fmla="+- 0 600 520"/>
                <a:gd name="T7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8" h="80">
                  <a:moveTo>
                    <a:pt x="23" y="80"/>
                  </a:moveTo>
                  <a:lnTo>
                    <a:pt x="9" y="70"/>
                  </a:lnTo>
                  <a:lnTo>
                    <a:pt x="1" y="51"/>
                  </a:lnTo>
                  <a:lnTo>
                    <a:pt x="0" y="22"/>
                  </a:lnTo>
                  <a:lnTo>
                    <a:pt x="15" y="7"/>
                  </a:lnTo>
                  <a:lnTo>
                    <a:pt x="36" y="0"/>
                  </a:lnTo>
                  <a:lnTo>
                    <a:pt x="58" y="7"/>
                  </a:lnTo>
                  <a:lnTo>
                    <a:pt x="61" y="10"/>
                  </a:lnTo>
                  <a:lnTo>
                    <a:pt x="23" y="10"/>
                  </a:lnTo>
                  <a:lnTo>
                    <a:pt x="10" y="19"/>
                  </a:lnTo>
                  <a:lnTo>
                    <a:pt x="7" y="36"/>
                  </a:lnTo>
                  <a:lnTo>
                    <a:pt x="77" y="36"/>
                  </a:lnTo>
                  <a:lnTo>
                    <a:pt x="77" y="45"/>
                  </a:lnTo>
                  <a:lnTo>
                    <a:pt x="76" y="45"/>
                  </a:lnTo>
                  <a:lnTo>
                    <a:pt x="7" y="45"/>
                  </a:lnTo>
                  <a:lnTo>
                    <a:pt x="8" y="60"/>
                  </a:lnTo>
                  <a:lnTo>
                    <a:pt x="21" y="72"/>
                  </a:lnTo>
                  <a:lnTo>
                    <a:pt x="59" y="72"/>
                  </a:lnTo>
                  <a:lnTo>
                    <a:pt x="49" y="78"/>
                  </a:lnTo>
                  <a:lnTo>
                    <a:pt x="23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7" name="Freeform 4838">
              <a:extLst>
                <a:ext uri="{FF2B5EF4-FFF2-40B4-BE49-F238E27FC236}">
                  <a16:creationId xmlns:a16="http://schemas.microsoft.com/office/drawing/2014/main" id="{F414CFF2-4366-4A50-7679-AC42062E1B56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715 2638"/>
                <a:gd name="T1" fmla="*/ T0 w 78"/>
                <a:gd name="T2" fmla="+- 0 556 520"/>
                <a:gd name="T3" fmla="*/ 556 h 80"/>
                <a:gd name="T4" fmla="+- 0 2703 2638"/>
                <a:gd name="T5" fmla="*/ T4 w 78"/>
                <a:gd name="T6" fmla="+- 0 556 520"/>
                <a:gd name="T7" fmla="*/ 556 h 80"/>
                <a:gd name="T8" fmla="+- 0 2700 2638"/>
                <a:gd name="T9" fmla="*/ T8 w 78"/>
                <a:gd name="T10" fmla="+- 0 538 520"/>
                <a:gd name="T11" fmla="*/ 538 h 80"/>
                <a:gd name="T12" fmla="+- 0 2686 2638"/>
                <a:gd name="T13" fmla="*/ T12 w 78"/>
                <a:gd name="T14" fmla="+- 0 530 520"/>
                <a:gd name="T15" fmla="*/ 530 h 80"/>
                <a:gd name="T16" fmla="+- 0 2699 2638"/>
                <a:gd name="T17" fmla="*/ T16 w 78"/>
                <a:gd name="T18" fmla="+- 0 530 520"/>
                <a:gd name="T19" fmla="*/ 530 h 80"/>
                <a:gd name="T20" fmla="+- 0 2709 2638"/>
                <a:gd name="T21" fmla="*/ T20 w 78"/>
                <a:gd name="T22" fmla="+- 0 540 520"/>
                <a:gd name="T23" fmla="*/ 540 h 80"/>
                <a:gd name="T24" fmla="+- 0 2713 2638"/>
                <a:gd name="T25" fmla="*/ T24 w 78"/>
                <a:gd name="T26" fmla="+- 0 547 520"/>
                <a:gd name="T27" fmla="*/ 547 h 80"/>
                <a:gd name="T28" fmla="+- 0 2715 2638"/>
                <a:gd name="T29" fmla="*/ T28 w 78"/>
                <a:gd name="T30" fmla="+- 0 556 520"/>
                <a:gd name="T31" fmla="*/ 556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77" y="36"/>
                  </a:moveTo>
                  <a:lnTo>
                    <a:pt x="65" y="36"/>
                  </a:lnTo>
                  <a:lnTo>
                    <a:pt x="62" y="18"/>
                  </a:lnTo>
                  <a:lnTo>
                    <a:pt x="48" y="10"/>
                  </a:lnTo>
                  <a:lnTo>
                    <a:pt x="61" y="10"/>
                  </a:lnTo>
                  <a:lnTo>
                    <a:pt x="71" y="20"/>
                  </a:lnTo>
                  <a:lnTo>
                    <a:pt x="75" y="27"/>
                  </a:lnTo>
                  <a:lnTo>
                    <a:pt x="77" y="3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8" name="Freeform 4837">
              <a:extLst>
                <a:ext uri="{FF2B5EF4-FFF2-40B4-BE49-F238E27FC236}">
                  <a16:creationId xmlns:a16="http://schemas.microsoft.com/office/drawing/2014/main" id="{D17680CF-5859-43C6-FA4F-4A819402BFFA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697 2638"/>
                <a:gd name="T1" fmla="*/ T0 w 78"/>
                <a:gd name="T2" fmla="+- 0 592 520"/>
                <a:gd name="T3" fmla="*/ 592 h 80"/>
                <a:gd name="T4" fmla="+- 0 2674 2638"/>
                <a:gd name="T5" fmla="*/ T4 w 78"/>
                <a:gd name="T6" fmla="+- 0 592 520"/>
                <a:gd name="T7" fmla="*/ 592 h 80"/>
                <a:gd name="T8" fmla="+- 0 2689 2638"/>
                <a:gd name="T9" fmla="*/ T8 w 78"/>
                <a:gd name="T10" fmla="+- 0 592 520"/>
                <a:gd name="T11" fmla="*/ 592 h 80"/>
                <a:gd name="T12" fmla="+- 0 2698 2638"/>
                <a:gd name="T13" fmla="*/ T12 w 78"/>
                <a:gd name="T14" fmla="+- 0 582 520"/>
                <a:gd name="T15" fmla="*/ 582 h 80"/>
                <a:gd name="T16" fmla="+- 0 2701 2638"/>
                <a:gd name="T17" fmla="*/ T16 w 78"/>
                <a:gd name="T18" fmla="+- 0 574 520"/>
                <a:gd name="T19" fmla="*/ 574 h 80"/>
                <a:gd name="T20" fmla="+- 0 2713 2638"/>
                <a:gd name="T21" fmla="*/ T20 w 78"/>
                <a:gd name="T22" fmla="+- 0 574 520"/>
                <a:gd name="T23" fmla="*/ 574 h 80"/>
                <a:gd name="T24" fmla="+- 0 2704 2638"/>
                <a:gd name="T25" fmla="*/ T24 w 78"/>
                <a:gd name="T26" fmla="+- 0 589 520"/>
                <a:gd name="T27" fmla="*/ 589 h 80"/>
                <a:gd name="T28" fmla="+- 0 2697 2638"/>
                <a:gd name="T29" fmla="*/ T28 w 78"/>
                <a:gd name="T30" fmla="+- 0 592 520"/>
                <a:gd name="T31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59" y="72"/>
                  </a:moveTo>
                  <a:lnTo>
                    <a:pt x="36" y="72"/>
                  </a:lnTo>
                  <a:lnTo>
                    <a:pt x="51" y="72"/>
                  </a:lnTo>
                  <a:lnTo>
                    <a:pt x="60" y="62"/>
                  </a:lnTo>
                  <a:lnTo>
                    <a:pt x="63" y="54"/>
                  </a:lnTo>
                  <a:lnTo>
                    <a:pt x="75" y="54"/>
                  </a:lnTo>
                  <a:lnTo>
                    <a:pt x="66" y="69"/>
                  </a:lnTo>
                  <a:lnTo>
                    <a:pt x="59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69523786-9B2D-D458-4A39-D4C8BFA73631}"/>
              </a:ext>
            </a:extLst>
          </xdr:cNvPr>
          <xdr:cNvGrpSpPr>
            <a:grpSpLocks/>
          </xdr:cNvGrpSpPr>
        </xdr:nvGrpSpPr>
        <xdr:grpSpPr bwMode="auto">
          <a:xfrm>
            <a:off x="2729" y="520"/>
            <a:ext cx="69" cy="81"/>
            <a:chOff x="2729" y="520"/>
            <a:chExt cx="69" cy="81"/>
          </a:xfrm>
        </xdr:grpSpPr>
        <xdr:sp macro="" textlink="">
          <xdr:nvSpPr>
            <xdr:cNvPr id="33" name="Freeform 4835">
              <a:extLst>
                <a:ext uri="{FF2B5EF4-FFF2-40B4-BE49-F238E27FC236}">
                  <a16:creationId xmlns:a16="http://schemas.microsoft.com/office/drawing/2014/main" id="{964AA6B5-000D-E4E3-292E-9D1F155064FC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53 2729"/>
                <a:gd name="T1" fmla="*/ T0 w 69"/>
                <a:gd name="T2" fmla="+- 0 531 520"/>
                <a:gd name="T3" fmla="*/ 531 h 81"/>
                <a:gd name="T4" fmla="+- 0 2740 2729"/>
                <a:gd name="T5" fmla="*/ T4 w 69"/>
                <a:gd name="T6" fmla="+- 0 531 520"/>
                <a:gd name="T7" fmla="*/ 531 h 81"/>
                <a:gd name="T8" fmla="+- 0 2744 2729"/>
                <a:gd name="T9" fmla="*/ T8 w 69"/>
                <a:gd name="T10" fmla="+- 0 526 520"/>
                <a:gd name="T11" fmla="*/ 526 h 81"/>
                <a:gd name="T12" fmla="+- 0 2752 2729"/>
                <a:gd name="T13" fmla="*/ T12 w 69"/>
                <a:gd name="T14" fmla="+- 0 520 520"/>
                <a:gd name="T15" fmla="*/ 520 h 81"/>
                <a:gd name="T16" fmla="+- 0 2774 2729"/>
                <a:gd name="T17" fmla="*/ T16 w 69"/>
                <a:gd name="T18" fmla="+- 0 520 520"/>
                <a:gd name="T19" fmla="*/ 520 h 81"/>
                <a:gd name="T20" fmla="+- 0 2782 2729"/>
                <a:gd name="T21" fmla="*/ T20 w 69"/>
                <a:gd name="T22" fmla="+- 0 523 520"/>
                <a:gd name="T23" fmla="*/ 523 h 81"/>
                <a:gd name="T24" fmla="+- 0 2789 2729"/>
                <a:gd name="T25" fmla="*/ T24 w 69"/>
                <a:gd name="T26" fmla="+- 0 530 520"/>
                <a:gd name="T27" fmla="*/ 530 h 81"/>
                <a:gd name="T28" fmla="+- 0 2761 2729"/>
                <a:gd name="T29" fmla="*/ T28 w 69"/>
                <a:gd name="T30" fmla="+- 0 530 520"/>
                <a:gd name="T31" fmla="*/ 530 h 81"/>
                <a:gd name="T32" fmla="+- 0 2753 2729"/>
                <a:gd name="T33" fmla="*/ T32 w 69"/>
                <a:gd name="T34" fmla="+- 0 531 520"/>
                <a:gd name="T35" fmla="*/ 531 h 81"/>
                <a:gd name="T36" fmla="+- 0 2753 2729"/>
                <a:gd name="T37" fmla="*/ T36 w 69"/>
                <a:gd name="T38" fmla="+- 0 531 520"/>
                <a:gd name="T39" fmla="*/ 53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9" h="81">
                  <a:moveTo>
                    <a:pt x="24" y="11"/>
                  </a:moveTo>
                  <a:lnTo>
                    <a:pt x="11" y="11"/>
                  </a:lnTo>
                  <a:lnTo>
                    <a:pt x="15" y="6"/>
                  </a:lnTo>
                  <a:lnTo>
                    <a:pt x="23" y="0"/>
                  </a:lnTo>
                  <a:lnTo>
                    <a:pt x="45" y="0"/>
                  </a:lnTo>
                  <a:lnTo>
                    <a:pt x="53" y="3"/>
                  </a:lnTo>
                  <a:lnTo>
                    <a:pt x="60" y="10"/>
                  </a:lnTo>
                  <a:lnTo>
                    <a:pt x="32" y="10"/>
                  </a:lnTo>
                  <a:lnTo>
                    <a:pt x="24" y="1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4" name="Freeform 4834">
              <a:extLst>
                <a:ext uri="{FF2B5EF4-FFF2-40B4-BE49-F238E27FC236}">
                  <a16:creationId xmlns:a16="http://schemas.microsoft.com/office/drawing/2014/main" id="{2FEFC93A-7149-9A71-6A8F-C582600137EF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40 2729"/>
                <a:gd name="T1" fmla="*/ T0 w 69"/>
                <a:gd name="T2" fmla="+- 0 601 520"/>
                <a:gd name="T3" fmla="*/ 601 h 81"/>
                <a:gd name="T4" fmla="+- 0 2729 2729"/>
                <a:gd name="T5" fmla="*/ T4 w 69"/>
                <a:gd name="T6" fmla="+- 0 601 520"/>
                <a:gd name="T7" fmla="*/ 601 h 81"/>
                <a:gd name="T8" fmla="+- 0 2729 2729"/>
                <a:gd name="T9" fmla="*/ T8 w 69"/>
                <a:gd name="T10" fmla="+- 0 522 520"/>
                <a:gd name="T11" fmla="*/ 522 h 81"/>
                <a:gd name="T12" fmla="+- 0 2740 2729"/>
                <a:gd name="T13" fmla="*/ T12 w 69"/>
                <a:gd name="T14" fmla="+- 0 522 520"/>
                <a:gd name="T15" fmla="*/ 522 h 81"/>
                <a:gd name="T16" fmla="+- 0 2740 2729"/>
                <a:gd name="T17" fmla="*/ T16 w 69"/>
                <a:gd name="T18" fmla="+- 0 531 520"/>
                <a:gd name="T19" fmla="*/ 531 h 81"/>
                <a:gd name="T20" fmla="+- 0 2753 2729"/>
                <a:gd name="T21" fmla="*/ T20 w 69"/>
                <a:gd name="T22" fmla="+- 0 531 520"/>
                <a:gd name="T23" fmla="*/ 531 h 81"/>
                <a:gd name="T24" fmla="+- 0 2747 2729"/>
                <a:gd name="T25" fmla="*/ T24 w 69"/>
                <a:gd name="T26" fmla="+- 0 537 520"/>
                <a:gd name="T27" fmla="*/ 537 h 81"/>
                <a:gd name="T28" fmla="+- 0 2743 2729"/>
                <a:gd name="T29" fmla="*/ T28 w 69"/>
                <a:gd name="T30" fmla="+- 0 541 520"/>
                <a:gd name="T31" fmla="*/ 541 h 81"/>
                <a:gd name="T32" fmla="+- 0 2740 2729"/>
                <a:gd name="T33" fmla="*/ T32 w 69"/>
                <a:gd name="T34" fmla="+- 0 549 520"/>
                <a:gd name="T35" fmla="*/ 549 h 81"/>
                <a:gd name="T36" fmla="+- 0 2740 2729"/>
                <a:gd name="T37" fmla="*/ T36 w 69"/>
                <a:gd name="T38" fmla="+- 0 558 520"/>
                <a:gd name="T39" fmla="*/ 558 h 81"/>
                <a:gd name="T40" fmla="+- 0 2740 2729"/>
                <a:gd name="T41" fmla="*/ T40 w 69"/>
                <a:gd name="T42" fmla="+- 0 601 520"/>
                <a:gd name="T43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69" h="81">
                  <a:moveTo>
                    <a:pt x="11" y="81"/>
                  </a:moveTo>
                  <a:lnTo>
                    <a:pt x="0" y="81"/>
                  </a:lnTo>
                  <a:lnTo>
                    <a:pt x="0" y="2"/>
                  </a:lnTo>
                  <a:lnTo>
                    <a:pt x="11" y="2"/>
                  </a:lnTo>
                  <a:lnTo>
                    <a:pt x="11" y="11"/>
                  </a:lnTo>
                  <a:lnTo>
                    <a:pt x="24" y="11"/>
                  </a:lnTo>
                  <a:lnTo>
                    <a:pt x="18" y="17"/>
                  </a:lnTo>
                  <a:lnTo>
                    <a:pt x="14" y="21"/>
                  </a:lnTo>
                  <a:lnTo>
                    <a:pt x="11" y="29"/>
                  </a:lnTo>
                  <a:lnTo>
                    <a:pt x="11" y="38"/>
                  </a:lnTo>
                  <a:lnTo>
                    <a:pt x="11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5" name="Freeform 4833">
              <a:extLst>
                <a:ext uri="{FF2B5EF4-FFF2-40B4-BE49-F238E27FC236}">
                  <a16:creationId xmlns:a16="http://schemas.microsoft.com/office/drawing/2014/main" id="{9288094E-D181-F5D9-99F9-6DDC601A6BAD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98 2729"/>
                <a:gd name="T1" fmla="*/ T0 w 69"/>
                <a:gd name="T2" fmla="+- 0 600 520"/>
                <a:gd name="T3" fmla="*/ 600 h 81"/>
                <a:gd name="T4" fmla="+- 0 2787 2729"/>
                <a:gd name="T5" fmla="*/ T4 w 69"/>
                <a:gd name="T6" fmla="+- 0 600 520"/>
                <a:gd name="T7" fmla="*/ 600 h 81"/>
                <a:gd name="T8" fmla="+- 0 2787 2729"/>
                <a:gd name="T9" fmla="*/ T8 w 69"/>
                <a:gd name="T10" fmla="+- 0 549 520"/>
                <a:gd name="T11" fmla="*/ 549 h 81"/>
                <a:gd name="T12" fmla="+- 0 2784 2729"/>
                <a:gd name="T13" fmla="*/ T12 w 69"/>
                <a:gd name="T14" fmla="+- 0 541 520"/>
                <a:gd name="T15" fmla="*/ 541 h 81"/>
                <a:gd name="T16" fmla="+- 0 2774 2729"/>
                <a:gd name="T17" fmla="*/ T16 w 69"/>
                <a:gd name="T18" fmla="+- 0 531 520"/>
                <a:gd name="T19" fmla="*/ 531 h 81"/>
                <a:gd name="T20" fmla="+- 0 2766 2729"/>
                <a:gd name="T21" fmla="*/ T20 w 69"/>
                <a:gd name="T22" fmla="+- 0 530 520"/>
                <a:gd name="T23" fmla="*/ 530 h 81"/>
                <a:gd name="T24" fmla="+- 0 2789 2729"/>
                <a:gd name="T25" fmla="*/ T24 w 69"/>
                <a:gd name="T26" fmla="+- 0 530 520"/>
                <a:gd name="T27" fmla="*/ 530 h 81"/>
                <a:gd name="T28" fmla="+- 0 2795 2729"/>
                <a:gd name="T29" fmla="*/ T28 w 69"/>
                <a:gd name="T30" fmla="+- 0 536 520"/>
                <a:gd name="T31" fmla="*/ 536 h 81"/>
                <a:gd name="T32" fmla="+- 0 2798 2729"/>
                <a:gd name="T33" fmla="*/ T32 w 69"/>
                <a:gd name="T34" fmla="+- 0 546 520"/>
                <a:gd name="T35" fmla="*/ 546 h 81"/>
                <a:gd name="T36" fmla="+- 0 2798 2729"/>
                <a:gd name="T37" fmla="*/ T36 w 69"/>
                <a:gd name="T38" fmla="+- 0 600 520"/>
                <a:gd name="T39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9" h="81">
                  <a:moveTo>
                    <a:pt x="69" y="80"/>
                  </a:moveTo>
                  <a:lnTo>
                    <a:pt x="58" y="80"/>
                  </a:lnTo>
                  <a:lnTo>
                    <a:pt x="58" y="29"/>
                  </a:lnTo>
                  <a:lnTo>
                    <a:pt x="55" y="21"/>
                  </a:lnTo>
                  <a:lnTo>
                    <a:pt x="45" y="11"/>
                  </a:lnTo>
                  <a:lnTo>
                    <a:pt x="37" y="10"/>
                  </a:lnTo>
                  <a:lnTo>
                    <a:pt x="60" y="10"/>
                  </a:lnTo>
                  <a:lnTo>
                    <a:pt x="66" y="16"/>
                  </a:lnTo>
                  <a:lnTo>
                    <a:pt x="69" y="26"/>
                  </a:lnTo>
                  <a:lnTo>
                    <a:pt x="69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2ABA101E-73BF-8B9E-0E56-26E1B8155E2B}"/>
              </a:ext>
            </a:extLst>
          </xdr:cNvPr>
          <xdr:cNvGrpSpPr>
            <a:grpSpLocks/>
          </xdr:cNvGrpSpPr>
        </xdr:nvGrpSpPr>
        <xdr:grpSpPr bwMode="auto">
          <a:xfrm>
            <a:off x="2810" y="495"/>
            <a:ext cx="46" cy="106"/>
            <a:chOff x="2810" y="495"/>
            <a:chExt cx="46" cy="106"/>
          </a:xfrm>
        </xdr:grpSpPr>
        <xdr:sp macro="" textlink="">
          <xdr:nvSpPr>
            <xdr:cNvPr id="30" name="Freeform 4831">
              <a:extLst>
                <a:ext uri="{FF2B5EF4-FFF2-40B4-BE49-F238E27FC236}">
                  <a16:creationId xmlns:a16="http://schemas.microsoft.com/office/drawing/2014/main" id="{72A6DD05-62C2-2AF8-0433-5A6C8B753A9F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37 2810"/>
                <a:gd name="T1" fmla="*/ T0 w 46"/>
                <a:gd name="T2" fmla="+- 0 522 495"/>
                <a:gd name="T3" fmla="*/ 522 h 106"/>
                <a:gd name="T4" fmla="+- 0 2826 2810"/>
                <a:gd name="T5" fmla="*/ T4 w 46"/>
                <a:gd name="T6" fmla="+- 0 522 495"/>
                <a:gd name="T7" fmla="*/ 522 h 106"/>
                <a:gd name="T8" fmla="+- 0 2826 2810"/>
                <a:gd name="T9" fmla="*/ T8 w 46"/>
                <a:gd name="T10" fmla="+- 0 495 495"/>
                <a:gd name="T11" fmla="*/ 495 h 106"/>
                <a:gd name="T12" fmla="+- 0 2837 2810"/>
                <a:gd name="T13" fmla="*/ T12 w 46"/>
                <a:gd name="T14" fmla="+- 0 495 495"/>
                <a:gd name="T15" fmla="*/ 495 h 106"/>
                <a:gd name="T16" fmla="+- 0 2837 2810"/>
                <a:gd name="T17" fmla="*/ T16 w 46"/>
                <a:gd name="T18" fmla="+- 0 522 495"/>
                <a:gd name="T19" fmla="*/ 52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27" y="27"/>
                  </a:moveTo>
                  <a:lnTo>
                    <a:pt x="16" y="27"/>
                  </a:lnTo>
                  <a:lnTo>
                    <a:pt x="16" y="0"/>
                  </a:lnTo>
                  <a:lnTo>
                    <a:pt x="27" y="0"/>
                  </a:lnTo>
                  <a:lnTo>
                    <a:pt x="27" y="2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1" name="Freeform 4830">
              <a:extLst>
                <a:ext uri="{FF2B5EF4-FFF2-40B4-BE49-F238E27FC236}">
                  <a16:creationId xmlns:a16="http://schemas.microsoft.com/office/drawing/2014/main" id="{9F1A7836-2564-A338-C570-9460710F2967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56 2810"/>
                <a:gd name="T1" fmla="*/ T0 w 46"/>
                <a:gd name="T2" fmla="+- 0 532 495"/>
                <a:gd name="T3" fmla="*/ 532 h 106"/>
                <a:gd name="T4" fmla="+- 0 2810 2810"/>
                <a:gd name="T5" fmla="*/ T4 w 46"/>
                <a:gd name="T6" fmla="+- 0 532 495"/>
                <a:gd name="T7" fmla="*/ 532 h 106"/>
                <a:gd name="T8" fmla="+- 0 2810 2810"/>
                <a:gd name="T9" fmla="*/ T8 w 46"/>
                <a:gd name="T10" fmla="+- 0 522 495"/>
                <a:gd name="T11" fmla="*/ 522 h 106"/>
                <a:gd name="T12" fmla="+- 0 2856 2810"/>
                <a:gd name="T13" fmla="*/ T12 w 46"/>
                <a:gd name="T14" fmla="+- 0 522 495"/>
                <a:gd name="T15" fmla="*/ 522 h 106"/>
                <a:gd name="T16" fmla="+- 0 2856 2810"/>
                <a:gd name="T17" fmla="*/ T16 w 46"/>
                <a:gd name="T18" fmla="+- 0 532 495"/>
                <a:gd name="T19" fmla="*/ 53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46" y="37"/>
                  </a:moveTo>
                  <a:lnTo>
                    <a:pt x="0" y="37"/>
                  </a:lnTo>
                  <a:lnTo>
                    <a:pt x="0" y="27"/>
                  </a:lnTo>
                  <a:lnTo>
                    <a:pt x="46" y="27"/>
                  </a:lnTo>
                  <a:lnTo>
                    <a:pt x="46" y="3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2" name="Freeform 4829">
              <a:extLst>
                <a:ext uri="{FF2B5EF4-FFF2-40B4-BE49-F238E27FC236}">
                  <a16:creationId xmlns:a16="http://schemas.microsoft.com/office/drawing/2014/main" id="{A47E8B38-B5C3-05A9-ECF4-110870EA8C9F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37 2810"/>
                <a:gd name="T1" fmla="*/ T0 w 46"/>
                <a:gd name="T2" fmla="+- 0 601 495"/>
                <a:gd name="T3" fmla="*/ 601 h 106"/>
                <a:gd name="T4" fmla="+- 0 2826 2810"/>
                <a:gd name="T5" fmla="*/ T4 w 46"/>
                <a:gd name="T6" fmla="+- 0 601 495"/>
                <a:gd name="T7" fmla="*/ 601 h 106"/>
                <a:gd name="T8" fmla="+- 0 2826 2810"/>
                <a:gd name="T9" fmla="*/ T8 w 46"/>
                <a:gd name="T10" fmla="+- 0 532 495"/>
                <a:gd name="T11" fmla="*/ 532 h 106"/>
                <a:gd name="T12" fmla="+- 0 2837 2810"/>
                <a:gd name="T13" fmla="*/ T12 w 46"/>
                <a:gd name="T14" fmla="+- 0 532 495"/>
                <a:gd name="T15" fmla="*/ 532 h 106"/>
                <a:gd name="T16" fmla="+- 0 2837 2810"/>
                <a:gd name="T17" fmla="*/ T16 w 46"/>
                <a:gd name="T18" fmla="+- 0 601 495"/>
                <a:gd name="T19" fmla="*/ 601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27" y="106"/>
                  </a:moveTo>
                  <a:lnTo>
                    <a:pt x="16" y="106"/>
                  </a:lnTo>
                  <a:lnTo>
                    <a:pt x="16" y="37"/>
                  </a:lnTo>
                  <a:lnTo>
                    <a:pt x="27" y="37"/>
                  </a:lnTo>
                  <a:lnTo>
                    <a:pt x="27" y="10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A5DCE7E6-FC84-628C-C13C-75178E0E0051}"/>
              </a:ext>
            </a:extLst>
          </xdr:cNvPr>
          <xdr:cNvGrpSpPr>
            <a:grpSpLocks/>
          </xdr:cNvGrpSpPr>
        </xdr:nvGrpSpPr>
        <xdr:grpSpPr bwMode="auto">
          <a:xfrm>
            <a:off x="2867" y="520"/>
            <a:ext cx="78" cy="80"/>
            <a:chOff x="2867" y="520"/>
            <a:chExt cx="78" cy="80"/>
          </a:xfrm>
        </xdr:grpSpPr>
        <xdr:sp macro="" textlink="">
          <xdr:nvSpPr>
            <xdr:cNvPr id="27" name="Freeform 4827">
              <a:extLst>
                <a:ext uri="{FF2B5EF4-FFF2-40B4-BE49-F238E27FC236}">
                  <a16:creationId xmlns:a16="http://schemas.microsoft.com/office/drawing/2014/main" id="{9D14EB1C-DED6-B144-988A-2002935C802E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890 2867"/>
                <a:gd name="T1" fmla="*/ T0 w 78"/>
                <a:gd name="T2" fmla="+- 0 600 520"/>
                <a:gd name="T3" fmla="*/ 600 h 80"/>
                <a:gd name="T4" fmla="+- 0 2876 2867"/>
                <a:gd name="T5" fmla="*/ T4 w 78"/>
                <a:gd name="T6" fmla="+- 0 590 520"/>
                <a:gd name="T7" fmla="*/ 590 h 80"/>
                <a:gd name="T8" fmla="+- 0 2867 2867"/>
                <a:gd name="T9" fmla="*/ T8 w 78"/>
                <a:gd name="T10" fmla="+- 0 571 520"/>
                <a:gd name="T11" fmla="*/ 571 h 80"/>
                <a:gd name="T12" fmla="+- 0 2867 2867"/>
                <a:gd name="T13" fmla="*/ T12 w 78"/>
                <a:gd name="T14" fmla="+- 0 542 520"/>
                <a:gd name="T15" fmla="*/ 542 h 80"/>
                <a:gd name="T16" fmla="+- 0 2881 2867"/>
                <a:gd name="T17" fmla="*/ T16 w 78"/>
                <a:gd name="T18" fmla="+- 0 527 520"/>
                <a:gd name="T19" fmla="*/ 527 h 80"/>
                <a:gd name="T20" fmla="+- 0 2902 2867"/>
                <a:gd name="T21" fmla="*/ T20 w 78"/>
                <a:gd name="T22" fmla="+- 0 520 520"/>
                <a:gd name="T23" fmla="*/ 520 h 80"/>
                <a:gd name="T24" fmla="+- 0 2924 2867"/>
                <a:gd name="T25" fmla="*/ T24 w 78"/>
                <a:gd name="T26" fmla="+- 0 527 520"/>
                <a:gd name="T27" fmla="*/ 527 h 80"/>
                <a:gd name="T28" fmla="+- 0 2928 2867"/>
                <a:gd name="T29" fmla="*/ T28 w 78"/>
                <a:gd name="T30" fmla="+- 0 530 520"/>
                <a:gd name="T31" fmla="*/ 530 h 80"/>
                <a:gd name="T32" fmla="+- 0 2890 2867"/>
                <a:gd name="T33" fmla="*/ T32 w 78"/>
                <a:gd name="T34" fmla="+- 0 530 520"/>
                <a:gd name="T35" fmla="*/ 530 h 80"/>
                <a:gd name="T36" fmla="+- 0 2876 2867"/>
                <a:gd name="T37" fmla="*/ T36 w 78"/>
                <a:gd name="T38" fmla="+- 0 539 520"/>
                <a:gd name="T39" fmla="*/ 539 h 80"/>
                <a:gd name="T40" fmla="+- 0 2873 2867"/>
                <a:gd name="T41" fmla="*/ T40 w 78"/>
                <a:gd name="T42" fmla="+- 0 555 520"/>
                <a:gd name="T43" fmla="*/ 555 h 80"/>
                <a:gd name="T44" fmla="+- 0 2944 2867"/>
                <a:gd name="T45" fmla="*/ T44 w 78"/>
                <a:gd name="T46" fmla="+- 0 555 520"/>
                <a:gd name="T47" fmla="*/ 555 h 80"/>
                <a:gd name="T48" fmla="+- 0 2943 2867"/>
                <a:gd name="T49" fmla="*/ T48 w 78"/>
                <a:gd name="T50" fmla="+- 0 565 520"/>
                <a:gd name="T51" fmla="*/ 565 h 80"/>
                <a:gd name="T52" fmla="+- 0 2943 2867"/>
                <a:gd name="T53" fmla="*/ T52 w 78"/>
                <a:gd name="T54" fmla="+- 0 565 520"/>
                <a:gd name="T55" fmla="*/ 565 h 80"/>
                <a:gd name="T56" fmla="+- 0 2873 2867"/>
                <a:gd name="T57" fmla="*/ T56 w 78"/>
                <a:gd name="T58" fmla="+- 0 565 520"/>
                <a:gd name="T59" fmla="*/ 565 h 80"/>
                <a:gd name="T60" fmla="+- 0 2874 2867"/>
                <a:gd name="T61" fmla="*/ T60 w 78"/>
                <a:gd name="T62" fmla="+- 0 580 520"/>
                <a:gd name="T63" fmla="*/ 580 h 80"/>
                <a:gd name="T64" fmla="+- 0 2888 2867"/>
                <a:gd name="T65" fmla="*/ T64 w 78"/>
                <a:gd name="T66" fmla="+- 0 592 520"/>
                <a:gd name="T67" fmla="*/ 592 h 80"/>
                <a:gd name="T68" fmla="+- 0 2926 2867"/>
                <a:gd name="T69" fmla="*/ T68 w 78"/>
                <a:gd name="T70" fmla="+- 0 592 520"/>
                <a:gd name="T71" fmla="*/ 592 h 80"/>
                <a:gd name="T72" fmla="+- 0 2915 2867"/>
                <a:gd name="T73" fmla="*/ T72 w 78"/>
                <a:gd name="T74" fmla="+- 0 598 520"/>
                <a:gd name="T75" fmla="*/ 598 h 80"/>
                <a:gd name="T76" fmla="+- 0 2890 2867"/>
                <a:gd name="T77" fmla="*/ T76 w 78"/>
                <a:gd name="T78" fmla="+- 0 600 520"/>
                <a:gd name="T7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8" h="80">
                  <a:moveTo>
                    <a:pt x="23" y="80"/>
                  </a:moveTo>
                  <a:lnTo>
                    <a:pt x="9" y="70"/>
                  </a:lnTo>
                  <a:lnTo>
                    <a:pt x="0" y="51"/>
                  </a:lnTo>
                  <a:lnTo>
                    <a:pt x="0" y="22"/>
                  </a:lnTo>
                  <a:lnTo>
                    <a:pt x="14" y="7"/>
                  </a:lnTo>
                  <a:lnTo>
                    <a:pt x="35" y="0"/>
                  </a:lnTo>
                  <a:lnTo>
                    <a:pt x="57" y="7"/>
                  </a:lnTo>
                  <a:lnTo>
                    <a:pt x="61" y="10"/>
                  </a:lnTo>
                  <a:lnTo>
                    <a:pt x="23" y="10"/>
                  </a:lnTo>
                  <a:lnTo>
                    <a:pt x="9" y="19"/>
                  </a:lnTo>
                  <a:lnTo>
                    <a:pt x="6" y="35"/>
                  </a:lnTo>
                  <a:lnTo>
                    <a:pt x="77" y="35"/>
                  </a:lnTo>
                  <a:lnTo>
                    <a:pt x="76" y="45"/>
                  </a:lnTo>
                  <a:lnTo>
                    <a:pt x="6" y="45"/>
                  </a:lnTo>
                  <a:lnTo>
                    <a:pt x="7" y="60"/>
                  </a:lnTo>
                  <a:lnTo>
                    <a:pt x="21" y="72"/>
                  </a:lnTo>
                  <a:lnTo>
                    <a:pt x="59" y="72"/>
                  </a:lnTo>
                  <a:lnTo>
                    <a:pt x="48" y="78"/>
                  </a:lnTo>
                  <a:lnTo>
                    <a:pt x="23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8" name="Freeform 4826">
              <a:extLst>
                <a:ext uri="{FF2B5EF4-FFF2-40B4-BE49-F238E27FC236}">
                  <a16:creationId xmlns:a16="http://schemas.microsoft.com/office/drawing/2014/main" id="{A8E1FE6F-85E0-8905-31B9-3C0790D95971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944 2867"/>
                <a:gd name="T1" fmla="*/ T0 w 78"/>
                <a:gd name="T2" fmla="+- 0 555 520"/>
                <a:gd name="T3" fmla="*/ 555 h 80"/>
                <a:gd name="T4" fmla="+- 0 2932 2867"/>
                <a:gd name="T5" fmla="*/ T4 w 78"/>
                <a:gd name="T6" fmla="+- 0 555 520"/>
                <a:gd name="T7" fmla="*/ 555 h 80"/>
                <a:gd name="T8" fmla="+- 0 2929 2867"/>
                <a:gd name="T9" fmla="*/ T8 w 78"/>
                <a:gd name="T10" fmla="+- 0 538 520"/>
                <a:gd name="T11" fmla="*/ 538 h 80"/>
                <a:gd name="T12" fmla="+- 0 2914 2867"/>
                <a:gd name="T13" fmla="*/ T12 w 78"/>
                <a:gd name="T14" fmla="+- 0 530 520"/>
                <a:gd name="T15" fmla="*/ 530 h 80"/>
                <a:gd name="T16" fmla="+- 0 2928 2867"/>
                <a:gd name="T17" fmla="*/ T16 w 78"/>
                <a:gd name="T18" fmla="+- 0 530 520"/>
                <a:gd name="T19" fmla="*/ 530 h 80"/>
                <a:gd name="T20" fmla="+- 0 2937 2867"/>
                <a:gd name="T21" fmla="*/ T20 w 78"/>
                <a:gd name="T22" fmla="+- 0 540 520"/>
                <a:gd name="T23" fmla="*/ 540 h 80"/>
                <a:gd name="T24" fmla="+- 0 2942 2867"/>
                <a:gd name="T25" fmla="*/ T24 w 78"/>
                <a:gd name="T26" fmla="+- 0 547 520"/>
                <a:gd name="T27" fmla="*/ 547 h 80"/>
                <a:gd name="T28" fmla="+- 0 2944 2867"/>
                <a:gd name="T29" fmla="*/ T28 w 78"/>
                <a:gd name="T30" fmla="+- 0 555 520"/>
                <a:gd name="T31" fmla="*/ 555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77" y="35"/>
                  </a:moveTo>
                  <a:lnTo>
                    <a:pt x="65" y="35"/>
                  </a:lnTo>
                  <a:lnTo>
                    <a:pt x="62" y="18"/>
                  </a:lnTo>
                  <a:lnTo>
                    <a:pt x="47" y="10"/>
                  </a:lnTo>
                  <a:lnTo>
                    <a:pt x="61" y="10"/>
                  </a:lnTo>
                  <a:lnTo>
                    <a:pt x="70" y="20"/>
                  </a:lnTo>
                  <a:lnTo>
                    <a:pt x="75" y="27"/>
                  </a:lnTo>
                  <a:lnTo>
                    <a:pt x="77" y="3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9" name="Freeform 4825">
              <a:extLst>
                <a:ext uri="{FF2B5EF4-FFF2-40B4-BE49-F238E27FC236}">
                  <a16:creationId xmlns:a16="http://schemas.microsoft.com/office/drawing/2014/main" id="{667574D1-00A5-4339-09F3-1E762AD237E7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926 2867"/>
                <a:gd name="T1" fmla="*/ T0 w 78"/>
                <a:gd name="T2" fmla="+- 0 592 520"/>
                <a:gd name="T3" fmla="*/ 592 h 80"/>
                <a:gd name="T4" fmla="+- 0 2902 2867"/>
                <a:gd name="T5" fmla="*/ T4 w 78"/>
                <a:gd name="T6" fmla="+- 0 592 520"/>
                <a:gd name="T7" fmla="*/ 592 h 80"/>
                <a:gd name="T8" fmla="+- 0 2918 2867"/>
                <a:gd name="T9" fmla="*/ T8 w 78"/>
                <a:gd name="T10" fmla="+- 0 592 520"/>
                <a:gd name="T11" fmla="*/ 592 h 80"/>
                <a:gd name="T12" fmla="+- 0 2926 2867"/>
                <a:gd name="T13" fmla="*/ T12 w 78"/>
                <a:gd name="T14" fmla="+- 0 582 520"/>
                <a:gd name="T15" fmla="*/ 582 h 80"/>
                <a:gd name="T16" fmla="+- 0 2930 2867"/>
                <a:gd name="T17" fmla="*/ T16 w 78"/>
                <a:gd name="T18" fmla="+- 0 574 520"/>
                <a:gd name="T19" fmla="*/ 574 h 80"/>
                <a:gd name="T20" fmla="+- 0 2941 2867"/>
                <a:gd name="T21" fmla="*/ T20 w 78"/>
                <a:gd name="T22" fmla="+- 0 574 520"/>
                <a:gd name="T23" fmla="*/ 574 h 80"/>
                <a:gd name="T24" fmla="+- 0 2932 2867"/>
                <a:gd name="T25" fmla="*/ T24 w 78"/>
                <a:gd name="T26" fmla="+- 0 589 520"/>
                <a:gd name="T27" fmla="*/ 589 h 80"/>
                <a:gd name="T28" fmla="+- 0 2926 2867"/>
                <a:gd name="T29" fmla="*/ T28 w 78"/>
                <a:gd name="T30" fmla="+- 0 592 520"/>
                <a:gd name="T31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59" y="72"/>
                  </a:moveTo>
                  <a:lnTo>
                    <a:pt x="35" y="72"/>
                  </a:lnTo>
                  <a:lnTo>
                    <a:pt x="51" y="72"/>
                  </a:lnTo>
                  <a:lnTo>
                    <a:pt x="59" y="62"/>
                  </a:lnTo>
                  <a:lnTo>
                    <a:pt x="63" y="54"/>
                  </a:lnTo>
                  <a:lnTo>
                    <a:pt x="74" y="54"/>
                  </a:lnTo>
                  <a:lnTo>
                    <a:pt x="65" y="69"/>
                  </a:lnTo>
                  <a:lnTo>
                    <a:pt x="59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F2F5AA0A-FBE2-D523-FA23-7B1767685EAB}"/>
              </a:ext>
            </a:extLst>
          </xdr:cNvPr>
          <xdr:cNvGrpSpPr>
            <a:grpSpLocks/>
          </xdr:cNvGrpSpPr>
        </xdr:nvGrpSpPr>
        <xdr:grpSpPr bwMode="auto">
          <a:xfrm>
            <a:off x="2958" y="495"/>
            <a:ext cx="78" cy="106"/>
            <a:chOff x="2958" y="495"/>
            <a:chExt cx="78" cy="106"/>
          </a:xfrm>
        </xdr:grpSpPr>
        <xdr:sp macro="" textlink="">
          <xdr:nvSpPr>
            <xdr:cNvPr id="23" name="Freeform 4823">
              <a:extLst>
                <a:ext uri="{FF2B5EF4-FFF2-40B4-BE49-F238E27FC236}">
                  <a16:creationId xmlns:a16="http://schemas.microsoft.com/office/drawing/2014/main" id="{C55F2E20-1B2D-2FB1-F3BD-0E76BFE9B072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36 2958"/>
                <a:gd name="T1" fmla="*/ T0 w 78"/>
                <a:gd name="T2" fmla="+- 0 535 495"/>
                <a:gd name="T3" fmla="*/ 535 h 106"/>
                <a:gd name="T4" fmla="+- 0 3025 2958"/>
                <a:gd name="T5" fmla="*/ T4 w 78"/>
                <a:gd name="T6" fmla="+- 0 535 495"/>
                <a:gd name="T7" fmla="*/ 535 h 106"/>
                <a:gd name="T8" fmla="+- 0 3025 2958"/>
                <a:gd name="T9" fmla="*/ T8 w 78"/>
                <a:gd name="T10" fmla="+- 0 495 495"/>
                <a:gd name="T11" fmla="*/ 495 h 106"/>
                <a:gd name="T12" fmla="+- 0 3036 2958"/>
                <a:gd name="T13" fmla="*/ T12 w 78"/>
                <a:gd name="T14" fmla="+- 0 495 495"/>
                <a:gd name="T15" fmla="*/ 495 h 106"/>
                <a:gd name="T16" fmla="+- 0 3036 2958"/>
                <a:gd name="T17" fmla="*/ T16 w 78"/>
                <a:gd name="T18" fmla="+- 0 535 495"/>
                <a:gd name="T19" fmla="*/ 535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106">
                  <a:moveTo>
                    <a:pt x="78" y="40"/>
                  </a:moveTo>
                  <a:lnTo>
                    <a:pt x="67" y="40"/>
                  </a:lnTo>
                  <a:lnTo>
                    <a:pt x="67" y="0"/>
                  </a:lnTo>
                  <a:lnTo>
                    <a:pt x="78" y="0"/>
                  </a:lnTo>
                  <a:lnTo>
                    <a:pt x="78" y="4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4" name="Freeform 4822">
              <a:extLst>
                <a:ext uri="{FF2B5EF4-FFF2-40B4-BE49-F238E27FC236}">
                  <a16:creationId xmlns:a16="http://schemas.microsoft.com/office/drawing/2014/main" id="{C78B0F32-BD71-8842-A03C-5A4378FABCFF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2982 2958"/>
                <a:gd name="T1" fmla="*/ T0 w 78"/>
                <a:gd name="T2" fmla="+- 0 600 495"/>
                <a:gd name="T3" fmla="*/ 600 h 106"/>
                <a:gd name="T4" fmla="+- 0 2968 2958"/>
                <a:gd name="T5" fmla="*/ T4 w 78"/>
                <a:gd name="T6" fmla="+- 0 590 495"/>
                <a:gd name="T7" fmla="*/ 590 h 106"/>
                <a:gd name="T8" fmla="+- 0 2959 2958"/>
                <a:gd name="T9" fmla="*/ T8 w 78"/>
                <a:gd name="T10" fmla="+- 0 571 495"/>
                <a:gd name="T11" fmla="*/ 571 h 106"/>
                <a:gd name="T12" fmla="+- 0 2958 2958"/>
                <a:gd name="T13" fmla="*/ T12 w 78"/>
                <a:gd name="T14" fmla="+- 0 543 495"/>
                <a:gd name="T15" fmla="*/ 543 h 106"/>
                <a:gd name="T16" fmla="+- 0 2973 2958"/>
                <a:gd name="T17" fmla="*/ T16 w 78"/>
                <a:gd name="T18" fmla="+- 0 527 495"/>
                <a:gd name="T19" fmla="*/ 527 h 106"/>
                <a:gd name="T20" fmla="+- 0 2996 2958"/>
                <a:gd name="T21" fmla="*/ T20 w 78"/>
                <a:gd name="T22" fmla="+- 0 520 495"/>
                <a:gd name="T23" fmla="*/ 520 h 106"/>
                <a:gd name="T24" fmla="+- 0 3000 2958"/>
                <a:gd name="T25" fmla="*/ T24 w 78"/>
                <a:gd name="T26" fmla="+- 0 520 495"/>
                <a:gd name="T27" fmla="*/ 520 h 106"/>
                <a:gd name="T28" fmla="+- 0 3016 2958"/>
                <a:gd name="T29" fmla="*/ T28 w 78"/>
                <a:gd name="T30" fmla="+- 0 521 495"/>
                <a:gd name="T31" fmla="*/ 521 h 106"/>
                <a:gd name="T32" fmla="+- 0 3023 2958"/>
                <a:gd name="T33" fmla="*/ T32 w 78"/>
                <a:gd name="T34" fmla="+- 0 531 495"/>
                <a:gd name="T35" fmla="*/ 531 h 106"/>
                <a:gd name="T36" fmla="+- 0 2989 2958"/>
                <a:gd name="T37" fmla="*/ T36 w 78"/>
                <a:gd name="T38" fmla="+- 0 531 495"/>
                <a:gd name="T39" fmla="*/ 531 h 106"/>
                <a:gd name="T40" fmla="+- 0 2972 2958"/>
                <a:gd name="T41" fmla="*/ T40 w 78"/>
                <a:gd name="T42" fmla="+- 0 542 495"/>
                <a:gd name="T43" fmla="*/ 542 h 106"/>
                <a:gd name="T44" fmla="+- 0 2965 2958"/>
                <a:gd name="T45" fmla="*/ T44 w 78"/>
                <a:gd name="T46" fmla="+- 0 566 495"/>
                <a:gd name="T47" fmla="*/ 566 h 106"/>
                <a:gd name="T48" fmla="+- 0 2975 2958"/>
                <a:gd name="T49" fmla="*/ T48 w 78"/>
                <a:gd name="T50" fmla="+- 0 585 495"/>
                <a:gd name="T51" fmla="*/ 585 h 106"/>
                <a:gd name="T52" fmla="+- 0 2996 2958"/>
                <a:gd name="T53" fmla="*/ T52 w 78"/>
                <a:gd name="T54" fmla="+- 0 592 495"/>
                <a:gd name="T55" fmla="*/ 592 h 106"/>
                <a:gd name="T56" fmla="+- 0 3021 2958"/>
                <a:gd name="T57" fmla="*/ T56 w 78"/>
                <a:gd name="T58" fmla="+- 0 592 495"/>
                <a:gd name="T59" fmla="*/ 592 h 106"/>
                <a:gd name="T60" fmla="+- 0 3007 2958"/>
                <a:gd name="T61" fmla="*/ T60 w 78"/>
                <a:gd name="T62" fmla="+- 0 599 495"/>
                <a:gd name="T63" fmla="*/ 599 h 106"/>
                <a:gd name="T64" fmla="+- 0 2982 2958"/>
                <a:gd name="T65" fmla="*/ T64 w 78"/>
                <a:gd name="T66" fmla="+- 0 600 495"/>
                <a:gd name="T67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8" h="106">
                  <a:moveTo>
                    <a:pt x="24" y="105"/>
                  </a:moveTo>
                  <a:lnTo>
                    <a:pt x="10" y="95"/>
                  </a:lnTo>
                  <a:lnTo>
                    <a:pt x="1" y="76"/>
                  </a:lnTo>
                  <a:lnTo>
                    <a:pt x="0" y="48"/>
                  </a:lnTo>
                  <a:lnTo>
                    <a:pt x="15" y="32"/>
                  </a:lnTo>
                  <a:lnTo>
                    <a:pt x="38" y="25"/>
                  </a:lnTo>
                  <a:lnTo>
                    <a:pt x="42" y="25"/>
                  </a:lnTo>
                  <a:lnTo>
                    <a:pt x="58" y="26"/>
                  </a:lnTo>
                  <a:lnTo>
                    <a:pt x="65" y="36"/>
                  </a:lnTo>
                  <a:lnTo>
                    <a:pt x="31" y="36"/>
                  </a:lnTo>
                  <a:lnTo>
                    <a:pt x="14" y="47"/>
                  </a:lnTo>
                  <a:lnTo>
                    <a:pt x="7" y="71"/>
                  </a:lnTo>
                  <a:lnTo>
                    <a:pt x="17" y="90"/>
                  </a:lnTo>
                  <a:lnTo>
                    <a:pt x="38" y="97"/>
                  </a:lnTo>
                  <a:lnTo>
                    <a:pt x="63" y="97"/>
                  </a:lnTo>
                  <a:lnTo>
                    <a:pt x="49" y="104"/>
                  </a:lnTo>
                  <a:lnTo>
                    <a:pt x="24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5" name="Freeform 4821">
              <a:extLst>
                <a:ext uri="{FF2B5EF4-FFF2-40B4-BE49-F238E27FC236}">
                  <a16:creationId xmlns:a16="http://schemas.microsoft.com/office/drawing/2014/main" id="{6C23AEC8-771B-E2B5-28D6-A4153FF8A3EA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21 2958"/>
                <a:gd name="T1" fmla="*/ T0 w 78"/>
                <a:gd name="T2" fmla="+- 0 592 495"/>
                <a:gd name="T3" fmla="*/ 592 h 106"/>
                <a:gd name="T4" fmla="+- 0 2996 2958"/>
                <a:gd name="T5" fmla="*/ T4 w 78"/>
                <a:gd name="T6" fmla="+- 0 592 495"/>
                <a:gd name="T7" fmla="*/ 592 h 106"/>
                <a:gd name="T8" fmla="+- 0 3006 2958"/>
                <a:gd name="T9" fmla="*/ T8 w 78"/>
                <a:gd name="T10" fmla="+- 0 590 495"/>
                <a:gd name="T11" fmla="*/ 590 h 106"/>
                <a:gd name="T12" fmla="+- 0 3020 2958"/>
                <a:gd name="T13" fmla="*/ T12 w 78"/>
                <a:gd name="T14" fmla="+- 0 578 495"/>
                <a:gd name="T15" fmla="*/ 578 h 106"/>
                <a:gd name="T16" fmla="+- 0 3025 2958"/>
                <a:gd name="T17" fmla="*/ T16 w 78"/>
                <a:gd name="T18" fmla="+- 0 552 495"/>
                <a:gd name="T19" fmla="*/ 552 h 106"/>
                <a:gd name="T20" fmla="+- 0 3013 2958"/>
                <a:gd name="T21" fmla="*/ T20 w 78"/>
                <a:gd name="T22" fmla="+- 0 537 495"/>
                <a:gd name="T23" fmla="*/ 537 h 106"/>
                <a:gd name="T24" fmla="+- 0 2989 2958"/>
                <a:gd name="T25" fmla="*/ T24 w 78"/>
                <a:gd name="T26" fmla="+- 0 531 495"/>
                <a:gd name="T27" fmla="*/ 531 h 106"/>
                <a:gd name="T28" fmla="+- 0 3023 2958"/>
                <a:gd name="T29" fmla="*/ T28 w 78"/>
                <a:gd name="T30" fmla="+- 0 531 495"/>
                <a:gd name="T31" fmla="*/ 531 h 106"/>
                <a:gd name="T32" fmla="+- 0 3025 2958"/>
                <a:gd name="T33" fmla="*/ T32 w 78"/>
                <a:gd name="T34" fmla="+- 0 535 495"/>
                <a:gd name="T35" fmla="*/ 535 h 106"/>
                <a:gd name="T36" fmla="+- 0 3036 2958"/>
                <a:gd name="T37" fmla="*/ T36 w 78"/>
                <a:gd name="T38" fmla="+- 0 535 495"/>
                <a:gd name="T39" fmla="*/ 535 h 106"/>
                <a:gd name="T40" fmla="+- 0 3036 2958"/>
                <a:gd name="T41" fmla="*/ T40 w 78"/>
                <a:gd name="T42" fmla="+- 0 592 495"/>
                <a:gd name="T43" fmla="*/ 592 h 106"/>
                <a:gd name="T44" fmla="+- 0 3022 2958"/>
                <a:gd name="T45" fmla="*/ T44 w 78"/>
                <a:gd name="T46" fmla="+- 0 592 495"/>
                <a:gd name="T47" fmla="*/ 592 h 106"/>
                <a:gd name="T48" fmla="+- 0 3021 2958"/>
                <a:gd name="T49" fmla="*/ T48 w 78"/>
                <a:gd name="T50" fmla="+- 0 592 495"/>
                <a:gd name="T51" fmla="*/ 59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78" h="106">
                  <a:moveTo>
                    <a:pt x="63" y="97"/>
                  </a:moveTo>
                  <a:lnTo>
                    <a:pt x="38" y="97"/>
                  </a:lnTo>
                  <a:lnTo>
                    <a:pt x="48" y="95"/>
                  </a:lnTo>
                  <a:lnTo>
                    <a:pt x="62" y="83"/>
                  </a:lnTo>
                  <a:lnTo>
                    <a:pt x="67" y="57"/>
                  </a:lnTo>
                  <a:lnTo>
                    <a:pt x="55" y="42"/>
                  </a:lnTo>
                  <a:lnTo>
                    <a:pt x="31" y="36"/>
                  </a:lnTo>
                  <a:lnTo>
                    <a:pt x="65" y="36"/>
                  </a:lnTo>
                  <a:lnTo>
                    <a:pt x="67" y="40"/>
                  </a:lnTo>
                  <a:lnTo>
                    <a:pt x="78" y="40"/>
                  </a:lnTo>
                  <a:lnTo>
                    <a:pt x="78" y="97"/>
                  </a:lnTo>
                  <a:lnTo>
                    <a:pt x="64" y="97"/>
                  </a:lnTo>
                  <a:lnTo>
                    <a:pt x="63" y="9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6" name="Freeform 4820">
              <a:extLst>
                <a:ext uri="{FF2B5EF4-FFF2-40B4-BE49-F238E27FC236}">
                  <a16:creationId xmlns:a16="http://schemas.microsoft.com/office/drawing/2014/main" id="{5EAF899C-3F87-7CDE-CB85-8654FF6EC63D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36 2958"/>
                <a:gd name="T1" fmla="*/ T0 w 78"/>
                <a:gd name="T2" fmla="+- 0 600 495"/>
                <a:gd name="T3" fmla="*/ 600 h 106"/>
                <a:gd name="T4" fmla="+- 0 3025 2958"/>
                <a:gd name="T5" fmla="*/ T4 w 78"/>
                <a:gd name="T6" fmla="+- 0 600 495"/>
                <a:gd name="T7" fmla="*/ 600 h 106"/>
                <a:gd name="T8" fmla="+- 0 3022 2958"/>
                <a:gd name="T9" fmla="*/ T8 w 78"/>
                <a:gd name="T10" fmla="+- 0 592 495"/>
                <a:gd name="T11" fmla="*/ 592 h 106"/>
                <a:gd name="T12" fmla="+- 0 3036 2958"/>
                <a:gd name="T13" fmla="*/ T12 w 78"/>
                <a:gd name="T14" fmla="+- 0 592 495"/>
                <a:gd name="T15" fmla="*/ 592 h 106"/>
                <a:gd name="T16" fmla="+- 0 3036 2958"/>
                <a:gd name="T17" fmla="*/ T16 w 78"/>
                <a:gd name="T18" fmla="+- 0 600 495"/>
                <a:gd name="T19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106">
                  <a:moveTo>
                    <a:pt x="78" y="105"/>
                  </a:moveTo>
                  <a:lnTo>
                    <a:pt x="67" y="105"/>
                  </a:lnTo>
                  <a:lnTo>
                    <a:pt x="64" y="97"/>
                  </a:lnTo>
                  <a:lnTo>
                    <a:pt x="78" y="97"/>
                  </a:lnTo>
                  <a:lnTo>
                    <a:pt x="78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8CB017B1-0C9F-D76F-7A47-C515F0744332}"/>
              </a:ext>
            </a:extLst>
          </xdr:cNvPr>
          <xdr:cNvGrpSpPr>
            <a:grpSpLocks/>
          </xdr:cNvGrpSpPr>
        </xdr:nvGrpSpPr>
        <xdr:grpSpPr bwMode="auto">
          <a:xfrm>
            <a:off x="2174" y="575"/>
            <a:ext cx="28" cy="28"/>
            <a:chOff x="2174" y="575"/>
            <a:chExt cx="28" cy="28"/>
          </a:xfrm>
        </xdr:grpSpPr>
        <xdr:sp macro="" textlink="">
          <xdr:nvSpPr>
            <xdr:cNvPr id="22" name="Freeform 4818">
              <a:extLst>
                <a:ext uri="{FF2B5EF4-FFF2-40B4-BE49-F238E27FC236}">
                  <a16:creationId xmlns:a16="http://schemas.microsoft.com/office/drawing/2014/main" id="{965F1BCD-28E6-6D86-FA1D-3DEE0B92AD35}"/>
                </a:ext>
              </a:extLst>
            </xdr:cNvPr>
            <xdr:cNvSpPr>
              <a:spLocks/>
            </xdr:cNvSpPr>
          </xdr:nvSpPr>
          <xdr:spPr bwMode="auto">
            <a:xfrm>
              <a:off x="2174" y="575"/>
              <a:ext cx="28" cy="28"/>
            </a:xfrm>
            <a:custGeom>
              <a:avLst/>
              <a:gdLst>
                <a:gd name="T0" fmla="+- 0 2195 2174"/>
                <a:gd name="T1" fmla="*/ T0 w 28"/>
                <a:gd name="T2" fmla="+- 0 603 575"/>
                <a:gd name="T3" fmla="*/ 603 h 28"/>
                <a:gd name="T4" fmla="+- 0 2180 2174"/>
                <a:gd name="T5" fmla="*/ T4 w 28"/>
                <a:gd name="T6" fmla="+- 0 603 575"/>
                <a:gd name="T7" fmla="*/ 603 h 28"/>
                <a:gd name="T8" fmla="+- 0 2174 2174"/>
                <a:gd name="T9" fmla="*/ T8 w 28"/>
                <a:gd name="T10" fmla="+- 0 596 575"/>
                <a:gd name="T11" fmla="*/ 596 h 28"/>
                <a:gd name="T12" fmla="+- 0 2174 2174"/>
                <a:gd name="T13" fmla="*/ T12 w 28"/>
                <a:gd name="T14" fmla="+- 0 581 575"/>
                <a:gd name="T15" fmla="*/ 581 h 28"/>
                <a:gd name="T16" fmla="+- 0 2180 2174"/>
                <a:gd name="T17" fmla="*/ T16 w 28"/>
                <a:gd name="T18" fmla="+- 0 575 575"/>
                <a:gd name="T19" fmla="*/ 575 h 28"/>
                <a:gd name="T20" fmla="+- 0 2195 2174"/>
                <a:gd name="T21" fmla="*/ T20 w 28"/>
                <a:gd name="T22" fmla="+- 0 575 575"/>
                <a:gd name="T23" fmla="*/ 575 h 28"/>
                <a:gd name="T24" fmla="+- 0 2201 2174"/>
                <a:gd name="T25" fmla="*/ T24 w 28"/>
                <a:gd name="T26" fmla="+- 0 581 575"/>
                <a:gd name="T27" fmla="*/ 581 h 28"/>
                <a:gd name="T28" fmla="+- 0 2201 2174"/>
                <a:gd name="T29" fmla="*/ T28 w 28"/>
                <a:gd name="T30" fmla="+- 0 596 575"/>
                <a:gd name="T31" fmla="*/ 596 h 28"/>
                <a:gd name="T32" fmla="+- 0 2195 2174"/>
                <a:gd name="T33" fmla="*/ T32 w 28"/>
                <a:gd name="T34" fmla="+- 0 603 575"/>
                <a:gd name="T35" fmla="*/ 603 h 2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8" h="28">
                  <a:moveTo>
                    <a:pt x="21" y="28"/>
                  </a:moveTo>
                  <a:lnTo>
                    <a:pt x="6" y="28"/>
                  </a:lnTo>
                  <a:lnTo>
                    <a:pt x="0" y="21"/>
                  </a:lnTo>
                  <a:lnTo>
                    <a:pt x="0" y="6"/>
                  </a:lnTo>
                  <a:lnTo>
                    <a:pt x="6" y="0"/>
                  </a:lnTo>
                  <a:lnTo>
                    <a:pt x="21" y="0"/>
                  </a:lnTo>
                  <a:lnTo>
                    <a:pt x="27" y="6"/>
                  </a:lnTo>
                  <a:lnTo>
                    <a:pt x="27" y="21"/>
                  </a:lnTo>
                  <a:lnTo>
                    <a:pt x="21" y="2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twoCellAnchor editAs="oneCell">
    <xdr:from>
      <xdr:col>7</xdr:col>
      <xdr:colOff>539750</xdr:colOff>
      <xdr:row>2</xdr:row>
      <xdr:rowOff>139700</xdr:rowOff>
    </xdr:from>
    <xdr:to>
      <xdr:col>9</xdr:col>
      <xdr:colOff>60326</xdr:colOff>
      <xdr:row>6</xdr:row>
      <xdr:rowOff>135890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550E26C5-BF80-4EBF-9E44-F303EDFF5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9500" y="520700"/>
          <a:ext cx="670560" cy="753110"/>
        </a:xfrm>
        <a:prstGeom prst="rect">
          <a:avLst/>
        </a:prstGeom>
      </xdr:spPr>
    </xdr:pic>
    <xdr:clientData/>
  </xdr:twoCellAnchor>
  <xdr:twoCellAnchor>
    <xdr:from>
      <xdr:col>0</xdr:col>
      <xdr:colOff>561975</xdr:colOff>
      <xdr:row>2</xdr:row>
      <xdr:rowOff>0</xdr:rowOff>
    </xdr:from>
    <xdr:to>
      <xdr:col>6</xdr:col>
      <xdr:colOff>85725</xdr:colOff>
      <xdr:row>8</xdr:row>
      <xdr:rowOff>6350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CD475361-6192-43E0-801C-ECCCB7C25A65}"/>
            </a:ext>
          </a:extLst>
        </xdr:cNvPr>
        <xdr:cNvSpPr txBox="1"/>
      </xdr:nvSpPr>
      <xdr:spPr>
        <a:xfrm>
          <a:off x="561975" y="361950"/>
          <a:ext cx="6505575" cy="109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6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800" b="1">
              <a:latin typeface="Arial" panose="020B0604020202020204" pitchFamily="34" charset="0"/>
              <a:cs typeface="Arial" panose="020B0604020202020204" pitchFamily="34" charset="0"/>
            </a:rPr>
            <a:t>This workbook</a:t>
          </a:r>
          <a:r>
            <a:rPr lang="en-US" sz="1800" b="1" baseline="0">
              <a:latin typeface="Arial" panose="020B0604020202020204" pitchFamily="34" charset="0"/>
              <a:cs typeface="Arial" panose="020B0604020202020204" pitchFamily="34" charset="0"/>
            </a:rPr>
            <a:t> allows the design of a </a:t>
          </a:r>
          <a:r>
            <a:rPr lang="en-US" sz="18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insulated High-Power-Factor-LLC using ST controller L6790</a:t>
          </a:r>
          <a:endParaRPr lang="en-US" sz="18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74</xdr:row>
      <xdr:rowOff>173597</xdr:rowOff>
    </xdr:from>
    <xdr:to>
      <xdr:col>26</xdr:col>
      <xdr:colOff>119062</xdr:colOff>
      <xdr:row>116</xdr:row>
      <xdr:rowOff>108603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71C09E34-B9B6-2DFA-32A3-480481A7BF64}"/>
            </a:ext>
          </a:extLst>
        </xdr:cNvPr>
        <xdr:cNvSpPr/>
      </xdr:nvSpPr>
      <xdr:spPr>
        <a:xfrm>
          <a:off x="0" y="14184872"/>
          <a:ext cx="18549937" cy="795505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503766</xdr:colOff>
      <xdr:row>10</xdr:row>
      <xdr:rowOff>25401</xdr:rowOff>
    </xdr:from>
    <xdr:to>
      <xdr:col>16</xdr:col>
      <xdr:colOff>226483</xdr:colOff>
      <xdr:row>50</xdr:row>
      <xdr:rowOff>104775</xdr:rowOff>
    </xdr:to>
    <xdr:sp macro="" textlink="">
      <xdr:nvSpPr>
        <xdr:cNvPr id="75" name="Text Box 6">
          <a:extLst>
            <a:ext uri="{FF2B5EF4-FFF2-40B4-BE49-F238E27FC236}">
              <a16:creationId xmlns:a16="http://schemas.microsoft.com/office/drawing/2014/main" id="{8E87F39A-4B1E-403B-965D-67A252F1E93B}"/>
            </a:ext>
          </a:extLst>
        </xdr:cNvPr>
        <xdr:cNvSpPr txBox="1">
          <a:spLocks noChangeArrowheads="1"/>
        </xdr:cNvSpPr>
      </xdr:nvSpPr>
      <xdr:spPr bwMode="auto">
        <a:xfrm>
          <a:off x="7901516" y="1951568"/>
          <a:ext cx="4961467" cy="7466540"/>
        </a:xfrm>
        <a:prstGeom prst="rect">
          <a:avLst/>
        </a:prstGeom>
        <a:solidFill>
          <a:srgbClr val="FFFFFF"/>
        </a:solidFill>
        <a:ln w="9525">
          <a:solidFill>
            <a:srgbClr val="66CCFF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003300"/>
              </a:solidFill>
              <a:latin typeface="Arial" panose="020B0604020202020204" pitchFamily="34" charset="0"/>
              <a:cs typeface="Arial" panose="020B0604020202020204" pitchFamily="34" charset="0"/>
            </a:rPr>
            <a:t>Instruction:</a:t>
          </a:r>
          <a:endParaRPr lang="en-US" sz="1600" b="0" i="0" u="none" strike="noStrike" baseline="0">
            <a:solidFill>
              <a:srgbClr val="0033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0">
            <a:defRPr sz="1000"/>
          </a:pPr>
          <a:endParaRPr lang="en-US" sz="1600" b="0" i="0" u="none" strike="noStrike" baseline="0">
            <a:solidFill>
              <a:srgbClr val="0033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0">
            <a:defRPr sz="1000"/>
          </a:pPr>
          <a:r>
            <a:rPr lang="en-US" sz="1600" b="0" i="0" u="none" strike="noStrike" baseline="0">
              <a:solidFill>
                <a:srgbClr val="003300"/>
              </a:solidFill>
              <a:latin typeface="Arial" panose="020B0604020202020204" pitchFamily="34" charset="0"/>
              <a:cs typeface="Arial" panose="020B0604020202020204" pitchFamily="34" charset="0"/>
            </a:rPr>
            <a:t>1) Please insert the values in the yellow spaces and follow the sheet order.</a:t>
          </a:r>
        </a:p>
        <a:p>
          <a:pPr algn="l" rtl="0">
            <a:defRPr sz="1000"/>
          </a:pPr>
          <a:r>
            <a:rPr lang="en-US" sz="1600" b="0" i="0" u="none" strike="noStrike" baseline="0">
              <a:solidFill>
                <a:srgbClr val="003300"/>
              </a:solidFill>
              <a:latin typeface="Arial" panose="020B0604020202020204" pitchFamily="34" charset="0"/>
              <a:cs typeface="Arial" panose="020B0604020202020204" pitchFamily="34" charset="0"/>
            </a:rPr>
            <a:t>Ex:1-Design Spec --&gt;2-Preliminary Calculation--&gt;Resonant Tank Design.....</a:t>
          </a:r>
        </a:p>
        <a:p>
          <a:pPr algn="l" rtl="0">
            <a:defRPr sz="1000"/>
          </a:pPr>
          <a:endParaRPr lang="en-US" sz="1600" b="0" i="0" u="none" strike="noStrike" baseline="0">
            <a:solidFill>
              <a:srgbClr val="0033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0">
            <a:defRPr sz="1000"/>
          </a:pPr>
          <a:r>
            <a:rPr lang="en-US" sz="1600" b="0" i="0" u="none" strike="noStrike" baseline="0">
              <a:solidFill>
                <a:srgbClr val="003300"/>
              </a:solidFill>
              <a:latin typeface="Arial" panose="020B0604020202020204" pitchFamily="34" charset="0"/>
              <a:cs typeface="Arial" panose="020B0604020202020204" pitchFamily="34" charset="0"/>
            </a:rPr>
            <a:t>2) Remember that in each sheet the</a:t>
          </a:r>
          <a:r>
            <a:rPr lang="en-US" sz="1600" b="0" i="0" u="none" strike="noStrike" baseline="0">
              <a:solidFill>
                <a:srgbClr val="FFCC99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16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"selected value"</a:t>
          </a:r>
          <a:r>
            <a:rPr lang="en-US" sz="1600" b="0" i="0" u="none" strike="noStrike" baseline="0">
              <a:solidFill>
                <a:srgbClr val="003300"/>
              </a:solidFill>
              <a:latin typeface="Arial" panose="020B0604020202020204" pitchFamily="34" charset="0"/>
              <a:cs typeface="Arial" panose="020B0604020202020204" pitchFamily="34" charset="0"/>
            </a:rPr>
            <a:t> must be filled in. It is important for the right data processing.</a:t>
          </a:r>
        </a:p>
        <a:p>
          <a:pPr algn="l" rtl="0">
            <a:defRPr sz="1000"/>
          </a:pPr>
          <a:endParaRPr lang="en-US" sz="1600" b="0" i="0" u="none" strike="noStrike" baseline="0">
            <a:solidFill>
              <a:srgbClr val="0033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0">
            <a:defRPr sz="1000"/>
          </a:pPr>
          <a:r>
            <a:rPr lang="en-US" sz="1600" b="0" i="0" u="none" strike="noStrike" baseline="0">
              <a:solidFill>
                <a:srgbClr val="003300"/>
              </a:solidFill>
              <a:latin typeface="Arial" panose="020B0604020202020204" pitchFamily="34" charset="0"/>
              <a:cs typeface="Arial" panose="020B0604020202020204" pitchFamily="34" charset="0"/>
            </a:rPr>
            <a:t>3) On the upper right hand corner of some cells, if you pass  the mouse on, some helping information will appear. </a:t>
          </a:r>
        </a:p>
        <a:p>
          <a:pPr algn="l" rtl="0">
            <a:defRPr sz="1000"/>
          </a:pPr>
          <a:endParaRPr lang="en-US" sz="1600" b="0" i="0" u="none" strike="noStrike" baseline="0">
            <a:solidFill>
              <a:srgbClr val="0033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0">
            <a:defRPr sz="1000"/>
          </a:pPr>
          <a:r>
            <a:rPr lang="en-US" sz="1600" b="0" i="0" u="none" strike="noStrike" baseline="0">
              <a:solidFill>
                <a:srgbClr val="003300"/>
              </a:solidFill>
              <a:latin typeface="Arial" panose="020B0604020202020204" pitchFamily="34" charset="0"/>
              <a:cs typeface="Arial" panose="020B0604020202020204" pitchFamily="34" charset="0"/>
            </a:rPr>
            <a:t>4) </a:t>
          </a:r>
          <a:r>
            <a:rPr lang="en-US" sz="1600" b="0" i="0" u="none" strike="noStrik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Do </a:t>
          </a:r>
          <a:r>
            <a:rPr lang="en-US" sz="1600" b="1" i="0" u="none" strike="noStrik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NOT</a:t>
          </a:r>
          <a:r>
            <a:rPr lang="en-US" sz="1600" b="0" i="0" u="none" strike="noStrik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modify formulas! cracking </a:t>
          </a:r>
        </a:p>
        <a:p>
          <a:pPr algn="l" rtl="0">
            <a:defRPr sz="1000"/>
          </a:pPr>
          <a:r>
            <a:rPr lang="en-US" sz="1600" b="0" i="0" u="none" strike="noStrik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password can destroy the sheet.</a:t>
          </a:r>
          <a:endParaRPr lang="en-US" sz="1600" b="0" i="0" u="none" strike="noStrike" baseline="0">
            <a:solidFill>
              <a:srgbClr val="0033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0">
            <a:defRPr sz="1000"/>
          </a:pPr>
          <a:r>
            <a:rPr lang="en-US" sz="1600" b="0" i="0" u="none" strike="noStrike" baseline="0">
              <a:solidFill>
                <a:srgbClr val="0033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algn="l" rtl="0">
            <a:defRPr sz="1000"/>
          </a:pPr>
          <a:r>
            <a:rPr lang="en-US" sz="1600" b="0" i="0" u="none" strike="noStrike" baseline="0">
              <a:solidFill>
                <a:srgbClr val="003300"/>
              </a:solidFill>
              <a:latin typeface="Arial" panose="020B0604020202020204" pitchFamily="34" charset="0"/>
              <a:cs typeface="Arial" panose="020B0604020202020204" pitchFamily="34" charset="0"/>
            </a:rPr>
            <a:t>5) </a:t>
          </a:r>
          <a:r>
            <a:rPr lang="en-US" sz="1600" b="0" i="0" u="none" strike="noStrik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Access to RTC and CC calculation sheets is </a:t>
          </a:r>
          <a:r>
            <a:rPr lang="en-US" sz="1600" b="1" i="0" u="none" strike="noStrik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NOT</a:t>
          </a:r>
          <a:r>
            <a:rPr lang="en-US" sz="1600" b="0" i="0" u="none" strike="noStrike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permitted.  </a:t>
          </a:r>
        </a:p>
        <a:p>
          <a:pPr algn="l" rtl="0">
            <a:defRPr sz="1000"/>
          </a:pPr>
          <a:endParaRPr lang="en-US" sz="1600" b="0" i="0" u="none" strike="noStrike" baseline="0">
            <a:solidFill>
              <a:srgbClr val="003300"/>
            </a:solidFill>
            <a:latin typeface="Times New Roman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600" b="0" i="0" u="none" strike="noStrike" baseline="0">
              <a:solidFill>
                <a:srgbClr val="0033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6) Main results are in the "BOM &amp; Schematics" sheet.</a:t>
          </a:r>
        </a:p>
        <a:p>
          <a:pPr algn="l" rtl="0">
            <a:defRPr sz="1000"/>
          </a:pPr>
          <a:endParaRPr lang="en-US" sz="1600" b="0" i="0" u="none" strike="noStrike" baseline="0">
            <a:solidFill>
              <a:srgbClr val="0033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12</xdr:col>
      <xdr:colOff>514351</xdr:colOff>
      <xdr:row>39</xdr:row>
      <xdr:rowOff>174206</xdr:rowOff>
    </xdr:from>
    <xdr:to>
      <xdr:col>13</xdr:col>
      <xdr:colOff>517525</xdr:colOff>
      <xdr:row>43</xdr:row>
      <xdr:rowOff>20956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B7C39087-F137-462D-A634-E6C149CE9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53776" y="5403431"/>
          <a:ext cx="619125" cy="584620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62</xdr:row>
      <xdr:rowOff>44412</xdr:rowOff>
    </xdr:from>
    <xdr:to>
      <xdr:col>4</xdr:col>
      <xdr:colOff>402590</xdr:colOff>
      <xdr:row>73</xdr:row>
      <xdr:rowOff>39114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BB3757A4-B7BB-6BB9-D8BC-E72A0CC3F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0250" y="11398212"/>
          <a:ext cx="4921250" cy="2006382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61</xdr:row>
      <xdr:rowOff>121084</xdr:rowOff>
    </xdr:from>
    <xdr:to>
      <xdr:col>12</xdr:col>
      <xdr:colOff>340874</xdr:colOff>
      <xdr:row>72</xdr:row>
      <xdr:rowOff>173990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42A0FF64-6E35-15F9-5C65-0CE3150AC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13120" y="11292004"/>
          <a:ext cx="5232914" cy="20658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751840</xdr:colOff>
      <xdr:row>1</xdr:row>
      <xdr:rowOff>166370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39B94D-33A7-5B6D-3F77-EBBC44E00343}"/>
            </a:ext>
          </a:extLst>
        </xdr:cNvPr>
        <xdr:cNvGrpSpPr>
          <a:grpSpLocks/>
        </xdr:cNvGrpSpPr>
      </xdr:nvGrpSpPr>
      <xdr:grpSpPr bwMode="auto">
        <a:xfrm>
          <a:off x="0" y="0"/>
          <a:ext cx="1332865" cy="356870"/>
          <a:chOff x="892" y="153"/>
          <a:chExt cx="2144" cy="552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4E851011-BD32-740B-AC60-421EF36DA501}"/>
              </a:ext>
            </a:extLst>
          </xdr:cNvPr>
          <xdr:cNvGrpSpPr>
            <a:grpSpLocks/>
          </xdr:cNvGrpSpPr>
        </xdr:nvGrpSpPr>
        <xdr:grpSpPr bwMode="auto">
          <a:xfrm>
            <a:off x="892" y="153"/>
            <a:ext cx="1036" cy="452"/>
            <a:chOff x="892" y="153"/>
            <a:chExt cx="1036" cy="452"/>
          </a:xfrm>
        </xdr:grpSpPr>
        <xdr:sp macro="" textlink="">
          <xdr:nvSpPr>
            <xdr:cNvPr id="70" name="Freeform 4884">
              <a:extLst>
                <a:ext uri="{FF2B5EF4-FFF2-40B4-BE49-F238E27FC236}">
                  <a16:creationId xmlns:a16="http://schemas.microsoft.com/office/drawing/2014/main" id="{B409E559-6964-A5A8-9F19-F6D685D7C3C8}"/>
                </a:ext>
              </a:extLst>
            </xdr:cNvPr>
            <xdr:cNvSpPr>
              <a:spLocks/>
            </xdr:cNvSpPr>
          </xdr:nvSpPr>
          <xdr:spPr bwMode="auto">
            <a:xfrm>
              <a:off x="892" y="153"/>
              <a:ext cx="1036" cy="452"/>
            </a:xfrm>
            <a:custGeom>
              <a:avLst/>
              <a:gdLst>
                <a:gd name="T0" fmla="+- 0 1239 892"/>
                <a:gd name="T1" fmla="*/ T0 w 1036"/>
                <a:gd name="T2" fmla="+- 0 604 153"/>
                <a:gd name="T3" fmla="*/ 604 h 452"/>
                <a:gd name="T4" fmla="+- 0 895 892"/>
                <a:gd name="T5" fmla="*/ T4 w 1036"/>
                <a:gd name="T6" fmla="+- 0 604 153"/>
                <a:gd name="T7" fmla="*/ 604 h 452"/>
                <a:gd name="T8" fmla="+- 0 892 892"/>
                <a:gd name="T9" fmla="*/ T8 w 1036"/>
                <a:gd name="T10" fmla="+- 0 601 153"/>
                <a:gd name="T11" fmla="*/ 601 h 452"/>
                <a:gd name="T12" fmla="+- 0 892 892"/>
                <a:gd name="T13" fmla="*/ T12 w 1036"/>
                <a:gd name="T14" fmla="+- 0 595 153"/>
                <a:gd name="T15" fmla="*/ 595 h 452"/>
                <a:gd name="T16" fmla="+- 0 892 892"/>
                <a:gd name="T17" fmla="*/ T16 w 1036"/>
                <a:gd name="T18" fmla="+- 0 594 153"/>
                <a:gd name="T19" fmla="*/ 594 h 452"/>
                <a:gd name="T20" fmla="+- 0 1046 892"/>
                <a:gd name="T21" fmla="*/ T20 w 1036"/>
                <a:gd name="T22" fmla="+- 0 225 153"/>
                <a:gd name="T23" fmla="*/ 225 h 452"/>
                <a:gd name="T24" fmla="+- 0 1087 892"/>
                <a:gd name="T25" fmla="*/ T24 w 1036"/>
                <a:gd name="T26" fmla="+- 0 178 153"/>
                <a:gd name="T27" fmla="*/ 178 h 452"/>
                <a:gd name="T28" fmla="+- 0 1146 892"/>
                <a:gd name="T29" fmla="*/ T28 w 1036"/>
                <a:gd name="T30" fmla="+- 0 155 153"/>
                <a:gd name="T31" fmla="*/ 155 h 452"/>
                <a:gd name="T32" fmla="+- 0 1919 892"/>
                <a:gd name="T33" fmla="*/ T32 w 1036"/>
                <a:gd name="T34" fmla="+- 0 153 153"/>
                <a:gd name="T35" fmla="*/ 153 h 452"/>
                <a:gd name="T36" fmla="+- 0 1923 892"/>
                <a:gd name="T37" fmla="*/ T36 w 1036"/>
                <a:gd name="T38" fmla="+- 0 153 153"/>
                <a:gd name="T39" fmla="*/ 153 h 452"/>
                <a:gd name="T40" fmla="+- 0 1927 892"/>
                <a:gd name="T41" fmla="*/ T40 w 1036"/>
                <a:gd name="T42" fmla="+- 0 156 153"/>
                <a:gd name="T43" fmla="*/ 156 h 452"/>
                <a:gd name="T44" fmla="+- 0 1927 892"/>
                <a:gd name="T45" fmla="*/ T44 w 1036"/>
                <a:gd name="T46" fmla="+- 0 162 153"/>
                <a:gd name="T47" fmla="*/ 162 h 452"/>
                <a:gd name="T48" fmla="+- 0 1927 892"/>
                <a:gd name="T49" fmla="*/ T48 w 1036"/>
                <a:gd name="T50" fmla="+- 0 163 153"/>
                <a:gd name="T51" fmla="*/ 163 h 452"/>
                <a:gd name="T52" fmla="+- 0 1900 892"/>
                <a:gd name="T53" fmla="*/ T52 w 1036"/>
                <a:gd name="T54" fmla="+- 0 227 153"/>
                <a:gd name="T55" fmla="*/ 227 h 452"/>
                <a:gd name="T56" fmla="+- 0 1899 892"/>
                <a:gd name="T57" fmla="*/ T56 w 1036"/>
                <a:gd name="T58" fmla="+- 0 230 153"/>
                <a:gd name="T59" fmla="*/ 230 h 452"/>
                <a:gd name="T60" fmla="+- 0 1896 892"/>
                <a:gd name="T61" fmla="*/ T60 w 1036"/>
                <a:gd name="T62" fmla="+- 0 232 153"/>
                <a:gd name="T63" fmla="*/ 232 h 452"/>
                <a:gd name="T64" fmla="+- 0 1212 892"/>
                <a:gd name="T65" fmla="*/ T64 w 1036"/>
                <a:gd name="T66" fmla="+- 0 233 153"/>
                <a:gd name="T67" fmla="*/ 233 h 452"/>
                <a:gd name="T68" fmla="+- 0 1189 892"/>
                <a:gd name="T69" fmla="*/ T68 w 1036"/>
                <a:gd name="T70" fmla="+- 0 237 153"/>
                <a:gd name="T71" fmla="*/ 237 h 452"/>
                <a:gd name="T72" fmla="+- 0 1135 892"/>
                <a:gd name="T73" fmla="*/ T72 w 1036"/>
                <a:gd name="T74" fmla="+- 0 266 153"/>
                <a:gd name="T75" fmla="*/ 266 h 452"/>
                <a:gd name="T76" fmla="+- 0 1100 892"/>
                <a:gd name="T77" fmla="*/ T76 w 1036"/>
                <a:gd name="T78" fmla="+- 0 330 153"/>
                <a:gd name="T79" fmla="*/ 330 h 452"/>
                <a:gd name="T80" fmla="+- 0 1096 892"/>
                <a:gd name="T81" fmla="*/ T80 w 1036"/>
                <a:gd name="T82" fmla="+- 0 366 153"/>
                <a:gd name="T83" fmla="*/ 366 h 452"/>
                <a:gd name="T84" fmla="+- 0 1098 892"/>
                <a:gd name="T85" fmla="*/ T84 w 1036"/>
                <a:gd name="T86" fmla="+- 0 384 153"/>
                <a:gd name="T87" fmla="*/ 384 h 452"/>
                <a:gd name="T88" fmla="+- 0 1130 892"/>
                <a:gd name="T89" fmla="*/ T88 w 1036"/>
                <a:gd name="T90" fmla="+- 0 446 153"/>
                <a:gd name="T91" fmla="*/ 446 h 452"/>
                <a:gd name="T92" fmla="+- 0 1260 892"/>
                <a:gd name="T93" fmla="*/ T92 w 1036"/>
                <a:gd name="T94" fmla="+- 0 569 153"/>
                <a:gd name="T95" fmla="*/ 569 h 452"/>
                <a:gd name="T96" fmla="+- 0 1264 892"/>
                <a:gd name="T97" fmla="*/ T96 w 1036"/>
                <a:gd name="T98" fmla="+- 0 586 153"/>
                <a:gd name="T99" fmla="*/ 586 h 452"/>
                <a:gd name="T100" fmla="+- 0 1256 892"/>
                <a:gd name="T101" fmla="*/ T100 w 1036"/>
                <a:gd name="T102" fmla="+- 0 599 153"/>
                <a:gd name="T103" fmla="*/ 599 h 452"/>
                <a:gd name="T104" fmla="+- 0 1239 892"/>
                <a:gd name="T105" fmla="*/ T104 w 1036"/>
                <a:gd name="T106" fmla="+- 0 604 153"/>
                <a:gd name="T107" fmla="*/ 604 h 45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  <a:cxn ang="0">
                  <a:pos x="T105" y="T107"/>
                </a:cxn>
              </a:cxnLst>
              <a:rect l="0" t="0" r="r" b="b"/>
              <a:pathLst>
                <a:path w="1036" h="452">
                  <a:moveTo>
                    <a:pt x="347" y="451"/>
                  </a:moveTo>
                  <a:lnTo>
                    <a:pt x="3" y="451"/>
                  </a:lnTo>
                  <a:lnTo>
                    <a:pt x="0" y="448"/>
                  </a:lnTo>
                  <a:lnTo>
                    <a:pt x="0" y="442"/>
                  </a:lnTo>
                  <a:lnTo>
                    <a:pt x="0" y="441"/>
                  </a:lnTo>
                  <a:lnTo>
                    <a:pt x="154" y="72"/>
                  </a:lnTo>
                  <a:lnTo>
                    <a:pt x="195" y="25"/>
                  </a:lnTo>
                  <a:lnTo>
                    <a:pt x="254" y="2"/>
                  </a:lnTo>
                  <a:lnTo>
                    <a:pt x="1027" y="0"/>
                  </a:lnTo>
                  <a:lnTo>
                    <a:pt x="1031" y="0"/>
                  </a:lnTo>
                  <a:lnTo>
                    <a:pt x="1035" y="3"/>
                  </a:lnTo>
                  <a:lnTo>
                    <a:pt x="1035" y="9"/>
                  </a:lnTo>
                  <a:lnTo>
                    <a:pt x="1035" y="10"/>
                  </a:lnTo>
                  <a:lnTo>
                    <a:pt x="1008" y="74"/>
                  </a:lnTo>
                  <a:lnTo>
                    <a:pt x="1007" y="77"/>
                  </a:lnTo>
                  <a:lnTo>
                    <a:pt x="1004" y="79"/>
                  </a:lnTo>
                  <a:lnTo>
                    <a:pt x="320" y="80"/>
                  </a:lnTo>
                  <a:lnTo>
                    <a:pt x="297" y="84"/>
                  </a:lnTo>
                  <a:lnTo>
                    <a:pt x="243" y="113"/>
                  </a:lnTo>
                  <a:lnTo>
                    <a:pt x="208" y="177"/>
                  </a:lnTo>
                  <a:lnTo>
                    <a:pt x="204" y="213"/>
                  </a:lnTo>
                  <a:lnTo>
                    <a:pt x="206" y="231"/>
                  </a:lnTo>
                  <a:lnTo>
                    <a:pt x="238" y="293"/>
                  </a:lnTo>
                  <a:lnTo>
                    <a:pt x="368" y="416"/>
                  </a:lnTo>
                  <a:lnTo>
                    <a:pt x="372" y="433"/>
                  </a:lnTo>
                  <a:lnTo>
                    <a:pt x="364" y="446"/>
                  </a:lnTo>
                  <a:lnTo>
                    <a:pt x="347" y="45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440C63F4-1AD4-A10E-F895-787CDB49F133}"/>
              </a:ext>
            </a:extLst>
          </xdr:cNvPr>
          <xdr:cNvGrpSpPr>
            <a:grpSpLocks/>
          </xdr:cNvGrpSpPr>
        </xdr:nvGrpSpPr>
        <xdr:grpSpPr bwMode="auto">
          <a:xfrm>
            <a:off x="1554" y="335"/>
            <a:ext cx="299" cy="370"/>
            <a:chOff x="1554" y="335"/>
            <a:chExt cx="299" cy="370"/>
          </a:xfrm>
        </xdr:grpSpPr>
        <xdr:sp macro="" textlink="">
          <xdr:nvSpPr>
            <xdr:cNvPr id="68" name="Freeform 4882">
              <a:extLst>
                <a:ext uri="{FF2B5EF4-FFF2-40B4-BE49-F238E27FC236}">
                  <a16:creationId xmlns:a16="http://schemas.microsoft.com/office/drawing/2014/main" id="{E5263CD3-1C5B-93F0-2B89-B85BFCCEA2B9}"/>
                </a:ext>
              </a:extLst>
            </xdr:cNvPr>
            <xdr:cNvSpPr>
              <a:spLocks/>
            </xdr:cNvSpPr>
          </xdr:nvSpPr>
          <xdr:spPr bwMode="auto">
            <a:xfrm>
              <a:off x="1554" y="335"/>
              <a:ext cx="299" cy="370"/>
            </a:xfrm>
            <a:custGeom>
              <a:avLst/>
              <a:gdLst>
                <a:gd name="T0" fmla="+- 0 1557 1554"/>
                <a:gd name="T1" fmla="*/ T0 w 299"/>
                <a:gd name="T2" fmla="+- 0 705 335"/>
                <a:gd name="T3" fmla="*/ 705 h 370"/>
                <a:gd name="T4" fmla="+- 0 1554 1554"/>
                <a:gd name="T5" fmla="*/ T4 w 299"/>
                <a:gd name="T6" fmla="+- 0 701 335"/>
                <a:gd name="T7" fmla="*/ 701 h 370"/>
                <a:gd name="T8" fmla="+- 0 1554 1554"/>
                <a:gd name="T9" fmla="*/ T8 w 299"/>
                <a:gd name="T10" fmla="+- 0 696 335"/>
                <a:gd name="T11" fmla="*/ 696 h 370"/>
                <a:gd name="T12" fmla="+- 0 1554 1554"/>
                <a:gd name="T13" fmla="*/ T12 w 299"/>
                <a:gd name="T14" fmla="+- 0 694 335"/>
                <a:gd name="T15" fmla="*/ 694 h 370"/>
                <a:gd name="T16" fmla="+- 0 1555 1554"/>
                <a:gd name="T17" fmla="*/ T16 w 299"/>
                <a:gd name="T18" fmla="+- 0 693 335"/>
                <a:gd name="T19" fmla="*/ 693 h 370"/>
                <a:gd name="T20" fmla="+- 0 1701 1554"/>
                <a:gd name="T21" fmla="*/ T20 w 299"/>
                <a:gd name="T22" fmla="+- 0 340 335"/>
                <a:gd name="T23" fmla="*/ 340 h 370"/>
                <a:gd name="T24" fmla="+- 0 1708 1554"/>
                <a:gd name="T25" fmla="*/ T24 w 299"/>
                <a:gd name="T26" fmla="+- 0 335 335"/>
                <a:gd name="T27" fmla="*/ 335 h 370"/>
                <a:gd name="T28" fmla="+- 0 1848 1554"/>
                <a:gd name="T29" fmla="*/ T28 w 299"/>
                <a:gd name="T30" fmla="+- 0 335 335"/>
                <a:gd name="T31" fmla="*/ 335 h 370"/>
                <a:gd name="T32" fmla="+- 0 1852 1554"/>
                <a:gd name="T33" fmla="*/ T32 w 299"/>
                <a:gd name="T34" fmla="+- 0 338 335"/>
                <a:gd name="T35" fmla="*/ 338 h 370"/>
                <a:gd name="T36" fmla="+- 0 1852 1554"/>
                <a:gd name="T37" fmla="*/ T36 w 299"/>
                <a:gd name="T38" fmla="+- 0 340 335"/>
                <a:gd name="T39" fmla="*/ 340 h 370"/>
                <a:gd name="T40" fmla="+- 0 1852 1554"/>
                <a:gd name="T41" fmla="*/ T40 w 299"/>
                <a:gd name="T42" fmla="+- 0 344 335"/>
                <a:gd name="T43" fmla="*/ 344 h 370"/>
                <a:gd name="T44" fmla="+- 0 1852 1554"/>
                <a:gd name="T45" fmla="*/ T44 w 299"/>
                <a:gd name="T46" fmla="+- 0 345 335"/>
                <a:gd name="T47" fmla="*/ 345 h 370"/>
                <a:gd name="T48" fmla="+- 0 1851 1554"/>
                <a:gd name="T49" fmla="*/ T48 w 299"/>
                <a:gd name="T50" fmla="+- 0 345 335"/>
                <a:gd name="T51" fmla="*/ 345 h 370"/>
                <a:gd name="T52" fmla="+- 0 1738 1554"/>
                <a:gd name="T53" fmla="*/ T52 w 299"/>
                <a:gd name="T54" fmla="+- 0 620 335"/>
                <a:gd name="T55" fmla="*/ 620 h 370"/>
                <a:gd name="T56" fmla="+- 0 1731 1554"/>
                <a:gd name="T57" fmla="*/ T56 w 299"/>
                <a:gd name="T58" fmla="+- 0 633 335"/>
                <a:gd name="T59" fmla="*/ 633 h 370"/>
                <a:gd name="T60" fmla="+- 0 1690 1554"/>
                <a:gd name="T61" fmla="*/ T60 w 299"/>
                <a:gd name="T62" fmla="+- 0 679 335"/>
                <a:gd name="T63" fmla="*/ 679 h 370"/>
                <a:gd name="T64" fmla="+- 0 1631 1554"/>
                <a:gd name="T65" fmla="*/ T64 w 299"/>
                <a:gd name="T66" fmla="+- 0 703 335"/>
                <a:gd name="T67" fmla="*/ 703 h 370"/>
                <a:gd name="T68" fmla="+- 0 1609 1554"/>
                <a:gd name="T69" fmla="*/ T68 w 299"/>
                <a:gd name="T70" fmla="+- 0 705 335"/>
                <a:gd name="T71" fmla="*/ 705 h 370"/>
                <a:gd name="T72" fmla="+- 0 1557 1554"/>
                <a:gd name="T73" fmla="*/ T72 w 299"/>
                <a:gd name="T74" fmla="+- 0 705 335"/>
                <a:gd name="T75" fmla="*/ 705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</a:cxnLst>
              <a:rect l="0" t="0" r="r" b="b"/>
              <a:pathLst>
                <a:path w="299" h="370">
                  <a:moveTo>
                    <a:pt x="3" y="370"/>
                  </a:moveTo>
                  <a:lnTo>
                    <a:pt x="0" y="366"/>
                  </a:lnTo>
                  <a:lnTo>
                    <a:pt x="0" y="361"/>
                  </a:lnTo>
                  <a:lnTo>
                    <a:pt x="0" y="359"/>
                  </a:lnTo>
                  <a:lnTo>
                    <a:pt x="1" y="358"/>
                  </a:lnTo>
                  <a:lnTo>
                    <a:pt x="147" y="5"/>
                  </a:lnTo>
                  <a:lnTo>
                    <a:pt x="154" y="0"/>
                  </a:lnTo>
                  <a:lnTo>
                    <a:pt x="294" y="0"/>
                  </a:lnTo>
                  <a:lnTo>
                    <a:pt x="298" y="3"/>
                  </a:lnTo>
                  <a:lnTo>
                    <a:pt x="298" y="5"/>
                  </a:lnTo>
                  <a:lnTo>
                    <a:pt x="298" y="9"/>
                  </a:lnTo>
                  <a:lnTo>
                    <a:pt x="298" y="10"/>
                  </a:lnTo>
                  <a:lnTo>
                    <a:pt x="297" y="10"/>
                  </a:lnTo>
                  <a:lnTo>
                    <a:pt x="184" y="285"/>
                  </a:lnTo>
                  <a:lnTo>
                    <a:pt x="177" y="298"/>
                  </a:lnTo>
                  <a:lnTo>
                    <a:pt x="136" y="344"/>
                  </a:lnTo>
                  <a:lnTo>
                    <a:pt x="77" y="368"/>
                  </a:lnTo>
                  <a:lnTo>
                    <a:pt x="55" y="370"/>
                  </a:lnTo>
                  <a:lnTo>
                    <a:pt x="3" y="3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9" name="Freeform 4881">
              <a:extLst>
                <a:ext uri="{FF2B5EF4-FFF2-40B4-BE49-F238E27FC236}">
                  <a16:creationId xmlns:a16="http://schemas.microsoft.com/office/drawing/2014/main" id="{BAA51E5F-800A-E416-8208-44D6C84550B7}"/>
                </a:ext>
              </a:extLst>
            </xdr:cNvPr>
            <xdr:cNvSpPr>
              <a:spLocks/>
            </xdr:cNvSpPr>
          </xdr:nvSpPr>
          <xdr:spPr bwMode="auto">
            <a:xfrm>
              <a:off x="1554" y="335"/>
              <a:ext cx="299" cy="370"/>
            </a:xfrm>
            <a:custGeom>
              <a:avLst/>
              <a:gdLst>
                <a:gd name="T0" fmla="+- 0 1738 1554"/>
                <a:gd name="T1" fmla="*/ T0 w 299"/>
                <a:gd name="T2" fmla="+- 0 620 335"/>
                <a:gd name="T3" fmla="*/ 620 h 370"/>
                <a:gd name="T4" fmla="+- 0 1738 1554"/>
                <a:gd name="T5" fmla="*/ T4 w 299"/>
                <a:gd name="T6" fmla="+- 0 620 335"/>
                <a:gd name="T7" fmla="*/ 620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299" h="370">
                  <a:moveTo>
                    <a:pt x="184" y="285"/>
                  </a:moveTo>
                  <a:lnTo>
                    <a:pt x="184" y="28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D4EF1B12-3BC4-ED22-E370-8B739254C4CC}"/>
              </a:ext>
            </a:extLst>
          </xdr:cNvPr>
          <xdr:cNvGrpSpPr>
            <a:grpSpLocks/>
          </xdr:cNvGrpSpPr>
        </xdr:nvGrpSpPr>
        <xdr:grpSpPr bwMode="auto">
          <a:xfrm>
            <a:off x="1200" y="335"/>
            <a:ext cx="394" cy="370"/>
            <a:chOff x="1200" y="335"/>
            <a:chExt cx="394" cy="370"/>
          </a:xfrm>
        </xdr:grpSpPr>
        <xdr:sp macro="" textlink="">
          <xdr:nvSpPr>
            <xdr:cNvPr id="67" name="Freeform 4879">
              <a:extLst>
                <a:ext uri="{FF2B5EF4-FFF2-40B4-BE49-F238E27FC236}">
                  <a16:creationId xmlns:a16="http://schemas.microsoft.com/office/drawing/2014/main" id="{E19851B3-60D2-8C99-F5F0-2D915A7DE2A7}"/>
                </a:ext>
              </a:extLst>
            </xdr:cNvPr>
            <xdr:cNvSpPr>
              <a:spLocks/>
            </xdr:cNvSpPr>
          </xdr:nvSpPr>
          <xdr:spPr bwMode="auto">
            <a:xfrm>
              <a:off x="1200" y="335"/>
              <a:ext cx="394" cy="370"/>
            </a:xfrm>
            <a:custGeom>
              <a:avLst/>
              <a:gdLst>
                <a:gd name="T0" fmla="+- 0 1439 1200"/>
                <a:gd name="T1" fmla="*/ T0 w 394"/>
                <a:gd name="T2" fmla="+- 0 705 335"/>
                <a:gd name="T3" fmla="*/ 705 h 370"/>
                <a:gd name="T4" fmla="+- 0 1290 1200"/>
                <a:gd name="T5" fmla="*/ T4 w 394"/>
                <a:gd name="T6" fmla="+- 0 705 335"/>
                <a:gd name="T7" fmla="*/ 705 h 370"/>
                <a:gd name="T8" fmla="+- 0 1289 1200"/>
                <a:gd name="T9" fmla="*/ T8 w 394"/>
                <a:gd name="T10" fmla="+- 0 704 335"/>
                <a:gd name="T11" fmla="*/ 704 h 370"/>
                <a:gd name="T12" fmla="+- 0 1289 1200"/>
                <a:gd name="T13" fmla="*/ T12 w 394"/>
                <a:gd name="T14" fmla="+- 0 702 335"/>
                <a:gd name="T15" fmla="*/ 702 h 370"/>
                <a:gd name="T16" fmla="+- 0 1290 1200"/>
                <a:gd name="T17" fmla="*/ T16 w 394"/>
                <a:gd name="T18" fmla="+- 0 701 335"/>
                <a:gd name="T19" fmla="*/ 701 h 370"/>
                <a:gd name="T20" fmla="+- 0 1298 1200"/>
                <a:gd name="T21" fmla="*/ T20 w 394"/>
                <a:gd name="T22" fmla="+- 0 697 335"/>
                <a:gd name="T23" fmla="*/ 697 h 370"/>
                <a:gd name="T24" fmla="+- 0 1312 1200"/>
                <a:gd name="T25" fmla="*/ T24 w 394"/>
                <a:gd name="T26" fmla="+- 0 688 335"/>
                <a:gd name="T27" fmla="*/ 688 h 370"/>
                <a:gd name="T28" fmla="+- 0 1351 1200"/>
                <a:gd name="T29" fmla="*/ T28 w 394"/>
                <a:gd name="T30" fmla="+- 0 641 335"/>
                <a:gd name="T31" fmla="*/ 641 h 370"/>
                <a:gd name="T32" fmla="+- 0 1366 1200"/>
                <a:gd name="T33" fmla="*/ T32 w 394"/>
                <a:gd name="T34" fmla="+- 0 593 335"/>
                <a:gd name="T35" fmla="*/ 593 h 370"/>
                <a:gd name="T36" fmla="+- 0 1366 1200"/>
                <a:gd name="T37" fmla="*/ T36 w 394"/>
                <a:gd name="T38" fmla="+- 0 564 335"/>
                <a:gd name="T39" fmla="*/ 564 h 370"/>
                <a:gd name="T40" fmla="+- 0 1339 1200"/>
                <a:gd name="T41" fmla="*/ T40 w 394"/>
                <a:gd name="T42" fmla="+- 0 503 335"/>
                <a:gd name="T43" fmla="*/ 503 h 370"/>
                <a:gd name="T44" fmla="+- 0 1201 1200"/>
                <a:gd name="T45" fmla="*/ T44 w 394"/>
                <a:gd name="T46" fmla="+- 0 368 335"/>
                <a:gd name="T47" fmla="*/ 368 h 370"/>
                <a:gd name="T48" fmla="+- 0 1200 1200"/>
                <a:gd name="T49" fmla="*/ T48 w 394"/>
                <a:gd name="T50" fmla="+- 0 352 335"/>
                <a:gd name="T51" fmla="*/ 352 h 370"/>
                <a:gd name="T52" fmla="+- 0 1209 1200"/>
                <a:gd name="T53" fmla="*/ T52 w 394"/>
                <a:gd name="T54" fmla="+- 0 340 335"/>
                <a:gd name="T55" fmla="*/ 340 h 370"/>
                <a:gd name="T56" fmla="+- 0 1224 1200"/>
                <a:gd name="T57" fmla="*/ T56 w 394"/>
                <a:gd name="T58" fmla="+- 0 335 335"/>
                <a:gd name="T59" fmla="*/ 335 h 370"/>
                <a:gd name="T60" fmla="+- 0 1590 1200"/>
                <a:gd name="T61" fmla="*/ T60 w 394"/>
                <a:gd name="T62" fmla="+- 0 335 335"/>
                <a:gd name="T63" fmla="*/ 335 h 370"/>
                <a:gd name="T64" fmla="+- 0 1593 1200"/>
                <a:gd name="T65" fmla="*/ T64 w 394"/>
                <a:gd name="T66" fmla="+- 0 338 335"/>
                <a:gd name="T67" fmla="*/ 338 h 370"/>
                <a:gd name="T68" fmla="+- 0 1593 1200"/>
                <a:gd name="T69" fmla="*/ T68 w 394"/>
                <a:gd name="T70" fmla="+- 0 344 335"/>
                <a:gd name="T71" fmla="*/ 344 h 370"/>
                <a:gd name="T72" fmla="+- 0 1593 1200"/>
                <a:gd name="T73" fmla="*/ T72 w 394"/>
                <a:gd name="T74" fmla="+- 0 345 335"/>
                <a:gd name="T75" fmla="*/ 345 h 370"/>
                <a:gd name="T76" fmla="+- 0 1593 1200"/>
                <a:gd name="T77" fmla="*/ T76 w 394"/>
                <a:gd name="T78" fmla="+- 0 345 335"/>
                <a:gd name="T79" fmla="*/ 345 h 370"/>
                <a:gd name="T80" fmla="+- 0 1446 1200"/>
                <a:gd name="T81" fmla="*/ T80 w 394"/>
                <a:gd name="T82" fmla="+- 0 700 335"/>
                <a:gd name="T83" fmla="*/ 700 h 370"/>
                <a:gd name="T84" fmla="+- 0 1439 1200"/>
                <a:gd name="T85" fmla="*/ T84 w 394"/>
                <a:gd name="T86" fmla="+- 0 705 335"/>
                <a:gd name="T87" fmla="*/ 705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</a:cxnLst>
              <a:rect l="0" t="0" r="r" b="b"/>
              <a:pathLst>
                <a:path w="394" h="370">
                  <a:moveTo>
                    <a:pt x="239" y="370"/>
                  </a:moveTo>
                  <a:lnTo>
                    <a:pt x="90" y="370"/>
                  </a:lnTo>
                  <a:lnTo>
                    <a:pt x="89" y="369"/>
                  </a:lnTo>
                  <a:lnTo>
                    <a:pt x="89" y="367"/>
                  </a:lnTo>
                  <a:lnTo>
                    <a:pt x="90" y="366"/>
                  </a:lnTo>
                  <a:lnTo>
                    <a:pt x="98" y="362"/>
                  </a:lnTo>
                  <a:lnTo>
                    <a:pt x="112" y="353"/>
                  </a:lnTo>
                  <a:lnTo>
                    <a:pt x="151" y="306"/>
                  </a:lnTo>
                  <a:lnTo>
                    <a:pt x="166" y="258"/>
                  </a:lnTo>
                  <a:lnTo>
                    <a:pt x="166" y="229"/>
                  </a:lnTo>
                  <a:lnTo>
                    <a:pt x="139" y="168"/>
                  </a:lnTo>
                  <a:lnTo>
                    <a:pt x="1" y="33"/>
                  </a:lnTo>
                  <a:lnTo>
                    <a:pt x="0" y="17"/>
                  </a:lnTo>
                  <a:lnTo>
                    <a:pt x="9" y="5"/>
                  </a:lnTo>
                  <a:lnTo>
                    <a:pt x="24" y="0"/>
                  </a:lnTo>
                  <a:lnTo>
                    <a:pt x="390" y="0"/>
                  </a:lnTo>
                  <a:lnTo>
                    <a:pt x="393" y="3"/>
                  </a:lnTo>
                  <a:lnTo>
                    <a:pt x="393" y="9"/>
                  </a:lnTo>
                  <a:lnTo>
                    <a:pt x="393" y="10"/>
                  </a:lnTo>
                  <a:lnTo>
                    <a:pt x="246" y="365"/>
                  </a:lnTo>
                  <a:lnTo>
                    <a:pt x="239" y="3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20257205-F964-0ED1-5415-084097CB4F14}"/>
              </a:ext>
            </a:extLst>
          </xdr:cNvPr>
          <xdr:cNvGrpSpPr>
            <a:grpSpLocks/>
          </xdr:cNvGrpSpPr>
        </xdr:nvGrpSpPr>
        <xdr:grpSpPr bwMode="auto">
          <a:xfrm>
            <a:off x="1986" y="492"/>
            <a:ext cx="11" cy="16"/>
            <a:chOff x="1986" y="492"/>
            <a:chExt cx="11" cy="16"/>
          </a:xfrm>
        </xdr:grpSpPr>
        <xdr:sp macro="" textlink="">
          <xdr:nvSpPr>
            <xdr:cNvPr id="66" name="Freeform 4877">
              <a:extLst>
                <a:ext uri="{FF2B5EF4-FFF2-40B4-BE49-F238E27FC236}">
                  <a16:creationId xmlns:a16="http://schemas.microsoft.com/office/drawing/2014/main" id="{D41BE1EE-EB81-E8A6-97D2-B298E7B55570}"/>
                </a:ext>
              </a:extLst>
            </xdr:cNvPr>
            <xdr:cNvSpPr>
              <a:spLocks/>
            </xdr:cNvSpPr>
          </xdr:nvSpPr>
          <xdr:spPr bwMode="auto">
            <a:xfrm>
              <a:off x="1986" y="492"/>
              <a:ext cx="11" cy="16"/>
            </a:xfrm>
            <a:custGeom>
              <a:avLst/>
              <a:gdLst>
                <a:gd name="T0" fmla="+- 0 1986 1986"/>
                <a:gd name="T1" fmla="*/ T0 w 11"/>
                <a:gd name="T2" fmla="+- 0 500 492"/>
                <a:gd name="T3" fmla="*/ 500 h 16"/>
                <a:gd name="T4" fmla="+- 0 1997 1986"/>
                <a:gd name="T5" fmla="*/ T4 w 11"/>
                <a:gd name="T6" fmla="+- 0 500 492"/>
                <a:gd name="T7" fmla="*/ 500 h 1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11" h="16">
                  <a:moveTo>
                    <a:pt x="0" y="8"/>
                  </a:moveTo>
                  <a:lnTo>
                    <a:pt x="11" y="8"/>
                  </a:lnTo>
                </a:path>
              </a:pathLst>
            </a:custGeom>
            <a:noFill/>
            <a:ln w="11238">
              <a:solidFill>
                <a:srgbClr val="001E4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2CF91DA-17A5-E00D-3C93-CA4B58C52D84}"/>
              </a:ext>
            </a:extLst>
          </xdr:cNvPr>
          <xdr:cNvGrpSpPr>
            <a:grpSpLocks/>
          </xdr:cNvGrpSpPr>
        </xdr:nvGrpSpPr>
        <xdr:grpSpPr bwMode="auto">
          <a:xfrm>
            <a:off x="1927" y="495"/>
            <a:ext cx="36" cy="106"/>
            <a:chOff x="1927" y="495"/>
            <a:chExt cx="36" cy="106"/>
          </a:xfrm>
        </xdr:grpSpPr>
        <xdr:sp macro="" textlink="">
          <xdr:nvSpPr>
            <xdr:cNvPr id="64" name="Freeform 4875">
              <a:extLst>
                <a:ext uri="{FF2B5EF4-FFF2-40B4-BE49-F238E27FC236}">
                  <a16:creationId xmlns:a16="http://schemas.microsoft.com/office/drawing/2014/main" id="{22772F87-AB94-5031-F6DB-551240461D1D}"/>
                </a:ext>
              </a:extLst>
            </xdr:cNvPr>
            <xdr:cNvSpPr>
              <a:spLocks/>
            </xdr:cNvSpPr>
          </xdr:nvSpPr>
          <xdr:spPr bwMode="auto">
            <a:xfrm>
              <a:off x="1927" y="495"/>
              <a:ext cx="36" cy="106"/>
            </a:xfrm>
            <a:custGeom>
              <a:avLst/>
              <a:gdLst>
                <a:gd name="T0" fmla="+- 0 1951 1927"/>
                <a:gd name="T1" fmla="*/ T0 w 36"/>
                <a:gd name="T2" fmla="+- 0 591 495"/>
                <a:gd name="T3" fmla="*/ 591 h 106"/>
                <a:gd name="T4" fmla="+- 0 1940 1927"/>
                <a:gd name="T5" fmla="*/ T4 w 36"/>
                <a:gd name="T6" fmla="+- 0 591 495"/>
                <a:gd name="T7" fmla="*/ 591 h 106"/>
                <a:gd name="T8" fmla="+- 0 1940 1927"/>
                <a:gd name="T9" fmla="*/ T8 w 36"/>
                <a:gd name="T10" fmla="+- 0 505 495"/>
                <a:gd name="T11" fmla="*/ 505 h 106"/>
                <a:gd name="T12" fmla="+- 0 1928 1927"/>
                <a:gd name="T13" fmla="*/ T12 w 36"/>
                <a:gd name="T14" fmla="+- 0 505 495"/>
                <a:gd name="T15" fmla="*/ 505 h 106"/>
                <a:gd name="T16" fmla="+- 0 1928 1927"/>
                <a:gd name="T17" fmla="*/ T16 w 36"/>
                <a:gd name="T18" fmla="+- 0 495 495"/>
                <a:gd name="T19" fmla="*/ 495 h 106"/>
                <a:gd name="T20" fmla="+- 0 1951 1927"/>
                <a:gd name="T21" fmla="*/ T20 w 36"/>
                <a:gd name="T22" fmla="+- 0 495 495"/>
                <a:gd name="T23" fmla="*/ 495 h 106"/>
                <a:gd name="T24" fmla="+- 0 1951 1927"/>
                <a:gd name="T25" fmla="*/ T24 w 36"/>
                <a:gd name="T26" fmla="+- 0 591 495"/>
                <a:gd name="T27" fmla="*/ 591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6" h="106">
                  <a:moveTo>
                    <a:pt x="24" y="96"/>
                  </a:moveTo>
                  <a:lnTo>
                    <a:pt x="13" y="96"/>
                  </a:lnTo>
                  <a:lnTo>
                    <a:pt x="13" y="10"/>
                  </a:lnTo>
                  <a:lnTo>
                    <a:pt x="1" y="10"/>
                  </a:lnTo>
                  <a:lnTo>
                    <a:pt x="1" y="0"/>
                  </a:lnTo>
                  <a:lnTo>
                    <a:pt x="24" y="0"/>
                  </a:lnTo>
                  <a:lnTo>
                    <a:pt x="24" y="9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5" name="Freeform 4874">
              <a:extLst>
                <a:ext uri="{FF2B5EF4-FFF2-40B4-BE49-F238E27FC236}">
                  <a16:creationId xmlns:a16="http://schemas.microsoft.com/office/drawing/2014/main" id="{8DD39D68-550F-95C2-1887-B4EB5214F79E}"/>
                </a:ext>
              </a:extLst>
            </xdr:cNvPr>
            <xdr:cNvSpPr>
              <a:spLocks/>
            </xdr:cNvSpPr>
          </xdr:nvSpPr>
          <xdr:spPr bwMode="auto">
            <a:xfrm>
              <a:off x="1927" y="495"/>
              <a:ext cx="36" cy="106"/>
            </a:xfrm>
            <a:custGeom>
              <a:avLst/>
              <a:gdLst>
                <a:gd name="T0" fmla="+- 0 1963 1927"/>
                <a:gd name="T1" fmla="*/ T0 w 36"/>
                <a:gd name="T2" fmla="+- 0 600 495"/>
                <a:gd name="T3" fmla="*/ 600 h 106"/>
                <a:gd name="T4" fmla="+- 0 1927 1927"/>
                <a:gd name="T5" fmla="*/ T4 w 36"/>
                <a:gd name="T6" fmla="+- 0 600 495"/>
                <a:gd name="T7" fmla="*/ 600 h 106"/>
                <a:gd name="T8" fmla="+- 0 1927 1927"/>
                <a:gd name="T9" fmla="*/ T8 w 36"/>
                <a:gd name="T10" fmla="+- 0 591 495"/>
                <a:gd name="T11" fmla="*/ 591 h 106"/>
                <a:gd name="T12" fmla="+- 0 1963 1927"/>
                <a:gd name="T13" fmla="*/ T12 w 36"/>
                <a:gd name="T14" fmla="+- 0 591 495"/>
                <a:gd name="T15" fmla="*/ 591 h 106"/>
                <a:gd name="T16" fmla="+- 0 1963 1927"/>
                <a:gd name="T17" fmla="*/ T16 w 36"/>
                <a:gd name="T18" fmla="+- 0 600 495"/>
                <a:gd name="T19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6" h="106">
                  <a:moveTo>
                    <a:pt x="36" y="105"/>
                  </a:moveTo>
                  <a:lnTo>
                    <a:pt x="0" y="105"/>
                  </a:lnTo>
                  <a:lnTo>
                    <a:pt x="0" y="96"/>
                  </a:lnTo>
                  <a:lnTo>
                    <a:pt x="36" y="96"/>
                  </a:lnTo>
                  <a:lnTo>
                    <a:pt x="36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9E46D737-950D-247C-23AC-FBECC283A8C3}"/>
              </a:ext>
            </a:extLst>
          </xdr:cNvPr>
          <xdr:cNvGrpSpPr>
            <a:grpSpLocks/>
          </xdr:cNvGrpSpPr>
        </xdr:nvGrpSpPr>
        <xdr:grpSpPr bwMode="auto">
          <a:xfrm>
            <a:off x="1976" y="522"/>
            <a:ext cx="36" cy="79"/>
            <a:chOff x="1976" y="522"/>
            <a:chExt cx="36" cy="79"/>
          </a:xfrm>
        </xdr:grpSpPr>
        <xdr:sp macro="" textlink="">
          <xdr:nvSpPr>
            <xdr:cNvPr id="62" name="Freeform 4872">
              <a:extLst>
                <a:ext uri="{FF2B5EF4-FFF2-40B4-BE49-F238E27FC236}">
                  <a16:creationId xmlns:a16="http://schemas.microsoft.com/office/drawing/2014/main" id="{021A7160-E384-288D-DC2A-8B4C93982BEE}"/>
                </a:ext>
              </a:extLst>
            </xdr:cNvPr>
            <xdr:cNvSpPr>
              <a:spLocks/>
            </xdr:cNvSpPr>
          </xdr:nvSpPr>
          <xdr:spPr bwMode="auto">
            <a:xfrm>
              <a:off x="1976" y="522"/>
              <a:ext cx="36" cy="79"/>
            </a:xfrm>
            <a:custGeom>
              <a:avLst/>
              <a:gdLst>
                <a:gd name="T0" fmla="+- 0 1999 1976"/>
                <a:gd name="T1" fmla="*/ T0 w 36"/>
                <a:gd name="T2" fmla="+- 0 591 522"/>
                <a:gd name="T3" fmla="*/ 591 h 79"/>
                <a:gd name="T4" fmla="+- 0 1989 1976"/>
                <a:gd name="T5" fmla="*/ T4 w 36"/>
                <a:gd name="T6" fmla="+- 0 591 522"/>
                <a:gd name="T7" fmla="*/ 591 h 79"/>
                <a:gd name="T8" fmla="+- 0 1989 1976"/>
                <a:gd name="T9" fmla="*/ T8 w 36"/>
                <a:gd name="T10" fmla="+- 0 532 522"/>
                <a:gd name="T11" fmla="*/ 532 h 79"/>
                <a:gd name="T12" fmla="+- 0 1976 1976"/>
                <a:gd name="T13" fmla="*/ T12 w 36"/>
                <a:gd name="T14" fmla="+- 0 532 522"/>
                <a:gd name="T15" fmla="*/ 532 h 79"/>
                <a:gd name="T16" fmla="+- 0 1976 1976"/>
                <a:gd name="T17" fmla="*/ T16 w 36"/>
                <a:gd name="T18" fmla="+- 0 522 522"/>
                <a:gd name="T19" fmla="*/ 522 h 79"/>
                <a:gd name="T20" fmla="+- 0 1999 1976"/>
                <a:gd name="T21" fmla="*/ T20 w 36"/>
                <a:gd name="T22" fmla="+- 0 522 522"/>
                <a:gd name="T23" fmla="*/ 522 h 79"/>
                <a:gd name="T24" fmla="+- 0 1999 1976"/>
                <a:gd name="T25" fmla="*/ T24 w 36"/>
                <a:gd name="T26" fmla="+- 0 591 522"/>
                <a:gd name="T27" fmla="*/ 591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6" h="79">
                  <a:moveTo>
                    <a:pt x="23" y="69"/>
                  </a:moveTo>
                  <a:lnTo>
                    <a:pt x="13" y="69"/>
                  </a:lnTo>
                  <a:lnTo>
                    <a:pt x="13" y="10"/>
                  </a:lnTo>
                  <a:lnTo>
                    <a:pt x="0" y="10"/>
                  </a:lnTo>
                  <a:lnTo>
                    <a:pt x="0" y="0"/>
                  </a:lnTo>
                  <a:lnTo>
                    <a:pt x="23" y="0"/>
                  </a:lnTo>
                  <a:lnTo>
                    <a:pt x="23" y="6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3" name="Freeform 4871">
              <a:extLst>
                <a:ext uri="{FF2B5EF4-FFF2-40B4-BE49-F238E27FC236}">
                  <a16:creationId xmlns:a16="http://schemas.microsoft.com/office/drawing/2014/main" id="{E105A432-DDA5-8781-1C72-CCFFC015DFF9}"/>
                </a:ext>
              </a:extLst>
            </xdr:cNvPr>
            <xdr:cNvSpPr>
              <a:spLocks/>
            </xdr:cNvSpPr>
          </xdr:nvSpPr>
          <xdr:spPr bwMode="auto">
            <a:xfrm>
              <a:off x="1976" y="522"/>
              <a:ext cx="36" cy="79"/>
            </a:xfrm>
            <a:custGeom>
              <a:avLst/>
              <a:gdLst>
                <a:gd name="T0" fmla="+- 0 2011 1976"/>
                <a:gd name="T1" fmla="*/ T0 w 36"/>
                <a:gd name="T2" fmla="+- 0 600 522"/>
                <a:gd name="T3" fmla="*/ 600 h 79"/>
                <a:gd name="T4" fmla="+- 0 1976 1976"/>
                <a:gd name="T5" fmla="*/ T4 w 36"/>
                <a:gd name="T6" fmla="+- 0 600 522"/>
                <a:gd name="T7" fmla="*/ 600 h 79"/>
                <a:gd name="T8" fmla="+- 0 1976 1976"/>
                <a:gd name="T9" fmla="*/ T8 w 36"/>
                <a:gd name="T10" fmla="+- 0 591 522"/>
                <a:gd name="T11" fmla="*/ 591 h 79"/>
                <a:gd name="T12" fmla="+- 0 2011 1976"/>
                <a:gd name="T13" fmla="*/ T12 w 36"/>
                <a:gd name="T14" fmla="+- 0 591 522"/>
                <a:gd name="T15" fmla="*/ 591 h 79"/>
                <a:gd name="T16" fmla="+- 0 2011 1976"/>
                <a:gd name="T17" fmla="*/ T16 w 36"/>
                <a:gd name="T18" fmla="+- 0 600 522"/>
                <a:gd name="T19" fmla="*/ 600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6" h="79">
                  <a:moveTo>
                    <a:pt x="35" y="78"/>
                  </a:moveTo>
                  <a:lnTo>
                    <a:pt x="0" y="78"/>
                  </a:lnTo>
                  <a:lnTo>
                    <a:pt x="0" y="69"/>
                  </a:lnTo>
                  <a:lnTo>
                    <a:pt x="35" y="69"/>
                  </a:lnTo>
                  <a:lnTo>
                    <a:pt x="35" y="7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CCB22907-08AC-668D-1C1D-C1030FFD74A2}"/>
              </a:ext>
            </a:extLst>
          </xdr:cNvPr>
          <xdr:cNvGrpSpPr>
            <a:grpSpLocks/>
          </xdr:cNvGrpSpPr>
        </xdr:nvGrpSpPr>
        <xdr:grpSpPr bwMode="auto">
          <a:xfrm>
            <a:off x="2022" y="494"/>
            <a:ext cx="39" cy="107"/>
            <a:chOff x="2022" y="494"/>
            <a:chExt cx="39" cy="107"/>
          </a:xfrm>
        </xdr:grpSpPr>
        <xdr:sp macro="" textlink="">
          <xdr:nvSpPr>
            <xdr:cNvPr id="58" name="Freeform 4869">
              <a:extLst>
                <a:ext uri="{FF2B5EF4-FFF2-40B4-BE49-F238E27FC236}">
                  <a16:creationId xmlns:a16="http://schemas.microsoft.com/office/drawing/2014/main" id="{7F666BE9-50D2-7DE1-B8FD-CDDE916C57BE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45 2022"/>
                <a:gd name="T1" fmla="*/ T0 w 39"/>
                <a:gd name="T2" fmla="+- 0 522 494"/>
                <a:gd name="T3" fmla="*/ 522 h 107"/>
                <a:gd name="T4" fmla="+- 0 2035 2022"/>
                <a:gd name="T5" fmla="*/ T4 w 39"/>
                <a:gd name="T6" fmla="+- 0 522 494"/>
                <a:gd name="T7" fmla="*/ 522 h 107"/>
                <a:gd name="T8" fmla="+- 0 2035 2022"/>
                <a:gd name="T9" fmla="*/ T8 w 39"/>
                <a:gd name="T10" fmla="+- 0 521 494"/>
                <a:gd name="T11" fmla="*/ 521 h 107"/>
                <a:gd name="T12" fmla="+- 0 2035 2022"/>
                <a:gd name="T13" fmla="*/ T12 w 39"/>
                <a:gd name="T14" fmla="+- 0 513 494"/>
                <a:gd name="T15" fmla="*/ 513 h 107"/>
                <a:gd name="T16" fmla="+- 0 2035 2022"/>
                <a:gd name="T17" fmla="*/ T16 w 39"/>
                <a:gd name="T18" fmla="+- 0 506 494"/>
                <a:gd name="T19" fmla="*/ 506 h 107"/>
                <a:gd name="T20" fmla="+- 0 2042 2022"/>
                <a:gd name="T21" fmla="*/ T20 w 39"/>
                <a:gd name="T22" fmla="+- 0 500 494"/>
                <a:gd name="T23" fmla="*/ 500 h 107"/>
                <a:gd name="T24" fmla="+- 0 2046 2022"/>
                <a:gd name="T25" fmla="*/ T24 w 39"/>
                <a:gd name="T26" fmla="+- 0 496 494"/>
                <a:gd name="T27" fmla="*/ 496 h 107"/>
                <a:gd name="T28" fmla="+- 0 2052 2022"/>
                <a:gd name="T29" fmla="*/ T28 w 39"/>
                <a:gd name="T30" fmla="+- 0 494 494"/>
                <a:gd name="T31" fmla="*/ 494 h 107"/>
                <a:gd name="T32" fmla="+- 0 2061 2022"/>
                <a:gd name="T33" fmla="*/ T32 w 39"/>
                <a:gd name="T34" fmla="+- 0 494 494"/>
                <a:gd name="T35" fmla="*/ 494 h 107"/>
                <a:gd name="T36" fmla="+- 0 2061 2022"/>
                <a:gd name="T37" fmla="*/ T36 w 39"/>
                <a:gd name="T38" fmla="+- 0 503 494"/>
                <a:gd name="T39" fmla="*/ 503 h 107"/>
                <a:gd name="T40" fmla="+- 0 2056 2022"/>
                <a:gd name="T41" fmla="*/ T40 w 39"/>
                <a:gd name="T42" fmla="+- 0 503 494"/>
                <a:gd name="T43" fmla="*/ 503 h 107"/>
                <a:gd name="T44" fmla="+- 0 2053 2022"/>
                <a:gd name="T45" fmla="*/ T44 w 39"/>
                <a:gd name="T46" fmla="+- 0 505 494"/>
                <a:gd name="T47" fmla="*/ 505 h 107"/>
                <a:gd name="T48" fmla="+- 0 2050 2022"/>
                <a:gd name="T49" fmla="*/ T48 w 39"/>
                <a:gd name="T50" fmla="+- 0 507 494"/>
                <a:gd name="T51" fmla="*/ 507 h 107"/>
                <a:gd name="T52" fmla="+- 0 2045 2022"/>
                <a:gd name="T53" fmla="*/ T52 w 39"/>
                <a:gd name="T54" fmla="+- 0 510 494"/>
                <a:gd name="T55" fmla="*/ 510 h 107"/>
                <a:gd name="T56" fmla="+- 0 2045 2022"/>
                <a:gd name="T57" fmla="*/ T56 w 39"/>
                <a:gd name="T58" fmla="+- 0 515 494"/>
                <a:gd name="T59" fmla="*/ 515 h 107"/>
                <a:gd name="T60" fmla="+- 0 2045 2022"/>
                <a:gd name="T61" fmla="*/ T60 w 39"/>
                <a:gd name="T62" fmla="+- 0 521 494"/>
                <a:gd name="T63" fmla="*/ 521 h 107"/>
                <a:gd name="T64" fmla="+- 0 2045 2022"/>
                <a:gd name="T65" fmla="*/ T64 w 39"/>
                <a:gd name="T66" fmla="+- 0 522 494"/>
                <a:gd name="T67" fmla="*/ 522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39" h="107">
                  <a:moveTo>
                    <a:pt x="23" y="28"/>
                  </a:moveTo>
                  <a:lnTo>
                    <a:pt x="13" y="28"/>
                  </a:lnTo>
                  <a:lnTo>
                    <a:pt x="13" y="27"/>
                  </a:lnTo>
                  <a:lnTo>
                    <a:pt x="13" y="19"/>
                  </a:lnTo>
                  <a:lnTo>
                    <a:pt x="13" y="12"/>
                  </a:lnTo>
                  <a:lnTo>
                    <a:pt x="20" y="6"/>
                  </a:lnTo>
                  <a:lnTo>
                    <a:pt x="24" y="2"/>
                  </a:lnTo>
                  <a:lnTo>
                    <a:pt x="30" y="0"/>
                  </a:lnTo>
                  <a:lnTo>
                    <a:pt x="39" y="0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31" y="11"/>
                  </a:lnTo>
                  <a:lnTo>
                    <a:pt x="28" y="13"/>
                  </a:lnTo>
                  <a:lnTo>
                    <a:pt x="23" y="16"/>
                  </a:lnTo>
                  <a:lnTo>
                    <a:pt x="23" y="21"/>
                  </a:lnTo>
                  <a:lnTo>
                    <a:pt x="23" y="27"/>
                  </a:lnTo>
                  <a:lnTo>
                    <a:pt x="23" y="2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9" name="Freeform 4868">
              <a:extLst>
                <a:ext uri="{FF2B5EF4-FFF2-40B4-BE49-F238E27FC236}">
                  <a16:creationId xmlns:a16="http://schemas.microsoft.com/office/drawing/2014/main" id="{F0228B23-7DD7-DB9C-456C-61C8110BA0D7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58 2022"/>
                <a:gd name="T1" fmla="*/ T0 w 39"/>
                <a:gd name="T2" fmla="+- 0 533 494"/>
                <a:gd name="T3" fmla="*/ 533 h 107"/>
                <a:gd name="T4" fmla="+- 0 2022 2022"/>
                <a:gd name="T5" fmla="*/ T4 w 39"/>
                <a:gd name="T6" fmla="+- 0 533 494"/>
                <a:gd name="T7" fmla="*/ 533 h 107"/>
                <a:gd name="T8" fmla="+- 0 2022 2022"/>
                <a:gd name="T9" fmla="*/ T8 w 39"/>
                <a:gd name="T10" fmla="+- 0 522 494"/>
                <a:gd name="T11" fmla="*/ 522 h 107"/>
                <a:gd name="T12" fmla="+- 0 2058 2022"/>
                <a:gd name="T13" fmla="*/ T12 w 39"/>
                <a:gd name="T14" fmla="+- 0 522 494"/>
                <a:gd name="T15" fmla="*/ 522 h 107"/>
                <a:gd name="T16" fmla="+- 0 2058 2022"/>
                <a:gd name="T17" fmla="*/ T16 w 39"/>
                <a:gd name="T18" fmla="+- 0 533 494"/>
                <a:gd name="T19" fmla="*/ 533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36" y="39"/>
                  </a:moveTo>
                  <a:lnTo>
                    <a:pt x="0" y="39"/>
                  </a:lnTo>
                  <a:lnTo>
                    <a:pt x="0" y="28"/>
                  </a:lnTo>
                  <a:lnTo>
                    <a:pt x="36" y="28"/>
                  </a:lnTo>
                  <a:lnTo>
                    <a:pt x="36" y="3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0" name="Freeform 4867">
              <a:extLst>
                <a:ext uri="{FF2B5EF4-FFF2-40B4-BE49-F238E27FC236}">
                  <a16:creationId xmlns:a16="http://schemas.microsoft.com/office/drawing/2014/main" id="{A4E822D4-A311-8949-79B4-643B5CF4C1AB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45 2022"/>
                <a:gd name="T1" fmla="*/ T0 w 39"/>
                <a:gd name="T2" fmla="+- 0 591 494"/>
                <a:gd name="T3" fmla="*/ 591 h 107"/>
                <a:gd name="T4" fmla="+- 0 2035 2022"/>
                <a:gd name="T5" fmla="*/ T4 w 39"/>
                <a:gd name="T6" fmla="+- 0 591 494"/>
                <a:gd name="T7" fmla="*/ 591 h 107"/>
                <a:gd name="T8" fmla="+- 0 2035 2022"/>
                <a:gd name="T9" fmla="*/ T8 w 39"/>
                <a:gd name="T10" fmla="+- 0 533 494"/>
                <a:gd name="T11" fmla="*/ 533 h 107"/>
                <a:gd name="T12" fmla="+- 0 2045 2022"/>
                <a:gd name="T13" fmla="*/ T12 w 39"/>
                <a:gd name="T14" fmla="+- 0 533 494"/>
                <a:gd name="T15" fmla="*/ 533 h 107"/>
                <a:gd name="T16" fmla="+- 0 2045 2022"/>
                <a:gd name="T17" fmla="*/ T16 w 39"/>
                <a:gd name="T18" fmla="+- 0 591 494"/>
                <a:gd name="T19" fmla="*/ 591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23" y="97"/>
                  </a:moveTo>
                  <a:lnTo>
                    <a:pt x="13" y="97"/>
                  </a:lnTo>
                  <a:lnTo>
                    <a:pt x="13" y="39"/>
                  </a:lnTo>
                  <a:lnTo>
                    <a:pt x="23" y="39"/>
                  </a:lnTo>
                  <a:lnTo>
                    <a:pt x="23" y="9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1" name="Freeform 4866">
              <a:extLst>
                <a:ext uri="{FF2B5EF4-FFF2-40B4-BE49-F238E27FC236}">
                  <a16:creationId xmlns:a16="http://schemas.microsoft.com/office/drawing/2014/main" id="{480739DF-713E-10DA-65FC-CBC09F778492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58 2022"/>
                <a:gd name="T1" fmla="*/ T0 w 39"/>
                <a:gd name="T2" fmla="+- 0 601 494"/>
                <a:gd name="T3" fmla="*/ 601 h 107"/>
                <a:gd name="T4" fmla="+- 0 2022 2022"/>
                <a:gd name="T5" fmla="*/ T4 w 39"/>
                <a:gd name="T6" fmla="+- 0 601 494"/>
                <a:gd name="T7" fmla="*/ 601 h 107"/>
                <a:gd name="T8" fmla="+- 0 2022 2022"/>
                <a:gd name="T9" fmla="*/ T8 w 39"/>
                <a:gd name="T10" fmla="+- 0 591 494"/>
                <a:gd name="T11" fmla="*/ 591 h 107"/>
                <a:gd name="T12" fmla="+- 0 2058 2022"/>
                <a:gd name="T13" fmla="*/ T12 w 39"/>
                <a:gd name="T14" fmla="+- 0 591 494"/>
                <a:gd name="T15" fmla="*/ 591 h 107"/>
                <a:gd name="T16" fmla="+- 0 2058 2022"/>
                <a:gd name="T17" fmla="*/ T16 w 39"/>
                <a:gd name="T18" fmla="+- 0 601 494"/>
                <a:gd name="T19" fmla="*/ 601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36" y="107"/>
                  </a:moveTo>
                  <a:lnTo>
                    <a:pt x="0" y="107"/>
                  </a:lnTo>
                  <a:lnTo>
                    <a:pt x="0" y="97"/>
                  </a:lnTo>
                  <a:lnTo>
                    <a:pt x="36" y="97"/>
                  </a:lnTo>
                  <a:lnTo>
                    <a:pt x="36" y="10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99036043-586D-FD5D-474C-539F8FA4988A}"/>
              </a:ext>
            </a:extLst>
          </xdr:cNvPr>
          <xdr:cNvGrpSpPr>
            <a:grpSpLocks/>
          </xdr:cNvGrpSpPr>
        </xdr:nvGrpSpPr>
        <xdr:grpSpPr bwMode="auto">
          <a:xfrm>
            <a:off x="2076" y="522"/>
            <a:ext cx="76" cy="79"/>
            <a:chOff x="2076" y="522"/>
            <a:chExt cx="76" cy="79"/>
          </a:xfrm>
        </xdr:grpSpPr>
        <xdr:sp macro="" textlink="">
          <xdr:nvSpPr>
            <xdr:cNvPr id="55" name="Freeform 4864">
              <a:extLst>
                <a:ext uri="{FF2B5EF4-FFF2-40B4-BE49-F238E27FC236}">
                  <a16:creationId xmlns:a16="http://schemas.microsoft.com/office/drawing/2014/main" id="{90BEF1BB-1B99-4087-DF0E-D348411194B4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01 2076"/>
                <a:gd name="T1" fmla="*/ T0 w 76"/>
                <a:gd name="T2" fmla="+- 0 601 522"/>
                <a:gd name="T3" fmla="*/ 601 h 79"/>
                <a:gd name="T4" fmla="+- 0 2087 2076"/>
                <a:gd name="T5" fmla="*/ T4 w 76"/>
                <a:gd name="T6" fmla="+- 0 591 522"/>
                <a:gd name="T7" fmla="*/ 591 h 79"/>
                <a:gd name="T8" fmla="+- 0 2078 2076"/>
                <a:gd name="T9" fmla="*/ T8 w 76"/>
                <a:gd name="T10" fmla="+- 0 573 522"/>
                <a:gd name="T11" fmla="*/ 573 h 79"/>
                <a:gd name="T12" fmla="+- 0 2076 2076"/>
                <a:gd name="T13" fmla="*/ T12 w 76"/>
                <a:gd name="T14" fmla="+- 0 545 522"/>
                <a:gd name="T15" fmla="*/ 545 h 79"/>
                <a:gd name="T16" fmla="+- 0 2091 2076"/>
                <a:gd name="T17" fmla="*/ T16 w 76"/>
                <a:gd name="T18" fmla="+- 0 529 522"/>
                <a:gd name="T19" fmla="*/ 529 h 79"/>
                <a:gd name="T20" fmla="+- 0 2112 2076"/>
                <a:gd name="T21" fmla="*/ T20 w 76"/>
                <a:gd name="T22" fmla="+- 0 522 522"/>
                <a:gd name="T23" fmla="*/ 522 h 79"/>
                <a:gd name="T24" fmla="+- 0 2130 2076"/>
                <a:gd name="T25" fmla="*/ T24 w 76"/>
                <a:gd name="T26" fmla="+- 0 527 522"/>
                <a:gd name="T27" fmla="*/ 527 h 79"/>
                <a:gd name="T28" fmla="+- 0 2136 2076"/>
                <a:gd name="T29" fmla="*/ T28 w 76"/>
                <a:gd name="T30" fmla="+- 0 532 522"/>
                <a:gd name="T31" fmla="*/ 532 h 79"/>
                <a:gd name="T32" fmla="+- 0 2098 2076"/>
                <a:gd name="T33" fmla="*/ T32 w 76"/>
                <a:gd name="T34" fmla="+- 0 532 522"/>
                <a:gd name="T35" fmla="*/ 532 h 79"/>
                <a:gd name="T36" fmla="+- 0 2085 2076"/>
                <a:gd name="T37" fmla="*/ T36 w 76"/>
                <a:gd name="T38" fmla="+- 0 543 522"/>
                <a:gd name="T39" fmla="*/ 543 h 79"/>
                <a:gd name="T40" fmla="+- 0 2083 2076"/>
                <a:gd name="T41" fmla="*/ T40 w 76"/>
                <a:gd name="T42" fmla="+- 0 557 522"/>
                <a:gd name="T43" fmla="*/ 557 h 79"/>
                <a:gd name="T44" fmla="+- 0 2150 2076"/>
                <a:gd name="T45" fmla="*/ T44 w 76"/>
                <a:gd name="T46" fmla="+- 0 557 522"/>
                <a:gd name="T47" fmla="*/ 557 h 79"/>
                <a:gd name="T48" fmla="+- 0 2152 2076"/>
                <a:gd name="T49" fmla="*/ T48 w 76"/>
                <a:gd name="T50" fmla="+- 0 563 522"/>
                <a:gd name="T51" fmla="*/ 563 h 79"/>
                <a:gd name="T52" fmla="+- 0 2152 2076"/>
                <a:gd name="T53" fmla="*/ T52 w 76"/>
                <a:gd name="T54" fmla="+- 0 566 522"/>
                <a:gd name="T55" fmla="*/ 566 h 79"/>
                <a:gd name="T56" fmla="+- 0 2083 2076"/>
                <a:gd name="T57" fmla="*/ T56 w 76"/>
                <a:gd name="T58" fmla="+- 0 566 522"/>
                <a:gd name="T59" fmla="*/ 566 h 79"/>
                <a:gd name="T60" fmla="+- 0 2084 2076"/>
                <a:gd name="T61" fmla="*/ T60 w 76"/>
                <a:gd name="T62" fmla="+- 0 581 522"/>
                <a:gd name="T63" fmla="*/ 581 h 79"/>
                <a:gd name="T64" fmla="+- 0 2097 2076"/>
                <a:gd name="T65" fmla="*/ T64 w 76"/>
                <a:gd name="T66" fmla="+- 0 593 522"/>
                <a:gd name="T67" fmla="*/ 593 h 79"/>
                <a:gd name="T68" fmla="+- 0 2135 2076"/>
                <a:gd name="T69" fmla="*/ T68 w 76"/>
                <a:gd name="T70" fmla="+- 0 593 522"/>
                <a:gd name="T71" fmla="*/ 593 h 79"/>
                <a:gd name="T72" fmla="+- 0 2126 2076"/>
                <a:gd name="T73" fmla="*/ T72 w 76"/>
                <a:gd name="T74" fmla="+- 0 598 522"/>
                <a:gd name="T75" fmla="*/ 598 h 79"/>
                <a:gd name="T76" fmla="+- 0 2101 2076"/>
                <a:gd name="T77" fmla="*/ T76 w 76"/>
                <a:gd name="T78" fmla="+- 0 601 522"/>
                <a:gd name="T79" fmla="*/ 601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6" h="79">
                  <a:moveTo>
                    <a:pt x="25" y="79"/>
                  </a:moveTo>
                  <a:lnTo>
                    <a:pt x="11" y="69"/>
                  </a:lnTo>
                  <a:lnTo>
                    <a:pt x="2" y="51"/>
                  </a:lnTo>
                  <a:lnTo>
                    <a:pt x="0" y="23"/>
                  </a:lnTo>
                  <a:lnTo>
                    <a:pt x="15" y="7"/>
                  </a:lnTo>
                  <a:lnTo>
                    <a:pt x="36" y="0"/>
                  </a:lnTo>
                  <a:lnTo>
                    <a:pt x="54" y="5"/>
                  </a:lnTo>
                  <a:lnTo>
                    <a:pt x="60" y="10"/>
                  </a:lnTo>
                  <a:lnTo>
                    <a:pt x="22" y="10"/>
                  </a:lnTo>
                  <a:lnTo>
                    <a:pt x="9" y="21"/>
                  </a:lnTo>
                  <a:lnTo>
                    <a:pt x="7" y="35"/>
                  </a:lnTo>
                  <a:lnTo>
                    <a:pt x="74" y="35"/>
                  </a:lnTo>
                  <a:lnTo>
                    <a:pt x="76" y="41"/>
                  </a:lnTo>
                  <a:lnTo>
                    <a:pt x="76" y="44"/>
                  </a:lnTo>
                  <a:lnTo>
                    <a:pt x="7" y="44"/>
                  </a:lnTo>
                  <a:lnTo>
                    <a:pt x="8" y="59"/>
                  </a:lnTo>
                  <a:lnTo>
                    <a:pt x="21" y="71"/>
                  </a:lnTo>
                  <a:lnTo>
                    <a:pt x="59" y="71"/>
                  </a:lnTo>
                  <a:lnTo>
                    <a:pt x="50" y="76"/>
                  </a:lnTo>
                  <a:lnTo>
                    <a:pt x="25" y="7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6" name="Freeform 4863">
              <a:extLst>
                <a:ext uri="{FF2B5EF4-FFF2-40B4-BE49-F238E27FC236}">
                  <a16:creationId xmlns:a16="http://schemas.microsoft.com/office/drawing/2014/main" id="{46CEA48F-88A9-E3E9-D88B-8DF91350E6D2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50 2076"/>
                <a:gd name="T1" fmla="*/ T0 w 76"/>
                <a:gd name="T2" fmla="+- 0 557 522"/>
                <a:gd name="T3" fmla="*/ 557 h 79"/>
                <a:gd name="T4" fmla="+- 0 2142 2076"/>
                <a:gd name="T5" fmla="*/ T4 w 76"/>
                <a:gd name="T6" fmla="+- 0 557 522"/>
                <a:gd name="T7" fmla="*/ 557 h 79"/>
                <a:gd name="T8" fmla="+- 0 2139 2076"/>
                <a:gd name="T9" fmla="*/ T8 w 76"/>
                <a:gd name="T10" fmla="+- 0 543 522"/>
                <a:gd name="T11" fmla="*/ 543 h 79"/>
                <a:gd name="T12" fmla="+- 0 2127 2076"/>
                <a:gd name="T13" fmla="*/ T12 w 76"/>
                <a:gd name="T14" fmla="+- 0 532 522"/>
                <a:gd name="T15" fmla="*/ 532 h 79"/>
                <a:gd name="T16" fmla="+- 0 2136 2076"/>
                <a:gd name="T17" fmla="*/ T16 w 76"/>
                <a:gd name="T18" fmla="+- 0 532 522"/>
                <a:gd name="T19" fmla="*/ 532 h 79"/>
                <a:gd name="T20" fmla="+- 0 2146 2076"/>
                <a:gd name="T21" fmla="*/ T20 w 76"/>
                <a:gd name="T22" fmla="+- 0 541 522"/>
                <a:gd name="T23" fmla="*/ 541 h 79"/>
                <a:gd name="T24" fmla="+- 0 2150 2076"/>
                <a:gd name="T25" fmla="*/ T24 w 76"/>
                <a:gd name="T26" fmla="+- 0 557 522"/>
                <a:gd name="T27" fmla="*/ 557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76" h="79">
                  <a:moveTo>
                    <a:pt x="74" y="35"/>
                  </a:moveTo>
                  <a:lnTo>
                    <a:pt x="66" y="35"/>
                  </a:lnTo>
                  <a:lnTo>
                    <a:pt x="63" y="21"/>
                  </a:lnTo>
                  <a:lnTo>
                    <a:pt x="51" y="10"/>
                  </a:lnTo>
                  <a:lnTo>
                    <a:pt x="60" y="10"/>
                  </a:lnTo>
                  <a:lnTo>
                    <a:pt x="70" y="19"/>
                  </a:lnTo>
                  <a:lnTo>
                    <a:pt x="74" y="3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7" name="Freeform 4862">
              <a:extLst>
                <a:ext uri="{FF2B5EF4-FFF2-40B4-BE49-F238E27FC236}">
                  <a16:creationId xmlns:a16="http://schemas.microsoft.com/office/drawing/2014/main" id="{BF14D301-37DC-3D46-5F81-988C29F6378F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35 2076"/>
                <a:gd name="T1" fmla="*/ T0 w 76"/>
                <a:gd name="T2" fmla="+- 0 593 522"/>
                <a:gd name="T3" fmla="*/ 593 h 79"/>
                <a:gd name="T4" fmla="+- 0 2123 2076"/>
                <a:gd name="T5" fmla="*/ T4 w 76"/>
                <a:gd name="T6" fmla="+- 0 593 522"/>
                <a:gd name="T7" fmla="*/ 593 h 79"/>
                <a:gd name="T8" fmla="+- 0 2132 2076"/>
                <a:gd name="T9" fmla="*/ T8 w 76"/>
                <a:gd name="T10" fmla="+- 0 587 522"/>
                <a:gd name="T11" fmla="*/ 587 h 79"/>
                <a:gd name="T12" fmla="+- 0 2137 2076"/>
                <a:gd name="T13" fmla="*/ T12 w 76"/>
                <a:gd name="T14" fmla="+- 0 578 522"/>
                <a:gd name="T15" fmla="*/ 578 h 79"/>
                <a:gd name="T16" fmla="+- 0 2138 2076"/>
                <a:gd name="T17" fmla="*/ T16 w 76"/>
                <a:gd name="T18" fmla="+- 0 578 522"/>
                <a:gd name="T19" fmla="*/ 578 h 79"/>
                <a:gd name="T20" fmla="+- 0 2149 2076"/>
                <a:gd name="T21" fmla="*/ T20 w 76"/>
                <a:gd name="T22" fmla="+- 0 578 522"/>
                <a:gd name="T23" fmla="*/ 578 h 79"/>
                <a:gd name="T24" fmla="+- 0 2142 2076"/>
                <a:gd name="T25" fmla="*/ T24 w 76"/>
                <a:gd name="T26" fmla="+- 0 588 522"/>
                <a:gd name="T27" fmla="*/ 588 h 79"/>
                <a:gd name="T28" fmla="+- 0 2135 2076"/>
                <a:gd name="T29" fmla="*/ T28 w 76"/>
                <a:gd name="T30" fmla="+- 0 593 522"/>
                <a:gd name="T31" fmla="*/ 593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6" h="79">
                  <a:moveTo>
                    <a:pt x="59" y="71"/>
                  </a:moveTo>
                  <a:lnTo>
                    <a:pt x="47" y="71"/>
                  </a:lnTo>
                  <a:lnTo>
                    <a:pt x="56" y="65"/>
                  </a:lnTo>
                  <a:lnTo>
                    <a:pt x="61" y="56"/>
                  </a:lnTo>
                  <a:lnTo>
                    <a:pt x="62" y="56"/>
                  </a:lnTo>
                  <a:lnTo>
                    <a:pt x="73" y="56"/>
                  </a:lnTo>
                  <a:lnTo>
                    <a:pt x="66" y="66"/>
                  </a:lnTo>
                  <a:lnTo>
                    <a:pt x="59" y="7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09955C41-6276-22BB-2672-6F1880F0AACD}"/>
              </a:ext>
            </a:extLst>
          </xdr:cNvPr>
          <xdr:cNvGrpSpPr>
            <a:grpSpLocks/>
          </xdr:cNvGrpSpPr>
        </xdr:nvGrpSpPr>
        <xdr:grpSpPr bwMode="auto">
          <a:xfrm>
            <a:off x="2228" y="520"/>
            <a:ext cx="78" cy="81"/>
            <a:chOff x="2228" y="520"/>
            <a:chExt cx="78" cy="81"/>
          </a:xfrm>
        </xdr:grpSpPr>
        <xdr:sp macro="" textlink="">
          <xdr:nvSpPr>
            <xdr:cNvPr id="51" name="Freeform 4860">
              <a:extLst>
                <a:ext uri="{FF2B5EF4-FFF2-40B4-BE49-F238E27FC236}">
                  <a16:creationId xmlns:a16="http://schemas.microsoft.com/office/drawing/2014/main" id="{FA4F360E-D568-B32B-F334-0ACB9A9AEA61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274 2228"/>
                <a:gd name="T1" fmla="*/ T0 w 78"/>
                <a:gd name="T2" fmla="+- 0 600 520"/>
                <a:gd name="T3" fmla="*/ 600 h 81"/>
                <a:gd name="T4" fmla="+- 0 2252 2228"/>
                <a:gd name="T5" fmla="*/ T4 w 78"/>
                <a:gd name="T6" fmla="+- 0 600 520"/>
                <a:gd name="T7" fmla="*/ 600 h 81"/>
                <a:gd name="T8" fmla="+- 0 2238 2228"/>
                <a:gd name="T9" fmla="*/ T8 w 78"/>
                <a:gd name="T10" fmla="+- 0 590 520"/>
                <a:gd name="T11" fmla="*/ 590 h 81"/>
                <a:gd name="T12" fmla="+- 0 2229 2228"/>
                <a:gd name="T13" fmla="*/ T12 w 78"/>
                <a:gd name="T14" fmla="+- 0 571 520"/>
                <a:gd name="T15" fmla="*/ 571 h 81"/>
                <a:gd name="T16" fmla="+- 0 2228 2228"/>
                <a:gd name="T17" fmla="*/ T16 w 78"/>
                <a:gd name="T18" fmla="+- 0 543 520"/>
                <a:gd name="T19" fmla="*/ 543 h 81"/>
                <a:gd name="T20" fmla="+- 0 2243 2228"/>
                <a:gd name="T21" fmla="*/ T20 w 78"/>
                <a:gd name="T22" fmla="+- 0 527 520"/>
                <a:gd name="T23" fmla="*/ 527 h 81"/>
                <a:gd name="T24" fmla="+- 0 2266 2228"/>
                <a:gd name="T25" fmla="*/ T24 w 78"/>
                <a:gd name="T26" fmla="+- 0 520 520"/>
                <a:gd name="T27" fmla="*/ 520 h 81"/>
                <a:gd name="T28" fmla="+- 0 2272 2228"/>
                <a:gd name="T29" fmla="*/ T28 w 78"/>
                <a:gd name="T30" fmla="+- 0 520 520"/>
                <a:gd name="T31" fmla="*/ 520 h 81"/>
                <a:gd name="T32" fmla="+- 0 2286 2228"/>
                <a:gd name="T33" fmla="*/ T32 w 78"/>
                <a:gd name="T34" fmla="+- 0 522 520"/>
                <a:gd name="T35" fmla="*/ 522 h 81"/>
                <a:gd name="T36" fmla="+- 0 2293 2228"/>
                <a:gd name="T37" fmla="*/ T36 w 78"/>
                <a:gd name="T38" fmla="+- 0 531 520"/>
                <a:gd name="T39" fmla="*/ 531 h 81"/>
                <a:gd name="T40" fmla="+- 0 2259 2228"/>
                <a:gd name="T41" fmla="*/ T40 w 78"/>
                <a:gd name="T42" fmla="+- 0 531 520"/>
                <a:gd name="T43" fmla="*/ 531 h 81"/>
                <a:gd name="T44" fmla="+- 0 2242 2228"/>
                <a:gd name="T45" fmla="*/ T44 w 78"/>
                <a:gd name="T46" fmla="+- 0 542 520"/>
                <a:gd name="T47" fmla="*/ 542 h 81"/>
                <a:gd name="T48" fmla="+- 0 2235 2228"/>
                <a:gd name="T49" fmla="*/ T48 w 78"/>
                <a:gd name="T50" fmla="+- 0 566 520"/>
                <a:gd name="T51" fmla="*/ 566 h 81"/>
                <a:gd name="T52" fmla="+- 0 2245 2228"/>
                <a:gd name="T53" fmla="*/ T52 w 78"/>
                <a:gd name="T54" fmla="+- 0 585 520"/>
                <a:gd name="T55" fmla="*/ 585 h 81"/>
                <a:gd name="T56" fmla="+- 0 2266 2228"/>
                <a:gd name="T57" fmla="*/ T56 w 78"/>
                <a:gd name="T58" fmla="+- 0 592 520"/>
                <a:gd name="T59" fmla="*/ 592 h 81"/>
                <a:gd name="T60" fmla="+- 0 2306 2228"/>
                <a:gd name="T61" fmla="*/ T60 w 78"/>
                <a:gd name="T62" fmla="+- 0 592 520"/>
                <a:gd name="T63" fmla="*/ 592 h 81"/>
                <a:gd name="T64" fmla="+- 0 2306 2228"/>
                <a:gd name="T65" fmla="*/ T64 w 78"/>
                <a:gd name="T66" fmla="+- 0 593 520"/>
                <a:gd name="T67" fmla="*/ 593 h 81"/>
                <a:gd name="T68" fmla="+- 0 2291 2228"/>
                <a:gd name="T69" fmla="*/ T68 w 78"/>
                <a:gd name="T70" fmla="+- 0 593 520"/>
                <a:gd name="T71" fmla="*/ 593 h 81"/>
                <a:gd name="T72" fmla="+- 0 2274 2228"/>
                <a:gd name="T73" fmla="*/ T72 w 78"/>
                <a:gd name="T74" fmla="+- 0 600 520"/>
                <a:gd name="T75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</a:cxnLst>
              <a:rect l="0" t="0" r="r" b="b"/>
              <a:pathLst>
                <a:path w="78" h="81">
                  <a:moveTo>
                    <a:pt x="46" y="80"/>
                  </a:moveTo>
                  <a:lnTo>
                    <a:pt x="24" y="80"/>
                  </a:lnTo>
                  <a:lnTo>
                    <a:pt x="10" y="70"/>
                  </a:lnTo>
                  <a:lnTo>
                    <a:pt x="1" y="51"/>
                  </a:lnTo>
                  <a:lnTo>
                    <a:pt x="0" y="23"/>
                  </a:lnTo>
                  <a:lnTo>
                    <a:pt x="15" y="7"/>
                  </a:lnTo>
                  <a:lnTo>
                    <a:pt x="38" y="0"/>
                  </a:lnTo>
                  <a:lnTo>
                    <a:pt x="44" y="0"/>
                  </a:lnTo>
                  <a:lnTo>
                    <a:pt x="58" y="2"/>
                  </a:lnTo>
                  <a:lnTo>
                    <a:pt x="65" y="11"/>
                  </a:lnTo>
                  <a:lnTo>
                    <a:pt x="31" y="11"/>
                  </a:lnTo>
                  <a:lnTo>
                    <a:pt x="14" y="22"/>
                  </a:lnTo>
                  <a:lnTo>
                    <a:pt x="7" y="46"/>
                  </a:lnTo>
                  <a:lnTo>
                    <a:pt x="17" y="65"/>
                  </a:lnTo>
                  <a:lnTo>
                    <a:pt x="38" y="72"/>
                  </a:lnTo>
                  <a:lnTo>
                    <a:pt x="78" y="72"/>
                  </a:lnTo>
                  <a:lnTo>
                    <a:pt x="78" y="73"/>
                  </a:lnTo>
                  <a:lnTo>
                    <a:pt x="63" y="73"/>
                  </a:lnTo>
                  <a:lnTo>
                    <a:pt x="46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2" name="Freeform 4859">
              <a:extLst>
                <a:ext uri="{FF2B5EF4-FFF2-40B4-BE49-F238E27FC236}">
                  <a16:creationId xmlns:a16="http://schemas.microsoft.com/office/drawing/2014/main" id="{411B5E70-44B0-D863-20EB-5D1752CE37CA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535 520"/>
                <a:gd name="T3" fmla="*/ 535 h 81"/>
                <a:gd name="T4" fmla="+- 0 2295 2228"/>
                <a:gd name="T5" fmla="*/ T4 w 78"/>
                <a:gd name="T6" fmla="+- 0 535 520"/>
                <a:gd name="T7" fmla="*/ 535 h 81"/>
                <a:gd name="T8" fmla="+- 0 2295 2228"/>
                <a:gd name="T9" fmla="*/ T8 w 78"/>
                <a:gd name="T10" fmla="+- 0 522 520"/>
                <a:gd name="T11" fmla="*/ 522 h 81"/>
                <a:gd name="T12" fmla="+- 0 2306 2228"/>
                <a:gd name="T13" fmla="*/ T12 w 78"/>
                <a:gd name="T14" fmla="+- 0 522 520"/>
                <a:gd name="T15" fmla="*/ 522 h 81"/>
                <a:gd name="T16" fmla="+- 0 2306 2228"/>
                <a:gd name="T17" fmla="*/ T16 w 78"/>
                <a:gd name="T18" fmla="+- 0 535 520"/>
                <a:gd name="T19" fmla="*/ 535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81">
                  <a:moveTo>
                    <a:pt x="78" y="15"/>
                  </a:moveTo>
                  <a:lnTo>
                    <a:pt x="67" y="15"/>
                  </a:lnTo>
                  <a:lnTo>
                    <a:pt x="67" y="2"/>
                  </a:lnTo>
                  <a:lnTo>
                    <a:pt x="78" y="2"/>
                  </a:lnTo>
                  <a:lnTo>
                    <a:pt x="78" y="1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3" name="Freeform 4858">
              <a:extLst>
                <a:ext uri="{FF2B5EF4-FFF2-40B4-BE49-F238E27FC236}">
                  <a16:creationId xmlns:a16="http://schemas.microsoft.com/office/drawing/2014/main" id="{990D4D98-CDBC-55E5-C4ED-E7570E26E85E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592 520"/>
                <a:gd name="T3" fmla="*/ 592 h 81"/>
                <a:gd name="T4" fmla="+- 0 2266 2228"/>
                <a:gd name="T5" fmla="*/ T4 w 78"/>
                <a:gd name="T6" fmla="+- 0 592 520"/>
                <a:gd name="T7" fmla="*/ 592 h 81"/>
                <a:gd name="T8" fmla="+- 0 2276 2228"/>
                <a:gd name="T9" fmla="*/ T8 w 78"/>
                <a:gd name="T10" fmla="+- 0 590 520"/>
                <a:gd name="T11" fmla="*/ 590 h 81"/>
                <a:gd name="T12" fmla="+- 0 2290 2228"/>
                <a:gd name="T13" fmla="*/ T12 w 78"/>
                <a:gd name="T14" fmla="+- 0 577 520"/>
                <a:gd name="T15" fmla="*/ 577 h 81"/>
                <a:gd name="T16" fmla="+- 0 2295 2228"/>
                <a:gd name="T17" fmla="*/ T16 w 78"/>
                <a:gd name="T18" fmla="+- 0 552 520"/>
                <a:gd name="T19" fmla="*/ 552 h 81"/>
                <a:gd name="T20" fmla="+- 0 2282 2228"/>
                <a:gd name="T21" fmla="*/ T20 w 78"/>
                <a:gd name="T22" fmla="+- 0 537 520"/>
                <a:gd name="T23" fmla="*/ 537 h 81"/>
                <a:gd name="T24" fmla="+- 0 2259 2228"/>
                <a:gd name="T25" fmla="*/ T24 w 78"/>
                <a:gd name="T26" fmla="+- 0 531 520"/>
                <a:gd name="T27" fmla="*/ 531 h 81"/>
                <a:gd name="T28" fmla="+- 0 2293 2228"/>
                <a:gd name="T29" fmla="*/ T28 w 78"/>
                <a:gd name="T30" fmla="+- 0 531 520"/>
                <a:gd name="T31" fmla="*/ 531 h 81"/>
                <a:gd name="T32" fmla="+- 0 2295 2228"/>
                <a:gd name="T33" fmla="*/ T32 w 78"/>
                <a:gd name="T34" fmla="+- 0 535 520"/>
                <a:gd name="T35" fmla="*/ 535 h 81"/>
                <a:gd name="T36" fmla="+- 0 2306 2228"/>
                <a:gd name="T37" fmla="*/ T36 w 78"/>
                <a:gd name="T38" fmla="+- 0 535 520"/>
                <a:gd name="T39" fmla="*/ 535 h 81"/>
                <a:gd name="T40" fmla="+- 0 2306 2228"/>
                <a:gd name="T41" fmla="*/ T40 w 78"/>
                <a:gd name="T42" fmla="+- 0 592 520"/>
                <a:gd name="T43" fmla="*/ 592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78" h="81">
                  <a:moveTo>
                    <a:pt x="78" y="72"/>
                  </a:moveTo>
                  <a:lnTo>
                    <a:pt x="38" y="72"/>
                  </a:lnTo>
                  <a:lnTo>
                    <a:pt x="48" y="70"/>
                  </a:lnTo>
                  <a:lnTo>
                    <a:pt x="62" y="57"/>
                  </a:lnTo>
                  <a:lnTo>
                    <a:pt x="67" y="32"/>
                  </a:lnTo>
                  <a:lnTo>
                    <a:pt x="54" y="17"/>
                  </a:lnTo>
                  <a:lnTo>
                    <a:pt x="31" y="11"/>
                  </a:lnTo>
                  <a:lnTo>
                    <a:pt x="65" y="11"/>
                  </a:lnTo>
                  <a:lnTo>
                    <a:pt x="67" y="15"/>
                  </a:lnTo>
                  <a:lnTo>
                    <a:pt x="78" y="15"/>
                  </a:lnTo>
                  <a:lnTo>
                    <a:pt x="78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4" name="Freeform 4857">
              <a:extLst>
                <a:ext uri="{FF2B5EF4-FFF2-40B4-BE49-F238E27FC236}">
                  <a16:creationId xmlns:a16="http://schemas.microsoft.com/office/drawing/2014/main" id="{8C516487-8CE7-6DA1-24ED-B9A727C0704E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600 520"/>
                <a:gd name="T3" fmla="*/ 600 h 81"/>
                <a:gd name="T4" fmla="+- 0 2295 2228"/>
                <a:gd name="T5" fmla="*/ T4 w 78"/>
                <a:gd name="T6" fmla="+- 0 600 520"/>
                <a:gd name="T7" fmla="*/ 600 h 81"/>
                <a:gd name="T8" fmla="+- 0 2291 2228"/>
                <a:gd name="T9" fmla="*/ T8 w 78"/>
                <a:gd name="T10" fmla="+- 0 593 520"/>
                <a:gd name="T11" fmla="*/ 593 h 81"/>
                <a:gd name="T12" fmla="+- 0 2306 2228"/>
                <a:gd name="T13" fmla="*/ T12 w 78"/>
                <a:gd name="T14" fmla="+- 0 593 520"/>
                <a:gd name="T15" fmla="*/ 593 h 81"/>
                <a:gd name="T16" fmla="+- 0 2306 2228"/>
                <a:gd name="T17" fmla="*/ T16 w 78"/>
                <a:gd name="T18" fmla="+- 0 600 520"/>
                <a:gd name="T19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81">
                  <a:moveTo>
                    <a:pt x="78" y="80"/>
                  </a:moveTo>
                  <a:lnTo>
                    <a:pt x="67" y="80"/>
                  </a:lnTo>
                  <a:lnTo>
                    <a:pt x="63" y="73"/>
                  </a:lnTo>
                  <a:lnTo>
                    <a:pt x="78" y="73"/>
                  </a:lnTo>
                  <a:lnTo>
                    <a:pt x="78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8DACD790-A940-F8FF-875A-7F50E4EFC891}"/>
              </a:ext>
            </a:extLst>
          </xdr:cNvPr>
          <xdr:cNvGrpSpPr>
            <a:grpSpLocks/>
          </xdr:cNvGrpSpPr>
        </xdr:nvGrpSpPr>
        <xdr:grpSpPr bwMode="auto">
          <a:xfrm>
            <a:off x="2328" y="522"/>
            <a:ext cx="69" cy="80"/>
            <a:chOff x="2328" y="522"/>
            <a:chExt cx="69" cy="80"/>
          </a:xfrm>
        </xdr:grpSpPr>
        <xdr:sp macro="" textlink="">
          <xdr:nvSpPr>
            <xdr:cNvPr id="48" name="Freeform 4855">
              <a:extLst>
                <a:ext uri="{FF2B5EF4-FFF2-40B4-BE49-F238E27FC236}">
                  <a16:creationId xmlns:a16="http://schemas.microsoft.com/office/drawing/2014/main" id="{122BB8FC-26C9-CF52-B66F-70A4FE3F53AC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77 2328"/>
                <a:gd name="T1" fmla="*/ T0 w 69"/>
                <a:gd name="T2" fmla="+- 0 602 522"/>
                <a:gd name="T3" fmla="*/ 602 h 80"/>
                <a:gd name="T4" fmla="+- 0 2346 2328"/>
                <a:gd name="T5" fmla="*/ T4 w 69"/>
                <a:gd name="T6" fmla="+- 0 602 522"/>
                <a:gd name="T7" fmla="*/ 602 h 80"/>
                <a:gd name="T8" fmla="+- 0 2338 2328"/>
                <a:gd name="T9" fmla="*/ T8 w 69"/>
                <a:gd name="T10" fmla="+- 0 595 522"/>
                <a:gd name="T11" fmla="*/ 595 h 80"/>
                <a:gd name="T12" fmla="+- 0 2334 2328"/>
                <a:gd name="T13" fmla="*/ T12 w 69"/>
                <a:gd name="T14" fmla="+- 0 591 522"/>
                <a:gd name="T15" fmla="*/ 591 h 80"/>
                <a:gd name="T16" fmla="+- 0 2330 2328"/>
                <a:gd name="T17" fmla="*/ T16 w 69"/>
                <a:gd name="T18" fmla="+- 0 585 522"/>
                <a:gd name="T19" fmla="*/ 585 h 80"/>
                <a:gd name="T20" fmla="+- 0 2328 2328"/>
                <a:gd name="T21" fmla="*/ T20 w 69"/>
                <a:gd name="T22" fmla="+- 0 576 522"/>
                <a:gd name="T23" fmla="*/ 576 h 80"/>
                <a:gd name="T24" fmla="+- 0 2328 2328"/>
                <a:gd name="T25" fmla="*/ T24 w 69"/>
                <a:gd name="T26" fmla="+- 0 522 522"/>
                <a:gd name="T27" fmla="*/ 522 h 80"/>
                <a:gd name="T28" fmla="+- 0 2339 2328"/>
                <a:gd name="T29" fmla="*/ T28 w 69"/>
                <a:gd name="T30" fmla="+- 0 522 522"/>
                <a:gd name="T31" fmla="*/ 522 h 80"/>
                <a:gd name="T32" fmla="+- 0 2339 2328"/>
                <a:gd name="T33" fmla="*/ T32 w 69"/>
                <a:gd name="T34" fmla="+- 0 574 522"/>
                <a:gd name="T35" fmla="*/ 574 h 80"/>
                <a:gd name="T36" fmla="+- 0 2340 2328"/>
                <a:gd name="T37" fmla="*/ T36 w 69"/>
                <a:gd name="T38" fmla="+- 0 581 522"/>
                <a:gd name="T39" fmla="*/ 581 h 80"/>
                <a:gd name="T40" fmla="+- 0 2344 2328"/>
                <a:gd name="T41" fmla="*/ T40 w 69"/>
                <a:gd name="T42" fmla="+- 0 585 522"/>
                <a:gd name="T43" fmla="*/ 585 h 80"/>
                <a:gd name="T44" fmla="+- 0 2348 2328"/>
                <a:gd name="T45" fmla="*/ T44 w 69"/>
                <a:gd name="T46" fmla="+- 0 590 522"/>
                <a:gd name="T47" fmla="*/ 590 h 80"/>
                <a:gd name="T48" fmla="+- 0 2354 2328"/>
                <a:gd name="T49" fmla="*/ T48 w 69"/>
                <a:gd name="T50" fmla="+- 0 592 522"/>
                <a:gd name="T51" fmla="*/ 592 h 80"/>
                <a:gd name="T52" fmla="+- 0 2384 2328"/>
                <a:gd name="T53" fmla="*/ T52 w 69"/>
                <a:gd name="T54" fmla="+- 0 592 522"/>
                <a:gd name="T55" fmla="*/ 592 h 80"/>
                <a:gd name="T56" fmla="+- 0 2383 2328"/>
                <a:gd name="T57" fmla="*/ T56 w 69"/>
                <a:gd name="T58" fmla="+- 0 594 522"/>
                <a:gd name="T59" fmla="*/ 594 h 80"/>
                <a:gd name="T60" fmla="+- 0 2377 2328"/>
                <a:gd name="T61" fmla="*/ T60 w 69"/>
                <a:gd name="T62" fmla="+- 0 602 522"/>
                <a:gd name="T63" fmla="*/ 60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</a:cxnLst>
              <a:rect l="0" t="0" r="r" b="b"/>
              <a:pathLst>
                <a:path w="69" h="80">
                  <a:moveTo>
                    <a:pt x="49" y="80"/>
                  </a:moveTo>
                  <a:lnTo>
                    <a:pt x="18" y="80"/>
                  </a:lnTo>
                  <a:lnTo>
                    <a:pt x="10" y="73"/>
                  </a:lnTo>
                  <a:lnTo>
                    <a:pt x="6" y="69"/>
                  </a:lnTo>
                  <a:lnTo>
                    <a:pt x="2" y="63"/>
                  </a:lnTo>
                  <a:lnTo>
                    <a:pt x="0" y="54"/>
                  </a:lnTo>
                  <a:lnTo>
                    <a:pt x="0" y="0"/>
                  </a:lnTo>
                  <a:lnTo>
                    <a:pt x="11" y="0"/>
                  </a:lnTo>
                  <a:lnTo>
                    <a:pt x="11" y="52"/>
                  </a:lnTo>
                  <a:lnTo>
                    <a:pt x="12" y="59"/>
                  </a:lnTo>
                  <a:lnTo>
                    <a:pt x="16" y="63"/>
                  </a:lnTo>
                  <a:lnTo>
                    <a:pt x="20" y="68"/>
                  </a:lnTo>
                  <a:lnTo>
                    <a:pt x="26" y="70"/>
                  </a:lnTo>
                  <a:lnTo>
                    <a:pt x="56" y="70"/>
                  </a:lnTo>
                  <a:lnTo>
                    <a:pt x="55" y="72"/>
                  </a:lnTo>
                  <a:lnTo>
                    <a:pt x="49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9" name="Freeform 4854">
              <a:extLst>
                <a:ext uri="{FF2B5EF4-FFF2-40B4-BE49-F238E27FC236}">
                  <a16:creationId xmlns:a16="http://schemas.microsoft.com/office/drawing/2014/main" id="{7FEF5A5C-DC71-96F7-54BA-959D289F7822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84 2328"/>
                <a:gd name="T1" fmla="*/ T0 w 69"/>
                <a:gd name="T2" fmla="+- 0 592 522"/>
                <a:gd name="T3" fmla="*/ 592 h 80"/>
                <a:gd name="T4" fmla="+- 0 2368 2328"/>
                <a:gd name="T5" fmla="*/ T4 w 69"/>
                <a:gd name="T6" fmla="+- 0 592 522"/>
                <a:gd name="T7" fmla="*/ 592 h 80"/>
                <a:gd name="T8" fmla="+- 0 2373 2328"/>
                <a:gd name="T9" fmla="*/ T8 w 69"/>
                <a:gd name="T10" fmla="+- 0 590 522"/>
                <a:gd name="T11" fmla="*/ 590 h 80"/>
                <a:gd name="T12" fmla="+- 0 2377 2328"/>
                <a:gd name="T13" fmla="*/ T12 w 69"/>
                <a:gd name="T14" fmla="+- 0 586 522"/>
                <a:gd name="T15" fmla="*/ 586 h 80"/>
                <a:gd name="T16" fmla="+- 0 2381 2328"/>
                <a:gd name="T17" fmla="*/ T16 w 69"/>
                <a:gd name="T18" fmla="+- 0 582 522"/>
                <a:gd name="T19" fmla="*/ 582 h 80"/>
                <a:gd name="T20" fmla="+- 0 2385 2328"/>
                <a:gd name="T21" fmla="*/ T20 w 69"/>
                <a:gd name="T22" fmla="+- 0 577 522"/>
                <a:gd name="T23" fmla="*/ 577 h 80"/>
                <a:gd name="T24" fmla="+- 0 2385 2328"/>
                <a:gd name="T25" fmla="*/ T24 w 69"/>
                <a:gd name="T26" fmla="+- 0 564 522"/>
                <a:gd name="T27" fmla="*/ 564 h 80"/>
                <a:gd name="T28" fmla="+- 0 2385 2328"/>
                <a:gd name="T29" fmla="*/ T28 w 69"/>
                <a:gd name="T30" fmla="+- 0 522 522"/>
                <a:gd name="T31" fmla="*/ 522 h 80"/>
                <a:gd name="T32" fmla="+- 0 2396 2328"/>
                <a:gd name="T33" fmla="*/ T32 w 69"/>
                <a:gd name="T34" fmla="+- 0 522 522"/>
                <a:gd name="T35" fmla="*/ 522 h 80"/>
                <a:gd name="T36" fmla="+- 0 2396 2328"/>
                <a:gd name="T37" fmla="*/ T36 w 69"/>
                <a:gd name="T38" fmla="+- 0 590 522"/>
                <a:gd name="T39" fmla="*/ 590 h 80"/>
                <a:gd name="T40" fmla="+- 0 2386 2328"/>
                <a:gd name="T41" fmla="*/ T40 w 69"/>
                <a:gd name="T42" fmla="+- 0 590 522"/>
                <a:gd name="T43" fmla="*/ 590 h 80"/>
                <a:gd name="T44" fmla="+- 0 2384 2328"/>
                <a:gd name="T45" fmla="*/ T44 w 69"/>
                <a:gd name="T46" fmla="+- 0 592 522"/>
                <a:gd name="T47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69" h="80">
                  <a:moveTo>
                    <a:pt x="56" y="70"/>
                  </a:moveTo>
                  <a:lnTo>
                    <a:pt x="40" y="70"/>
                  </a:lnTo>
                  <a:lnTo>
                    <a:pt x="45" y="68"/>
                  </a:lnTo>
                  <a:lnTo>
                    <a:pt x="49" y="64"/>
                  </a:lnTo>
                  <a:lnTo>
                    <a:pt x="53" y="60"/>
                  </a:lnTo>
                  <a:lnTo>
                    <a:pt x="57" y="55"/>
                  </a:lnTo>
                  <a:lnTo>
                    <a:pt x="57" y="42"/>
                  </a:lnTo>
                  <a:lnTo>
                    <a:pt x="57" y="0"/>
                  </a:lnTo>
                  <a:lnTo>
                    <a:pt x="68" y="0"/>
                  </a:lnTo>
                  <a:lnTo>
                    <a:pt x="68" y="68"/>
                  </a:lnTo>
                  <a:lnTo>
                    <a:pt x="58" y="68"/>
                  </a:lnTo>
                  <a:lnTo>
                    <a:pt x="56" y="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0" name="Freeform 4853">
              <a:extLst>
                <a:ext uri="{FF2B5EF4-FFF2-40B4-BE49-F238E27FC236}">
                  <a16:creationId xmlns:a16="http://schemas.microsoft.com/office/drawing/2014/main" id="{E993D24A-CD6F-90F4-C96D-6BE50C93E414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96 2328"/>
                <a:gd name="T1" fmla="*/ T0 w 69"/>
                <a:gd name="T2" fmla="+- 0 600 522"/>
                <a:gd name="T3" fmla="*/ 600 h 80"/>
                <a:gd name="T4" fmla="+- 0 2386 2328"/>
                <a:gd name="T5" fmla="*/ T4 w 69"/>
                <a:gd name="T6" fmla="+- 0 600 522"/>
                <a:gd name="T7" fmla="*/ 600 h 80"/>
                <a:gd name="T8" fmla="+- 0 2386 2328"/>
                <a:gd name="T9" fmla="*/ T8 w 69"/>
                <a:gd name="T10" fmla="+- 0 590 522"/>
                <a:gd name="T11" fmla="*/ 590 h 80"/>
                <a:gd name="T12" fmla="+- 0 2396 2328"/>
                <a:gd name="T13" fmla="*/ T12 w 69"/>
                <a:gd name="T14" fmla="+- 0 590 522"/>
                <a:gd name="T15" fmla="*/ 590 h 80"/>
                <a:gd name="T16" fmla="+- 0 2396 2328"/>
                <a:gd name="T17" fmla="*/ T16 w 69"/>
                <a:gd name="T18" fmla="+- 0 600 522"/>
                <a:gd name="T1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69" h="80">
                  <a:moveTo>
                    <a:pt x="68" y="78"/>
                  </a:moveTo>
                  <a:lnTo>
                    <a:pt x="58" y="78"/>
                  </a:lnTo>
                  <a:lnTo>
                    <a:pt x="58" y="68"/>
                  </a:lnTo>
                  <a:lnTo>
                    <a:pt x="68" y="68"/>
                  </a:lnTo>
                  <a:lnTo>
                    <a:pt x="68" y="7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3E706CB6-12FF-E2CF-2DE5-52AAFE822906}"/>
              </a:ext>
            </a:extLst>
          </xdr:cNvPr>
          <xdr:cNvGrpSpPr>
            <a:grpSpLocks/>
          </xdr:cNvGrpSpPr>
        </xdr:nvGrpSpPr>
        <xdr:grpSpPr bwMode="auto">
          <a:xfrm>
            <a:off x="2411" y="520"/>
            <a:ext cx="79" cy="111"/>
            <a:chOff x="2411" y="520"/>
            <a:chExt cx="79" cy="111"/>
          </a:xfrm>
        </xdr:grpSpPr>
        <xdr:sp macro="" textlink="">
          <xdr:nvSpPr>
            <xdr:cNvPr id="43" name="Freeform 4851">
              <a:extLst>
                <a:ext uri="{FF2B5EF4-FFF2-40B4-BE49-F238E27FC236}">
                  <a16:creationId xmlns:a16="http://schemas.microsoft.com/office/drawing/2014/main" id="{36C05068-1E78-C87E-E6CB-3447F7F33E99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36 2411"/>
                <a:gd name="T1" fmla="*/ T0 w 79"/>
                <a:gd name="T2" fmla="+- 0 600 520"/>
                <a:gd name="T3" fmla="*/ 600 h 111"/>
                <a:gd name="T4" fmla="+- 0 2423 2411"/>
                <a:gd name="T5" fmla="*/ T4 w 79"/>
                <a:gd name="T6" fmla="+- 0 590 520"/>
                <a:gd name="T7" fmla="*/ 590 h 111"/>
                <a:gd name="T8" fmla="+- 0 2414 2411"/>
                <a:gd name="T9" fmla="*/ T8 w 79"/>
                <a:gd name="T10" fmla="+- 0 571 520"/>
                <a:gd name="T11" fmla="*/ 571 h 111"/>
                <a:gd name="T12" fmla="+- 0 2414 2411"/>
                <a:gd name="T13" fmla="*/ T12 w 79"/>
                <a:gd name="T14" fmla="+- 0 541 520"/>
                <a:gd name="T15" fmla="*/ 541 h 111"/>
                <a:gd name="T16" fmla="+- 0 2429 2411"/>
                <a:gd name="T17" fmla="*/ T16 w 79"/>
                <a:gd name="T18" fmla="+- 0 526 520"/>
                <a:gd name="T19" fmla="*/ 526 h 111"/>
                <a:gd name="T20" fmla="+- 0 2449 2411"/>
                <a:gd name="T21" fmla="*/ T20 w 79"/>
                <a:gd name="T22" fmla="+- 0 520 520"/>
                <a:gd name="T23" fmla="*/ 520 h 111"/>
                <a:gd name="T24" fmla="+- 0 2455 2411"/>
                <a:gd name="T25" fmla="*/ T24 w 79"/>
                <a:gd name="T26" fmla="+- 0 520 520"/>
                <a:gd name="T27" fmla="*/ 520 h 111"/>
                <a:gd name="T28" fmla="+- 0 2469 2411"/>
                <a:gd name="T29" fmla="*/ T28 w 79"/>
                <a:gd name="T30" fmla="+- 0 522 520"/>
                <a:gd name="T31" fmla="*/ 522 h 111"/>
                <a:gd name="T32" fmla="+- 0 2475 2411"/>
                <a:gd name="T33" fmla="*/ T32 w 79"/>
                <a:gd name="T34" fmla="+- 0 531 520"/>
                <a:gd name="T35" fmla="*/ 531 h 111"/>
                <a:gd name="T36" fmla="+- 0 2443 2411"/>
                <a:gd name="T37" fmla="*/ T36 w 79"/>
                <a:gd name="T38" fmla="+- 0 531 520"/>
                <a:gd name="T39" fmla="*/ 531 h 111"/>
                <a:gd name="T40" fmla="+- 0 2426 2411"/>
                <a:gd name="T41" fmla="*/ T40 w 79"/>
                <a:gd name="T42" fmla="+- 0 542 520"/>
                <a:gd name="T43" fmla="*/ 542 h 111"/>
                <a:gd name="T44" fmla="+- 0 2420 2411"/>
                <a:gd name="T45" fmla="*/ T44 w 79"/>
                <a:gd name="T46" fmla="+- 0 565 520"/>
                <a:gd name="T47" fmla="*/ 565 h 111"/>
                <a:gd name="T48" fmla="+- 0 2429 2411"/>
                <a:gd name="T49" fmla="*/ T48 w 79"/>
                <a:gd name="T50" fmla="+- 0 584 520"/>
                <a:gd name="T51" fmla="*/ 584 h 111"/>
                <a:gd name="T52" fmla="+- 0 2449 2411"/>
                <a:gd name="T53" fmla="*/ T52 w 79"/>
                <a:gd name="T54" fmla="+- 0 592 520"/>
                <a:gd name="T55" fmla="*/ 592 h 111"/>
                <a:gd name="T56" fmla="+- 0 2474 2411"/>
                <a:gd name="T57" fmla="*/ T56 w 79"/>
                <a:gd name="T58" fmla="+- 0 592 520"/>
                <a:gd name="T59" fmla="*/ 592 h 111"/>
                <a:gd name="T60" fmla="+- 0 2461 2411"/>
                <a:gd name="T61" fmla="*/ T60 w 79"/>
                <a:gd name="T62" fmla="+- 0 599 520"/>
                <a:gd name="T63" fmla="*/ 599 h 111"/>
                <a:gd name="T64" fmla="+- 0 2436 2411"/>
                <a:gd name="T65" fmla="*/ T64 w 79"/>
                <a:gd name="T66" fmla="+- 0 600 520"/>
                <a:gd name="T67" fmla="*/ 600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9" h="111">
                  <a:moveTo>
                    <a:pt x="25" y="80"/>
                  </a:moveTo>
                  <a:lnTo>
                    <a:pt x="12" y="70"/>
                  </a:lnTo>
                  <a:lnTo>
                    <a:pt x="3" y="51"/>
                  </a:lnTo>
                  <a:lnTo>
                    <a:pt x="3" y="21"/>
                  </a:lnTo>
                  <a:lnTo>
                    <a:pt x="18" y="6"/>
                  </a:lnTo>
                  <a:lnTo>
                    <a:pt x="38" y="0"/>
                  </a:lnTo>
                  <a:lnTo>
                    <a:pt x="44" y="0"/>
                  </a:lnTo>
                  <a:lnTo>
                    <a:pt x="58" y="2"/>
                  </a:lnTo>
                  <a:lnTo>
                    <a:pt x="64" y="11"/>
                  </a:lnTo>
                  <a:lnTo>
                    <a:pt x="32" y="11"/>
                  </a:lnTo>
                  <a:lnTo>
                    <a:pt x="15" y="22"/>
                  </a:lnTo>
                  <a:lnTo>
                    <a:pt x="9" y="45"/>
                  </a:lnTo>
                  <a:lnTo>
                    <a:pt x="18" y="64"/>
                  </a:lnTo>
                  <a:lnTo>
                    <a:pt x="38" y="72"/>
                  </a:lnTo>
                  <a:lnTo>
                    <a:pt x="63" y="72"/>
                  </a:lnTo>
                  <a:lnTo>
                    <a:pt x="50" y="79"/>
                  </a:lnTo>
                  <a:lnTo>
                    <a:pt x="25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4" name="Freeform 4850">
              <a:extLst>
                <a:ext uri="{FF2B5EF4-FFF2-40B4-BE49-F238E27FC236}">
                  <a16:creationId xmlns:a16="http://schemas.microsoft.com/office/drawing/2014/main" id="{C3A2C093-6A46-2EA9-6117-E3A17841717F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89 2411"/>
                <a:gd name="T1" fmla="*/ T0 w 79"/>
                <a:gd name="T2" fmla="+- 0 535 520"/>
                <a:gd name="T3" fmla="*/ 535 h 111"/>
                <a:gd name="T4" fmla="+- 0 2478 2411"/>
                <a:gd name="T5" fmla="*/ T4 w 79"/>
                <a:gd name="T6" fmla="+- 0 535 520"/>
                <a:gd name="T7" fmla="*/ 535 h 111"/>
                <a:gd name="T8" fmla="+- 0 2478 2411"/>
                <a:gd name="T9" fmla="*/ T8 w 79"/>
                <a:gd name="T10" fmla="+- 0 522 520"/>
                <a:gd name="T11" fmla="*/ 522 h 111"/>
                <a:gd name="T12" fmla="+- 0 2489 2411"/>
                <a:gd name="T13" fmla="*/ T12 w 79"/>
                <a:gd name="T14" fmla="+- 0 522 520"/>
                <a:gd name="T15" fmla="*/ 522 h 111"/>
                <a:gd name="T16" fmla="+- 0 2489 2411"/>
                <a:gd name="T17" fmla="*/ T16 w 79"/>
                <a:gd name="T18" fmla="+- 0 535 520"/>
                <a:gd name="T19" fmla="*/ 535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9" h="111">
                  <a:moveTo>
                    <a:pt x="78" y="15"/>
                  </a:moveTo>
                  <a:lnTo>
                    <a:pt x="67" y="15"/>
                  </a:lnTo>
                  <a:lnTo>
                    <a:pt x="67" y="2"/>
                  </a:lnTo>
                  <a:lnTo>
                    <a:pt x="78" y="2"/>
                  </a:lnTo>
                  <a:lnTo>
                    <a:pt x="78" y="1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5" name="Freeform 4849">
              <a:extLst>
                <a:ext uri="{FF2B5EF4-FFF2-40B4-BE49-F238E27FC236}">
                  <a16:creationId xmlns:a16="http://schemas.microsoft.com/office/drawing/2014/main" id="{781281ED-5EE0-2771-DE81-76940DC28882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74 2411"/>
                <a:gd name="T1" fmla="*/ T0 w 79"/>
                <a:gd name="T2" fmla="+- 0 592 520"/>
                <a:gd name="T3" fmla="*/ 592 h 111"/>
                <a:gd name="T4" fmla="+- 0 2449 2411"/>
                <a:gd name="T5" fmla="*/ T4 w 79"/>
                <a:gd name="T6" fmla="+- 0 592 520"/>
                <a:gd name="T7" fmla="*/ 592 h 111"/>
                <a:gd name="T8" fmla="+- 0 2460 2411"/>
                <a:gd name="T9" fmla="*/ T8 w 79"/>
                <a:gd name="T10" fmla="+- 0 590 520"/>
                <a:gd name="T11" fmla="*/ 590 h 111"/>
                <a:gd name="T12" fmla="+- 0 2474 2411"/>
                <a:gd name="T13" fmla="*/ T12 w 79"/>
                <a:gd name="T14" fmla="+- 0 576 520"/>
                <a:gd name="T15" fmla="*/ 576 h 111"/>
                <a:gd name="T16" fmla="+- 0 2478 2411"/>
                <a:gd name="T17" fmla="*/ T16 w 79"/>
                <a:gd name="T18" fmla="+- 0 553 520"/>
                <a:gd name="T19" fmla="*/ 553 h 111"/>
                <a:gd name="T20" fmla="+- 0 2466 2411"/>
                <a:gd name="T21" fmla="*/ T20 w 79"/>
                <a:gd name="T22" fmla="+- 0 537 520"/>
                <a:gd name="T23" fmla="*/ 537 h 111"/>
                <a:gd name="T24" fmla="+- 0 2443 2411"/>
                <a:gd name="T25" fmla="*/ T24 w 79"/>
                <a:gd name="T26" fmla="+- 0 531 520"/>
                <a:gd name="T27" fmla="*/ 531 h 111"/>
                <a:gd name="T28" fmla="+- 0 2475 2411"/>
                <a:gd name="T29" fmla="*/ T28 w 79"/>
                <a:gd name="T30" fmla="+- 0 531 520"/>
                <a:gd name="T31" fmla="*/ 531 h 111"/>
                <a:gd name="T32" fmla="+- 0 2478 2411"/>
                <a:gd name="T33" fmla="*/ T32 w 79"/>
                <a:gd name="T34" fmla="+- 0 535 520"/>
                <a:gd name="T35" fmla="*/ 535 h 111"/>
                <a:gd name="T36" fmla="+- 0 2489 2411"/>
                <a:gd name="T37" fmla="*/ T36 w 79"/>
                <a:gd name="T38" fmla="+- 0 535 520"/>
                <a:gd name="T39" fmla="*/ 535 h 111"/>
                <a:gd name="T40" fmla="+- 0 2489 2411"/>
                <a:gd name="T41" fmla="*/ T40 w 79"/>
                <a:gd name="T42" fmla="+- 0 591 520"/>
                <a:gd name="T43" fmla="*/ 591 h 111"/>
                <a:gd name="T44" fmla="+- 0 2476 2411"/>
                <a:gd name="T45" fmla="*/ T44 w 79"/>
                <a:gd name="T46" fmla="+- 0 591 520"/>
                <a:gd name="T47" fmla="*/ 591 h 111"/>
                <a:gd name="T48" fmla="+- 0 2474 2411"/>
                <a:gd name="T49" fmla="*/ T48 w 79"/>
                <a:gd name="T50" fmla="+- 0 592 520"/>
                <a:gd name="T51" fmla="*/ 592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79" h="111">
                  <a:moveTo>
                    <a:pt x="63" y="72"/>
                  </a:moveTo>
                  <a:lnTo>
                    <a:pt x="38" y="72"/>
                  </a:lnTo>
                  <a:lnTo>
                    <a:pt x="49" y="70"/>
                  </a:lnTo>
                  <a:lnTo>
                    <a:pt x="63" y="56"/>
                  </a:lnTo>
                  <a:lnTo>
                    <a:pt x="67" y="33"/>
                  </a:lnTo>
                  <a:lnTo>
                    <a:pt x="55" y="17"/>
                  </a:lnTo>
                  <a:lnTo>
                    <a:pt x="32" y="11"/>
                  </a:lnTo>
                  <a:lnTo>
                    <a:pt x="64" y="11"/>
                  </a:lnTo>
                  <a:lnTo>
                    <a:pt x="67" y="15"/>
                  </a:lnTo>
                  <a:lnTo>
                    <a:pt x="78" y="15"/>
                  </a:lnTo>
                  <a:lnTo>
                    <a:pt x="78" y="71"/>
                  </a:lnTo>
                  <a:lnTo>
                    <a:pt x="65" y="71"/>
                  </a:lnTo>
                  <a:lnTo>
                    <a:pt x="63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6" name="Freeform 4848">
              <a:extLst>
                <a:ext uri="{FF2B5EF4-FFF2-40B4-BE49-F238E27FC236}">
                  <a16:creationId xmlns:a16="http://schemas.microsoft.com/office/drawing/2014/main" id="{6A802001-4200-75CA-79BB-BE4C7A222628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79 2411"/>
                <a:gd name="T1" fmla="*/ T0 w 79"/>
                <a:gd name="T2" fmla="+- 0 621 520"/>
                <a:gd name="T3" fmla="*/ 621 h 111"/>
                <a:gd name="T4" fmla="+- 0 2464 2411"/>
                <a:gd name="T5" fmla="*/ T4 w 79"/>
                <a:gd name="T6" fmla="+- 0 621 520"/>
                <a:gd name="T7" fmla="*/ 621 h 111"/>
                <a:gd name="T8" fmla="+- 0 2478 2411"/>
                <a:gd name="T9" fmla="*/ T8 w 79"/>
                <a:gd name="T10" fmla="+- 0 613 520"/>
                <a:gd name="T11" fmla="*/ 613 h 111"/>
                <a:gd name="T12" fmla="+- 0 2478 2411"/>
                <a:gd name="T13" fmla="*/ T12 w 79"/>
                <a:gd name="T14" fmla="+- 0 592 520"/>
                <a:gd name="T15" fmla="*/ 592 h 111"/>
                <a:gd name="T16" fmla="+- 0 2476 2411"/>
                <a:gd name="T17" fmla="*/ T16 w 79"/>
                <a:gd name="T18" fmla="+- 0 591 520"/>
                <a:gd name="T19" fmla="*/ 591 h 111"/>
                <a:gd name="T20" fmla="+- 0 2489 2411"/>
                <a:gd name="T21" fmla="*/ T20 w 79"/>
                <a:gd name="T22" fmla="+- 0 591 520"/>
                <a:gd name="T23" fmla="*/ 591 h 111"/>
                <a:gd name="T24" fmla="+- 0 2489 2411"/>
                <a:gd name="T25" fmla="*/ T24 w 79"/>
                <a:gd name="T26" fmla="+- 0 607 520"/>
                <a:gd name="T27" fmla="*/ 607 h 111"/>
                <a:gd name="T28" fmla="+- 0 2482 2411"/>
                <a:gd name="T29" fmla="*/ T28 w 79"/>
                <a:gd name="T30" fmla="+- 0 616 520"/>
                <a:gd name="T31" fmla="*/ 616 h 111"/>
                <a:gd name="T32" fmla="+- 0 2479 2411"/>
                <a:gd name="T33" fmla="*/ T32 w 79"/>
                <a:gd name="T34" fmla="+- 0 621 520"/>
                <a:gd name="T35" fmla="*/ 621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79" h="111">
                  <a:moveTo>
                    <a:pt x="68" y="101"/>
                  </a:moveTo>
                  <a:lnTo>
                    <a:pt x="53" y="101"/>
                  </a:lnTo>
                  <a:lnTo>
                    <a:pt x="67" y="93"/>
                  </a:lnTo>
                  <a:lnTo>
                    <a:pt x="67" y="72"/>
                  </a:lnTo>
                  <a:lnTo>
                    <a:pt x="65" y="71"/>
                  </a:lnTo>
                  <a:lnTo>
                    <a:pt x="78" y="71"/>
                  </a:lnTo>
                  <a:lnTo>
                    <a:pt x="78" y="87"/>
                  </a:lnTo>
                  <a:lnTo>
                    <a:pt x="71" y="96"/>
                  </a:lnTo>
                  <a:lnTo>
                    <a:pt x="68" y="10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7" name="Freeform 4847">
              <a:extLst>
                <a:ext uri="{FF2B5EF4-FFF2-40B4-BE49-F238E27FC236}">
                  <a16:creationId xmlns:a16="http://schemas.microsoft.com/office/drawing/2014/main" id="{FCEB4C86-2133-61E0-D3FD-E713B6522436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53 2411"/>
                <a:gd name="T1" fmla="*/ T0 w 79"/>
                <a:gd name="T2" fmla="+- 0 631 520"/>
                <a:gd name="T3" fmla="*/ 631 h 111"/>
                <a:gd name="T4" fmla="+- 0 2446 2411"/>
                <a:gd name="T5" fmla="*/ T4 w 79"/>
                <a:gd name="T6" fmla="+- 0 630 520"/>
                <a:gd name="T7" fmla="*/ 630 h 111"/>
                <a:gd name="T8" fmla="+- 0 2427 2411"/>
                <a:gd name="T9" fmla="*/ T8 w 79"/>
                <a:gd name="T10" fmla="+- 0 624 520"/>
                <a:gd name="T11" fmla="*/ 624 h 111"/>
                <a:gd name="T12" fmla="+- 0 2411 2411"/>
                <a:gd name="T13" fmla="*/ T12 w 79"/>
                <a:gd name="T14" fmla="+- 0 602 520"/>
                <a:gd name="T15" fmla="*/ 602 h 111"/>
                <a:gd name="T16" fmla="+- 0 2411 2411"/>
                <a:gd name="T17" fmla="*/ T16 w 79"/>
                <a:gd name="T18" fmla="+- 0 601 520"/>
                <a:gd name="T19" fmla="*/ 601 h 111"/>
                <a:gd name="T20" fmla="+- 0 2423 2411"/>
                <a:gd name="T21" fmla="*/ T20 w 79"/>
                <a:gd name="T22" fmla="+- 0 601 520"/>
                <a:gd name="T23" fmla="*/ 601 h 111"/>
                <a:gd name="T24" fmla="+- 0 2423 2411"/>
                <a:gd name="T25" fmla="*/ T24 w 79"/>
                <a:gd name="T26" fmla="+- 0 602 520"/>
                <a:gd name="T27" fmla="*/ 602 h 111"/>
                <a:gd name="T28" fmla="+- 0 2425 2411"/>
                <a:gd name="T29" fmla="*/ T28 w 79"/>
                <a:gd name="T30" fmla="+- 0 607 520"/>
                <a:gd name="T31" fmla="*/ 607 h 111"/>
                <a:gd name="T32" fmla="+- 0 2433 2411"/>
                <a:gd name="T33" fmla="*/ T32 w 79"/>
                <a:gd name="T34" fmla="+- 0 621 520"/>
                <a:gd name="T35" fmla="*/ 621 h 111"/>
                <a:gd name="T36" fmla="+- 0 2479 2411"/>
                <a:gd name="T37" fmla="*/ T36 w 79"/>
                <a:gd name="T38" fmla="+- 0 621 520"/>
                <a:gd name="T39" fmla="*/ 621 h 111"/>
                <a:gd name="T40" fmla="+- 0 2472 2411"/>
                <a:gd name="T41" fmla="*/ T40 w 79"/>
                <a:gd name="T42" fmla="+- 0 630 520"/>
                <a:gd name="T43" fmla="*/ 630 h 111"/>
                <a:gd name="T44" fmla="+- 0 2453 2411"/>
                <a:gd name="T45" fmla="*/ T44 w 79"/>
                <a:gd name="T46" fmla="+- 0 631 520"/>
                <a:gd name="T47" fmla="*/ 631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79" h="111">
                  <a:moveTo>
                    <a:pt x="42" y="111"/>
                  </a:moveTo>
                  <a:lnTo>
                    <a:pt x="35" y="110"/>
                  </a:lnTo>
                  <a:lnTo>
                    <a:pt x="16" y="104"/>
                  </a:lnTo>
                  <a:lnTo>
                    <a:pt x="0" y="82"/>
                  </a:lnTo>
                  <a:lnTo>
                    <a:pt x="0" y="81"/>
                  </a:lnTo>
                  <a:lnTo>
                    <a:pt x="12" y="81"/>
                  </a:lnTo>
                  <a:lnTo>
                    <a:pt x="12" y="82"/>
                  </a:lnTo>
                  <a:lnTo>
                    <a:pt x="14" y="87"/>
                  </a:lnTo>
                  <a:lnTo>
                    <a:pt x="22" y="101"/>
                  </a:lnTo>
                  <a:lnTo>
                    <a:pt x="68" y="101"/>
                  </a:lnTo>
                  <a:lnTo>
                    <a:pt x="61" y="110"/>
                  </a:lnTo>
                  <a:lnTo>
                    <a:pt x="42" y="11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1B8F5D79-5154-502A-BB5C-678D94C61BF5}"/>
              </a:ext>
            </a:extLst>
          </xdr:cNvPr>
          <xdr:cNvGrpSpPr>
            <a:grpSpLocks/>
          </xdr:cNvGrpSpPr>
        </xdr:nvGrpSpPr>
        <xdr:grpSpPr bwMode="auto">
          <a:xfrm>
            <a:off x="2506" y="520"/>
            <a:ext cx="115" cy="81"/>
            <a:chOff x="2506" y="520"/>
            <a:chExt cx="115" cy="81"/>
          </a:xfrm>
        </xdr:grpSpPr>
        <xdr:sp macro="" textlink="">
          <xdr:nvSpPr>
            <xdr:cNvPr id="38" name="Freeform 4845">
              <a:extLst>
                <a:ext uri="{FF2B5EF4-FFF2-40B4-BE49-F238E27FC236}">
                  <a16:creationId xmlns:a16="http://schemas.microsoft.com/office/drawing/2014/main" id="{37D73BDA-6C45-1F51-C4C6-858E1756DEDA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61 2506"/>
                <a:gd name="T1" fmla="*/ T0 w 115"/>
                <a:gd name="T2" fmla="+- 0 530 520"/>
                <a:gd name="T3" fmla="*/ 530 h 81"/>
                <a:gd name="T4" fmla="+- 0 2517 2506"/>
                <a:gd name="T5" fmla="*/ T4 w 115"/>
                <a:gd name="T6" fmla="+- 0 530 520"/>
                <a:gd name="T7" fmla="*/ 530 h 81"/>
                <a:gd name="T8" fmla="+- 0 2522 2506"/>
                <a:gd name="T9" fmla="*/ T8 w 115"/>
                <a:gd name="T10" fmla="+- 0 523 520"/>
                <a:gd name="T11" fmla="*/ 523 h 81"/>
                <a:gd name="T12" fmla="+- 0 2530 2506"/>
                <a:gd name="T13" fmla="*/ T12 w 115"/>
                <a:gd name="T14" fmla="+- 0 520 520"/>
                <a:gd name="T15" fmla="*/ 520 h 81"/>
                <a:gd name="T16" fmla="+- 0 2544 2506"/>
                <a:gd name="T17" fmla="*/ T16 w 115"/>
                <a:gd name="T18" fmla="+- 0 520 520"/>
                <a:gd name="T19" fmla="*/ 520 h 81"/>
                <a:gd name="T20" fmla="+- 0 2557 2506"/>
                <a:gd name="T21" fmla="*/ T20 w 115"/>
                <a:gd name="T22" fmla="+- 0 523 520"/>
                <a:gd name="T23" fmla="*/ 523 h 81"/>
                <a:gd name="T24" fmla="+- 0 2561 2506"/>
                <a:gd name="T25" fmla="*/ T24 w 115"/>
                <a:gd name="T26" fmla="+- 0 530 520"/>
                <a:gd name="T27" fmla="*/ 53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15" h="81">
                  <a:moveTo>
                    <a:pt x="55" y="10"/>
                  </a:moveTo>
                  <a:lnTo>
                    <a:pt x="11" y="10"/>
                  </a:lnTo>
                  <a:lnTo>
                    <a:pt x="16" y="3"/>
                  </a:lnTo>
                  <a:lnTo>
                    <a:pt x="24" y="0"/>
                  </a:lnTo>
                  <a:lnTo>
                    <a:pt x="38" y="0"/>
                  </a:lnTo>
                  <a:lnTo>
                    <a:pt x="51" y="3"/>
                  </a:lnTo>
                  <a:lnTo>
                    <a:pt x="55" y="1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9" name="Freeform 4844">
              <a:extLst>
                <a:ext uri="{FF2B5EF4-FFF2-40B4-BE49-F238E27FC236}">
                  <a16:creationId xmlns:a16="http://schemas.microsoft.com/office/drawing/2014/main" id="{9B238BCA-99A6-5166-E0D6-454A2DFEAFCC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75 2506"/>
                <a:gd name="T1" fmla="*/ T0 w 115"/>
                <a:gd name="T2" fmla="+- 0 534 520"/>
                <a:gd name="T3" fmla="*/ 534 h 81"/>
                <a:gd name="T4" fmla="+- 0 2563 2506"/>
                <a:gd name="T5" fmla="*/ T4 w 115"/>
                <a:gd name="T6" fmla="+- 0 534 520"/>
                <a:gd name="T7" fmla="*/ 534 h 81"/>
                <a:gd name="T8" fmla="+- 0 2569 2506"/>
                <a:gd name="T9" fmla="*/ T8 w 115"/>
                <a:gd name="T10" fmla="+- 0 523 520"/>
                <a:gd name="T11" fmla="*/ 523 h 81"/>
                <a:gd name="T12" fmla="+- 0 2582 2506"/>
                <a:gd name="T13" fmla="*/ T12 w 115"/>
                <a:gd name="T14" fmla="+- 0 520 520"/>
                <a:gd name="T15" fmla="*/ 520 h 81"/>
                <a:gd name="T16" fmla="+- 0 2589 2506"/>
                <a:gd name="T17" fmla="*/ T16 w 115"/>
                <a:gd name="T18" fmla="+- 0 520 520"/>
                <a:gd name="T19" fmla="*/ 520 h 81"/>
                <a:gd name="T20" fmla="+- 0 2594 2506"/>
                <a:gd name="T21" fmla="*/ T20 w 115"/>
                <a:gd name="T22" fmla="+- 0 521 520"/>
                <a:gd name="T23" fmla="*/ 521 h 81"/>
                <a:gd name="T24" fmla="+- 0 2612 2506"/>
                <a:gd name="T25" fmla="*/ T24 w 115"/>
                <a:gd name="T26" fmla="+- 0 529 520"/>
                <a:gd name="T27" fmla="*/ 529 h 81"/>
                <a:gd name="T28" fmla="+- 0 2612 2506"/>
                <a:gd name="T29" fmla="*/ T28 w 115"/>
                <a:gd name="T30" fmla="+- 0 530 520"/>
                <a:gd name="T31" fmla="*/ 530 h 81"/>
                <a:gd name="T32" fmla="+- 0 2582 2506"/>
                <a:gd name="T33" fmla="*/ T32 w 115"/>
                <a:gd name="T34" fmla="+- 0 530 520"/>
                <a:gd name="T35" fmla="*/ 530 h 81"/>
                <a:gd name="T36" fmla="+- 0 2576 2506"/>
                <a:gd name="T37" fmla="*/ T36 w 115"/>
                <a:gd name="T38" fmla="+- 0 534 520"/>
                <a:gd name="T39" fmla="*/ 534 h 81"/>
                <a:gd name="T40" fmla="+- 0 2575 2506"/>
                <a:gd name="T41" fmla="*/ T40 w 115"/>
                <a:gd name="T42" fmla="+- 0 534 520"/>
                <a:gd name="T43" fmla="*/ 534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15" h="81">
                  <a:moveTo>
                    <a:pt x="69" y="14"/>
                  </a:moveTo>
                  <a:lnTo>
                    <a:pt x="57" y="14"/>
                  </a:lnTo>
                  <a:lnTo>
                    <a:pt x="63" y="3"/>
                  </a:lnTo>
                  <a:lnTo>
                    <a:pt x="76" y="0"/>
                  </a:lnTo>
                  <a:lnTo>
                    <a:pt x="83" y="0"/>
                  </a:lnTo>
                  <a:lnTo>
                    <a:pt x="88" y="1"/>
                  </a:lnTo>
                  <a:lnTo>
                    <a:pt x="106" y="9"/>
                  </a:lnTo>
                  <a:lnTo>
                    <a:pt x="106" y="10"/>
                  </a:lnTo>
                  <a:lnTo>
                    <a:pt x="76" y="10"/>
                  </a:lnTo>
                  <a:lnTo>
                    <a:pt x="70" y="14"/>
                  </a:lnTo>
                  <a:lnTo>
                    <a:pt x="69" y="14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0" name="Freeform 4843">
              <a:extLst>
                <a:ext uri="{FF2B5EF4-FFF2-40B4-BE49-F238E27FC236}">
                  <a16:creationId xmlns:a16="http://schemas.microsoft.com/office/drawing/2014/main" id="{33020E8A-78D6-99A8-7C7B-B1D5FE64288A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17 2506"/>
                <a:gd name="T1" fmla="*/ T0 w 115"/>
                <a:gd name="T2" fmla="+- 0 601 520"/>
                <a:gd name="T3" fmla="*/ 601 h 81"/>
                <a:gd name="T4" fmla="+- 0 2506 2506"/>
                <a:gd name="T5" fmla="*/ T4 w 115"/>
                <a:gd name="T6" fmla="+- 0 601 520"/>
                <a:gd name="T7" fmla="*/ 601 h 81"/>
                <a:gd name="T8" fmla="+- 0 2506 2506"/>
                <a:gd name="T9" fmla="*/ T8 w 115"/>
                <a:gd name="T10" fmla="+- 0 522 520"/>
                <a:gd name="T11" fmla="*/ 522 h 81"/>
                <a:gd name="T12" fmla="+- 0 2517 2506"/>
                <a:gd name="T13" fmla="*/ T12 w 115"/>
                <a:gd name="T14" fmla="+- 0 522 520"/>
                <a:gd name="T15" fmla="*/ 522 h 81"/>
                <a:gd name="T16" fmla="+- 0 2517 2506"/>
                <a:gd name="T17" fmla="*/ T16 w 115"/>
                <a:gd name="T18" fmla="+- 0 530 520"/>
                <a:gd name="T19" fmla="*/ 530 h 81"/>
                <a:gd name="T20" fmla="+- 0 2561 2506"/>
                <a:gd name="T21" fmla="*/ T20 w 115"/>
                <a:gd name="T22" fmla="+- 0 530 520"/>
                <a:gd name="T23" fmla="*/ 530 h 81"/>
                <a:gd name="T24" fmla="+- 0 2561 2506"/>
                <a:gd name="T25" fmla="*/ T24 w 115"/>
                <a:gd name="T26" fmla="+- 0 530 520"/>
                <a:gd name="T27" fmla="*/ 530 h 81"/>
                <a:gd name="T28" fmla="+- 0 2530 2506"/>
                <a:gd name="T29" fmla="*/ T28 w 115"/>
                <a:gd name="T30" fmla="+- 0 530 520"/>
                <a:gd name="T31" fmla="*/ 530 h 81"/>
                <a:gd name="T32" fmla="+- 0 2524 2506"/>
                <a:gd name="T33" fmla="*/ T32 w 115"/>
                <a:gd name="T34" fmla="+- 0 534 520"/>
                <a:gd name="T35" fmla="*/ 534 h 81"/>
                <a:gd name="T36" fmla="+- 0 2520 2506"/>
                <a:gd name="T37" fmla="*/ T36 w 115"/>
                <a:gd name="T38" fmla="+- 0 540 520"/>
                <a:gd name="T39" fmla="*/ 540 h 81"/>
                <a:gd name="T40" fmla="+- 0 2518 2506"/>
                <a:gd name="T41" fmla="*/ T40 w 115"/>
                <a:gd name="T42" fmla="+- 0 543 520"/>
                <a:gd name="T43" fmla="*/ 543 h 81"/>
                <a:gd name="T44" fmla="+- 0 2517 2506"/>
                <a:gd name="T45" fmla="*/ T44 w 115"/>
                <a:gd name="T46" fmla="+- 0 547 520"/>
                <a:gd name="T47" fmla="*/ 547 h 81"/>
                <a:gd name="T48" fmla="+- 0 2517 2506"/>
                <a:gd name="T49" fmla="*/ T48 w 115"/>
                <a:gd name="T50" fmla="+- 0 601 520"/>
                <a:gd name="T51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115" h="81">
                  <a:moveTo>
                    <a:pt x="11" y="81"/>
                  </a:moveTo>
                  <a:lnTo>
                    <a:pt x="0" y="81"/>
                  </a:lnTo>
                  <a:lnTo>
                    <a:pt x="0" y="2"/>
                  </a:lnTo>
                  <a:lnTo>
                    <a:pt x="11" y="2"/>
                  </a:lnTo>
                  <a:lnTo>
                    <a:pt x="11" y="10"/>
                  </a:lnTo>
                  <a:lnTo>
                    <a:pt x="55" y="10"/>
                  </a:lnTo>
                  <a:lnTo>
                    <a:pt x="24" y="10"/>
                  </a:lnTo>
                  <a:lnTo>
                    <a:pt x="18" y="14"/>
                  </a:lnTo>
                  <a:lnTo>
                    <a:pt x="14" y="20"/>
                  </a:lnTo>
                  <a:lnTo>
                    <a:pt x="12" y="23"/>
                  </a:lnTo>
                  <a:lnTo>
                    <a:pt x="11" y="27"/>
                  </a:lnTo>
                  <a:lnTo>
                    <a:pt x="11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1" name="Freeform 4842">
              <a:extLst>
                <a:ext uri="{FF2B5EF4-FFF2-40B4-BE49-F238E27FC236}">
                  <a16:creationId xmlns:a16="http://schemas.microsoft.com/office/drawing/2014/main" id="{D3518022-3DA9-B3D6-5329-81E8F37D09F2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69 2506"/>
                <a:gd name="T1" fmla="*/ T0 w 115"/>
                <a:gd name="T2" fmla="+- 0 601 520"/>
                <a:gd name="T3" fmla="*/ 601 h 81"/>
                <a:gd name="T4" fmla="+- 0 2558 2506"/>
                <a:gd name="T5" fmla="*/ T4 w 115"/>
                <a:gd name="T6" fmla="+- 0 601 520"/>
                <a:gd name="T7" fmla="*/ 601 h 81"/>
                <a:gd name="T8" fmla="+- 0 2558 2506"/>
                <a:gd name="T9" fmla="*/ T8 w 115"/>
                <a:gd name="T10" fmla="+- 0 547 520"/>
                <a:gd name="T11" fmla="*/ 547 h 81"/>
                <a:gd name="T12" fmla="+- 0 2556 2506"/>
                <a:gd name="T13" fmla="*/ T12 w 115"/>
                <a:gd name="T14" fmla="+- 0 543 520"/>
                <a:gd name="T15" fmla="*/ 543 h 81"/>
                <a:gd name="T16" fmla="+- 0 2554 2506"/>
                <a:gd name="T17" fmla="*/ T16 w 115"/>
                <a:gd name="T18" fmla="+- 0 540 520"/>
                <a:gd name="T19" fmla="*/ 540 h 81"/>
                <a:gd name="T20" fmla="+- 0 2551 2506"/>
                <a:gd name="T21" fmla="*/ T20 w 115"/>
                <a:gd name="T22" fmla="+- 0 534 520"/>
                <a:gd name="T23" fmla="*/ 534 h 81"/>
                <a:gd name="T24" fmla="+- 0 2545 2506"/>
                <a:gd name="T25" fmla="*/ T24 w 115"/>
                <a:gd name="T26" fmla="+- 0 530 520"/>
                <a:gd name="T27" fmla="*/ 530 h 81"/>
                <a:gd name="T28" fmla="+- 0 2561 2506"/>
                <a:gd name="T29" fmla="*/ T28 w 115"/>
                <a:gd name="T30" fmla="+- 0 530 520"/>
                <a:gd name="T31" fmla="*/ 530 h 81"/>
                <a:gd name="T32" fmla="+- 0 2563 2506"/>
                <a:gd name="T33" fmla="*/ T32 w 115"/>
                <a:gd name="T34" fmla="+- 0 534 520"/>
                <a:gd name="T35" fmla="*/ 534 h 81"/>
                <a:gd name="T36" fmla="+- 0 2575 2506"/>
                <a:gd name="T37" fmla="*/ T36 w 115"/>
                <a:gd name="T38" fmla="+- 0 534 520"/>
                <a:gd name="T39" fmla="*/ 534 h 81"/>
                <a:gd name="T40" fmla="+- 0 2572 2506"/>
                <a:gd name="T41" fmla="*/ T40 w 115"/>
                <a:gd name="T42" fmla="+- 0 540 520"/>
                <a:gd name="T43" fmla="*/ 540 h 81"/>
                <a:gd name="T44" fmla="+- 0 2570 2506"/>
                <a:gd name="T45" fmla="*/ T44 w 115"/>
                <a:gd name="T46" fmla="+- 0 543 520"/>
                <a:gd name="T47" fmla="*/ 543 h 81"/>
                <a:gd name="T48" fmla="+- 0 2569 2506"/>
                <a:gd name="T49" fmla="*/ T48 w 115"/>
                <a:gd name="T50" fmla="+- 0 547 520"/>
                <a:gd name="T51" fmla="*/ 547 h 81"/>
                <a:gd name="T52" fmla="+- 0 2569 2506"/>
                <a:gd name="T53" fmla="*/ T52 w 115"/>
                <a:gd name="T54" fmla="+- 0 601 520"/>
                <a:gd name="T55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115" h="81">
                  <a:moveTo>
                    <a:pt x="63" y="81"/>
                  </a:moveTo>
                  <a:lnTo>
                    <a:pt x="52" y="81"/>
                  </a:lnTo>
                  <a:lnTo>
                    <a:pt x="52" y="27"/>
                  </a:lnTo>
                  <a:lnTo>
                    <a:pt x="50" y="23"/>
                  </a:lnTo>
                  <a:lnTo>
                    <a:pt x="48" y="20"/>
                  </a:lnTo>
                  <a:lnTo>
                    <a:pt x="45" y="14"/>
                  </a:lnTo>
                  <a:lnTo>
                    <a:pt x="39" y="10"/>
                  </a:lnTo>
                  <a:lnTo>
                    <a:pt x="55" y="10"/>
                  </a:lnTo>
                  <a:lnTo>
                    <a:pt x="57" y="14"/>
                  </a:lnTo>
                  <a:lnTo>
                    <a:pt x="69" y="14"/>
                  </a:lnTo>
                  <a:lnTo>
                    <a:pt x="66" y="20"/>
                  </a:lnTo>
                  <a:lnTo>
                    <a:pt x="64" y="23"/>
                  </a:lnTo>
                  <a:lnTo>
                    <a:pt x="63" y="27"/>
                  </a:lnTo>
                  <a:lnTo>
                    <a:pt x="63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2" name="Freeform 4841">
              <a:extLst>
                <a:ext uri="{FF2B5EF4-FFF2-40B4-BE49-F238E27FC236}">
                  <a16:creationId xmlns:a16="http://schemas.microsoft.com/office/drawing/2014/main" id="{15013492-0A5C-02CF-FD1F-84E80DDB69AB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620 2506"/>
                <a:gd name="T1" fmla="*/ T0 w 115"/>
                <a:gd name="T2" fmla="+- 0 601 520"/>
                <a:gd name="T3" fmla="*/ 601 h 81"/>
                <a:gd name="T4" fmla="+- 0 2609 2506"/>
                <a:gd name="T5" fmla="*/ T4 w 115"/>
                <a:gd name="T6" fmla="+- 0 601 520"/>
                <a:gd name="T7" fmla="*/ 601 h 81"/>
                <a:gd name="T8" fmla="+- 0 2609 2506"/>
                <a:gd name="T9" fmla="*/ T8 w 115"/>
                <a:gd name="T10" fmla="+- 0 547 520"/>
                <a:gd name="T11" fmla="*/ 547 h 81"/>
                <a:gd name="T12" fmla="+- 0 2608 2506"/>
                <a:gd name="T13" fmla="*/ T12 w 115"/>
                <a:gd name="T14" fmla="+- 0 543 520"/>
                <a:gd name="T15" fmla="*/ 543 h 81"/>
                <a:gd name="T16" fmla="+- 0 2606 2506"/>
                <a:gd name="T17" fmla="*/ T16 w 115"/>
                <a:gd name="T18" fmla="+- 0 540 520"/>
                <a:gd name="T19" fmla="*/ 540 h 81"/>
                <a:gd name="T20" fmla="+- 0 2603 2506"/>
                <a:gd name="T21" fmla="*/ T20 w 115"/>
                <a:gd name="T22" fmla="+- 0 534 520"/>
                <a:gd name="T23" fmla="*/ 534 h 81"/>
                <a:gd name="T24" fmla="+- 0 2596 2506"/>
                <a:gd name="T25" fmla="*/ T24 w 115"/>
                <a:gd name="T26" fmla="+- 0 530 520"/>
                <a:gd name="T27" fmla="*/ 530 h 81"/>
                <a:gd name="T28" fmla="+- 0 2612 2506"/>
                <a:gd name="T29" fmla="*/ T28 w 115"/>
                <a:gd name="T30" fmla="+- 0 530 520"/>
                <a:gd name="T31" fmla="*/ 530 h 81"/>
                <a:gd name="T32" fmla="+- 0 2620 2506"/>
                <a:gd name="T33" fmla="*/ T32 w 115"/>
                <a:gd name="T34" fmla="+- 0 554 520"/>
                <a:gd name="T35" fmla="*/ 554 h 81"/>
                <a:gd name="T36" fmla="+- 0 2620 2506"/>
                <a:gd name="T37" fmla="*/ T36 w 115"/>
                <a:gd name="T38" fmla="+- 0 601 520"/>
                <a:gd name="T39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15" h="81">
                  <a:moveTo>
                    <a:pt x="114" y="81"/>
                  </a:moveTo>
                  <a:lnTo>
                    <a:pt x="103" y="81"/>
                  </a:lnTo>
                  <a:lnTo>
                    <a:pt x="103" y="27"/>
                  </a:lnTo>
                  <a:lnTo>
                    <a:pt x="102" y="23"/>
                  </a:lnTo>
                  <a:lnTo>
                    <a:pt x="100" y="20"/>
                  </a:lnTo>
                  <a:lnTo>
                    <a:pt x="97" y="14"/>
                  </a:lnTo>
                  <a:lnTo>
                    <a:pt x="90" y="10"/>
                  </a:lnTo>
                  <a:lnTo>
                    <a:pt x="106" y="10"/>
                  </a:lnTo>
                  <a:lnTo>
                    <a:pt x="114" y="34"/>
                  </a:lnTo>
                  <a:lnTo>
                    <a:pt x="114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0E76684A-F0BC-636D-2134-32695ABB5F68}"/>
              </a:ext>
            </a:extLst>
          </xdr:cNvPr>
          <xdr:cNvGrpSpPr>
            <a:grpSpLocks/>
          </xdr:cNvGrpSpPr>
        </xdr:nvGrpSpPr>
        <xdr:grpSpPr bwMode="auto">
          <a:xfrm>
            <a:off x="2638" y="520"/>
            <a:ext cx="78" cy="80"/>
            <a:chOff x="2638" y="520"/>
            <a:chExt cx="78" cy="80"/>
          </a:xfrm>
        </xdr:grpSpPr>
        <xdr:sp macro="" textlink="">
          <xdr:nvSpPr>
            <xdr:cNvPr id="35" name="Freeform 4839">
              <a:extLst>
                <a:ext uri="{FF2B5EF4-FFF2-40B4-BE49-F238E27FC236}">
                  <a16:creationId xmlns:a16="http://schemas.microsoft.com/office/drawing/2014/main" id="{99F78150-0ABF-A598-9504-A1DB060F0BE4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661 2638"/>
                <a:gd name="T1" fmla="*/ T0 w 78"/>
                <a:gd name="T2" fmla="+- 0 600 520"/>
                <a:gd name="T3" fmla="*/ 600 h 80"/>
                <a:gd name="T4" fmla="+- 0 2647 2638"/>
                <a:gd name="T5" fmla="*/ T4 w 78"/>
                <a:gd name="T6" fmla="+- 0 590 520"/>
                <a:gd name="T7" fmla="*/ 590 h 80"/>
                <a:gd name="T8" fmla="+- 0 2639 2638"/>
                <a:gd name="T9" fmla="*/ T8 w 78"/>
                <a:gd name="T10" fmla="+- 0 571 520"/>
                <a:gd name="T11" fmla="*/ 571 h 80"/>
                <a:gd name="T12" fmla="+- 0 2638 2638"/>
                <a:gd name="T13" fmla="*/ T12 w 78"/>
                <a:gd name="T14" fmla="+- 0 542 520"/>
                <a:gd name="T15" fmla="*/ 542 h 80"/>
                <a:gd name="T16" fmla="+- 0 2653 2638"/>
                <a:gd name="T17" fmla="*/ T16 w 78"/>
                <a:gd name="T18" fmla="+- 0 527 520"/>
                <a:gd name="T19" fmla="*/ 527 h 80"/>
                <a:gd name="T20" fmla="+- 0 2674 2638"/>
                <a:gd name="T21" fmla="*/ T20 w 78"/>
                <a:gd name="T22" fmla="+- 0 520 520"/>
                <a:gd name="T23" fmla="*/ 520 h 80"/>
                <a:gd name="T24" fmla="+- 0 2696 2638"/>
                <a:gd name="T25" fmla="*/ T24 w 78"/>
                <a:gd name="T26" fmla="+- 0 527 520"/>
                <a:gd name="T27" fmla="*/ 527 h 80"/>
                <a:gd name="T28" fmla="+- 0 2699 2638"/>
                <a:gd name="T29" fmla="*/ T28 w 78"/>
                <a:gd name="T30" fmla="+- 0 530 520"/>
                <a:gd name="T31" fmla="*/ 530 h 80"/>
                <a:gd name="T32" fmla="+- 0 2661 2638"/>
                <a:gd name="T33" fmla="*/ T32 w 78"/>
                <a:gd name="T34" fmla="+- 0 530 520"/>
                <a:gd name="T35" fmla="*/ 530 h 80"/>
                <a:gd name="T36" fmla="+- 0 2648 2638"/>
                <a:gd name="T37" fmla="*/ T36 w 78"/>
                <a:gd name="T38" fmla="+- 0 539 520"/>
                <a:gd name="T39" fmla="*/ 539 h 80"/>
                <a:gd name="T40" fmla="+- 0 2645 2638"/>
                <a:gd name="T41" fmla="*/ T40 w 78"/>
                <a:gd name="T42" fmla="+- 0 556 520"/>
                <a:gd name="T43" fmla="*/ 556 h 80"/>
                <a:gd name="T44" fmla="+- 0 2715 2638"/>
                <a:gd name="T45" fmla="*/ T44 w 78"/>
                <a:gd name="T46" fmla="+- 0 556 520"/>
                <a:gd name="T47" fmla="*/ 556 h 80"/>
                <a:gd name="T48" fmla="+- 0 2715 2638"/>
                <a:gd name="T49" fmla="*/ T48 w 78"/>
                <a:gd name="T50" fmla="+- 0 565 520"/>
                <a:gd name="T51" fmla="*/ 565 h 80"/>
                <a:gd name="T52" fmla="+- 0 2714 2638"/>
                <a:gd name="T53" fmla="*/ T52 w 78"/>
                <a:gd name="T54" fmla="+- 0 565 520"/>
                <a:gd name="T55" fmla="*/ 565 h 80"/>
                <a:gd name="T56" fmla="+- 0 2645 2638"/>
                <a:gd name="T57" fmla="*/ T56 w 78"/>
                <a:gd name="T58" fmla="+- 0 565 520"/>
                <a:gd name="T59" fmla="*/ 565 h 80"/>
                <a:gd name="T60" fmla="+- 0 2646 2638"/>
                <a:gd name="T61" fmla="*/ T60 w 78"/>
                <a:gd name="T62" fmla="+- 0 580 520"/>
                <a:gd name="T63" fmla="*/ 580 h 80"/>
                <a:gd name="T64" fmla="+- 0 2659 2638"/>
                <a:gd name="T65" fmla="*/ T64 w 78"/>
                <a:gd name="T66" fmla="+- 0 592 520"/>
                <a:gd name="T67" fmla="*/ 592 h 80"/>
                <a:gd name="T68" fmla="+- 0 2697 2638"/>
                <a:gd name="T69" fmla="*/ T68 w 78"/>
                <a:gd name="T70" fmla="+- 0 592 520"/>
                <a:gd name="T71" fmla="*/ 592 h 80"/>
                <a:gd name="T72" fmla="+- 0 2687 2638"/>
                <a:gd name="T73" fmla="*/ T72 w 78"/>
                <a:gd name="T74" fmla="+- 0 598 520"/>
                <a:gd name="T75" fmla="*/ 598 h 80"/>
                <a:gd name="T76" fmla="+- 0 2661 2638"/>
                <a:gd name="T77" fmla="*/ T76 w 78"/>
                <a:gd name="T78" fmla="+- 0 600 520"/>
                <a:gd name="T7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8" h="80">
                  <a:moveTo>
                    <a:pt x="23" y="80"/>
                  </a:moveTo>
                  <a:lnTo>
                    <a:pt x="9" y="70"/>
                  </a:lnTo>
                  <a:lnTo>
                    <a:pt x="1" y="51"/>
                  </a:lnTo>
                  <a:lnTo>
                    <a:pt x="0" y="22"/>
                  </a:lnTo>
                  <a:lnTo>
                    <a:pt x="15" y="7"/>
                  </a:lnTo>
                  <a:lnTo>
                    <a:pt x="36" y="0"/>
                  </a:lnTo>
                  <a:lnTo>
                    <a:pt x="58" y="7"/>
                  </a:lnTo>
                  <a:lnTo>
                    <a:pt x="61" y="10"/>
                  </a:lnTo>
                  <a:lnTo>
                    <a:pt x="23" y="10"/>
                  </a:lnTo>
                  <a:lnTo>
                    <a:pt x="10" y="19"/>
                  </a:lnTo>
                  <a:lnTo>
                    <a:pt x="7" y="36"/>
                  </a:lnTo>
                  <a:lnTo>
                    <a:pt x="77" y="36"/>
                  </a:lnTo>
                  <a:lnTo>
                    <a:pt x="77" y="45"/>
                  </a:lnTo>
                  <a:lnTo>
                    <a:pt x="76" y="45"/>
                  </a:lnTo>
                  <a:lnTo>
                    <a:pt x="7" y="45"/>
                  </a:lnTo>
                  <a:lnTo>
                    <a:pt x="8" y="60"/>
                  </a:lnTo>
                  <a:lnTo>
                    <a:pt x="21" y="72"/>
                  </a:lnTo>
                  <a:lnTo>
                    <a:pt x="59" y="72"/>
                  </a:lnTo>
                  <a:lnTo>
                    <a:pt x="49" y="78"/>
                  </a:lnTo>
                  <a:lnTo>
                    <a:pt x="23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6" name="Freeform 4838">
              <a:extLst>
                <a:ext uri="{FF2B5EF4-FFF2-40B4-BE49-F238E27FC236}">
                  <a16:creationId xmlns:a16="http://schemas.microsoft.com/office/drawing/2014/main" id="{D017A7D1-857F-B6BF-9F07-ACE10165FC65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715 2638"/>
                <a:gd name="T1" fmla="*/ T0 w 78"/>
                <a:gd name="T2" fmla="+- 0 556 520"/>
                <a:gd name="T3" fmla="*/ 556 h 80"/>
                <a:gd name="T4" fmla="+- 0 2703 2638"/>
                <a:gd name="T5" fmla="*/ T4 w 78"/>
                <a:gd name="T6" fmla="+- 0 556 520"/>
                <a:gd name="T7" fmla="*/ 556 h 80"/>
                <a:gd name="T8" fmla="+- 0 2700 2638"/>
                <a:gd name="T9" fmla="*/ T8 w 78"/>
                <a:gd name="T10" fmla="+- 0 538 520"/>
                <a:gd name="T11" fmla="*/ 538 h 80"/>
                <a:gd name="T12" fmla="+- 0 2686 2638"/>
                <a:gd name="T13" fmla="*/ T12 w 78"/>
                <a:gd name="T14" fmla="+- 0 530 520"/>
                <a:gd name="T15" fmla="*/ 530 h 80"/>
                <a:gd name="T16" fmla="+- 0 2699 2638"/>
                <a:gd name="T17" fmla="*/ T16 w 78"/>
                <a:gd name="T18" fmla="+- 0 530 520"/>
                <a:gd name="T19" fmla="*/ 530 h 80"/>
                <a:gd name="T20" fmla="+- 0 2709 2638"/>
                <a:gd name="T21" fmla="*/ T20 w 78"/>
                <a:gd name="T22" fmla="+- 0 540 520"/>
                <a:gd name="T23" fmla="*/ 540 h 80"/>
                <a:gd name="T24" fmla="+- 0 2713 2638"/>
                <a:gd name="T25" fmla="*/ T24 w 78"/>
                <a:gd name="T26" fmla="+- 0 547 520"/>
                <a:gd name="T27" fmla="*/ 547 h 80"/>
                <a:gd name="T28" fmla="+- 0 2715 2638"/>
                <a:gd name="T29" fmla="*/ T28 w 78"/>
                <a:gd name="T30" fmla="+- 0 556 520"/>
                <a:gd name="T31" fmla="*/ 556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77" y="36"/>
                  </a:moveTo>
                  <a:lnTo>
                    <a:pt x="65" y="36"/>
                  </a:lnTo>
                  <a:lnTo>
                    <a:pt x="62" y="18"/>
                  </a:lnTo>
                  <a:lnTo>
                    <a:pt x="48" y="10"/>
                  </a:lnTo>
                  <a:lnTo>
                    <a:pt x="61" y="10"/>
                  </a:lnTo>
                  <a:lnTo>
                    <a:pt x="71" y="20"/>
                  </a:lnTo>
                  <a:lnTo>
                    <a:pt x="75" y="27"/>
                  </a:lnTo>
                  <a:lnTo>
                    <a:pt x="77" y="3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7" name="Freeform 4837">
              <a:extLst>
                <a:ext uri="{FF2B5EF4-FFF2-40B4-BE49-F238E27FC236}">
                  <a16:creationId xmlns:a16="http://schemas.microsoft.com/office/drawing/2014/main" id="{D5F4C473-9E49-A76B-A5B7-0D2586F26A66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697 2638"/>
                <a:gd name="T1" fmla="*/ T0 w 78"/>
                <a:gd name="T2" fmla="+- 0 592 520"/>
                <a:gd name="T3" fmla="*/ 592 h 80"/>
                <a:gd name="T4" fmla="+- 0 2674 2638"/>
                <a:gd name="T5" fmla="*/ T4 w 78"/>
                <a:gd name="T6" fmla="+- 0 592 520"/>
                <a:gd name="T7" fmla="*/ 592 h 80"/>
                <a:gd name="T8" fmla="+- 0 2689 2638"/>
                <a:gd name="T9" fmla="*/ T8 w 78"/>
                <a:gd name="T10" fmla="+- 0 592 520"/>
                <a:gd name="T11" fmla="*/ 592 h 80"/>
                <a:gd name="T12" fmla="+- 0 2698 2638"/>
                <a:gd name="T13" fmla="*/ T12 w 78"/>
                <a:gd name="T14" fmla="+- 0 582 520"/>
                <a:gd name="T15" fmla="*/ 582 h 80"/>
                <a:gd name="T16" fmla="+- 0 2701 2638"/>
                <a:gd name="T17" fmla="*/ T16 w 78"/>
                <a:gd name="T18" fmla="+- 0 574 520"/>
                <a:gd name="T19" fmla="*/ 574 h 80"/>
                <a:gd name="T20" fmla="+- 0 2713 2638"/>
                <a:gd name="T21" fmla="*/ T20 w 78"/>
                <a:gd name="T22" fmla="+- 0 574 520"/>
                <a:gd name="T23" fmla="*/ 574 h 80"/>
                <a:gd name="T24" fmla="+- 0 2704 2638"/>
                <a:gd name="T25" fmla="*/ T24 w 78"/>
                <a:gd name="T26" fmla="+- 0 589 520"/>
                <a:gd name="T27" fmla="*/ 589 h 80"/>
                <a:gd name="T28" fmla="+- 0 2697 2638"/>
                <a:gd name="T29" fmla="*/ T28 w 78"/>
                <a:gd name="T30" fmla="+- 0 592 520"/>
                <a:gd name="T31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59" y="72"/>
                  </a:moveTo>
                  <a:lnTo>
                    <a:pt x="36" y="72"/>
                  </a:lnTo>
                  <a:lnTo>
                    <a:pt x="51" y="72"/>
                  </a:lnTo>
                  <a:lnTo>
                    <a:pt x="60" y="62"/>
                  </a:lnTo>
                  <a:lnTo>
                    <a:pt x="63" y="54"/>
                  </a:lnTo>
                  <a:lnTo>
                    <a:pt x="75" y="54"/>
                  </a:lnTo>
                  <a:lnTo>
                    <a:pt x="66" y="69"/>
                  </a:lnTo>
                  <a:lnTo>
                    <a:pt x="59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633BDDFE-8FF8-340E-A538-FC8D47DF0BF8}"/>
              </a:ext>
            </a:extLst>
          </xdr:cNvPr>
          <xdr:cNvGrpSpPr>
            <a:grpSpLocks/>
          </xdr:cNvGrpSpPr>
        </xdr:nvGrpSpPr>
        <xdr:grpSpPr bwMode="auto">
          <a:xfrm>
            <a:off x="2729" y="520"/>
            <a:ext cx="69" cy="81"/>
            <a:chOff x="2729" y="520"/>
            <a:chExt cx="69" cy="81"/>
          </a:xfrm>
        </xdr:grpSpPr>
        <xdr:sp macro="" textlink="">
          <xdr:nvSpPr>
            <xdr:cNvPr id="32" name="Freeform 4835">
              <a:extLst>
                <a:ext uri="{FF2B5EF4-FFF2-40B4-BE49-F238E27FC236}">
                  <a16:creationId xmlns:a16="http://schemas.microsoft.com/office/drawing/2014/main" id="{1B76C596-0530-3332-B37F-EC416D29E50B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53 2729"/>
                <a:gd name="T1" fmla="*/ T0 w 69"/>
                <a:gd name="T2" fmla="+- 0 531 520"/>
                <a:gd name="T3" fmla="*/ 531 h 81"/>
                <a:gd name="T4" fmla="+- 0 2740 2729"/>
                <a:gd name="T5" fmla="*/ T4 w 69"/>
                <a:gd name="T6" fmla="+- 0 531 520"/>
                <a:gd name="T7" fmla="*/ 531 h 81"/>
                <a:gd name="T8" fmla="+- 0 2744 2729"/>
                <a:gd name="T9" fmla="*/ T8 w 69"/>
                <a:gd name="T10" fmla="+- 0 526 520"/>
                <a:gd name="T11" fmla="*/ 526 h 81"/>
                <a:gd name="T12" fmla="+- 0 2752 2729"/>
                <a:gd name="T13" fmla="*/ T12 w 69"/>
                <a:gd name="T14" fmla="+- 0 520 520"/>
                <a:gd name="T15" fmla="*/ 520 h 81"/>
                <a:gd name="T16" fmla="+- 0 2774 2729"/>
                <a:gd name="T17" fmla="*/ T16 w 69"/>
                <a:gd name="T18" fmla="+- 0 520 520"/>
                <a:gd name="T19" fmla="*/ 520 h 81"/>
                <a:gd name="T20" fmla="+- 0 2782 2729"/>
                <a:gd name="T21" fmla="*/ T20 w 69"/>
                <a:gd name="T22" fmla="+- 0 523 520"/>
                <a:gd name="T23" fmla="*/ 523 h 81"/>
                <a:gd name="T24" fmla="+- 0 2789 2729"/>
                <a:gd name="T25" fmla="*/ T24 w 69"/>
                <a:gd name="T26" fmla="+- 0 530 520"/>
                <a:gd name="T27" fmla="*/ 530 h 81"/>
                <a:gd name="T28" fmla="+- 0 2761 2729"/>
                <a:gd name="T29" fmla="*/ T28 w 69"/>
                <a:gd name="T30" fmla="+- 0 530 520"/>
                <a:gd name="T31" fmla="*/ 530 h 81"/>
                <a:gd name="T32" fmla="+- 0 2753 2729"/>
                <a:gd name="T33" fmla="*/ T32 w 69"/>
                <a:gd name="T34" fmla="+- 0 531 520"/>
                <a:gd name="T35" fmla="*/ 531 h 81"/>
                <a:gd name="T36" fmla="+- 0 2753 2729"/>
                <a:gd name="T37" fmla="*/ T36 w 69"/>
                <a:gd name="T38" fmla="+- 0 531 520"/>
                <a:gd name="T39" fmla="*/ 53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9" h="81">
                  <a:moveTo>
                    <a:pt x="24" y="11"/>
                  </a:moveTo>
                  <a:lnTo>
                    <a:pt x="11" y="11"/>
                  </a:lnTo>
                  <a:lnTo>
                    <a:pt x="15" y="6"/>
                  </a:lnTo>
                  <a:lnTo>
                    <a:pt x="23" y="0"/>
                  </a:lnTo>
                  <a:lnTo>
                    <a:pt x="45" y="0"/>
                  </a:lnTo>
                  <a:lnTo>
                    <a:pt x="53" y="3"/>
                  </a:lnTo>
                  <a:lnTo>
                    <a:pt x="60" y="10"/>
                  </a:lnTo>
                  <a:lnTo>
                    <a:pt x="32" y="10"/>
                  </a:lnTo>
                  <a:lnTo>
                    <a:pt x="24" y="1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3" name="Freeform 4834">
              <a:extLst>
                <a:ext uri="{FF2B5EF4-FFF2-40B4-BE49-F238E27FC236}">
                  <a16:creationId xmlns:a16="http://schemas.microsoft.com/office/drawing/2014/main" id="{A16E089E-8BF9-64AC-8538-E265F8968681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40 2729"/>
                <a:gd name="T1" fmla="*/ T0 w 69"/>
                <a:gd name="T2" fmla="+- 0 601 520"/>
                <a:gd name="T3" fmla="*/ 601 h 81"/>
                <a:gd name="T4" fmla="+- 0 2729 2729"/>
                <a:gd name="T5" fmla="*/ T4 w 69"/>
                <a:gd name="T6" fmla="+- 0 601 520"/>
                <a:gd name="T7" fmla="*/ 601 h 81"/>
                <a:gd name="T8" fmla="+- 0 2729 2729"/>
                <a:gd name="T9" fmla="*/ T8 w 69"/>
                <a:gd name="T10" fmla="+- 0 522 520"/>
                <a:gd name="T11" fmla="*/ 522 h 81"/>
                <a:gd name="T12" fmla="+- 0 2740 2729"/>
                <a:gd name="T13" fmla="*/ T12 w 69"/>
                <a:gd name="T14" fmla="+- 0 522 520"/>
                <a:gd name="T15" fmla="*/ 522 h 81"/>
                <a:gd name="T16" fmla="+- 0 2740 2729"/>
                <a:gd name="T17" fmla="*/ T16 w 69"/>
                <a:gd name="T18" fmla="+- 0 531 520"/>
                <a:gd name="T19" fmla="*/ 531 h 81"/>
                <a:gd name="T20" fmla="+- 0 2753 2729"/>
                <a:gd name="T21" fmla="*/ T20 w 69"/>
                <a:gd name="T22" fmla="+- 0 531 520"/>
                <a:gd name="T23" fmla="*/ 531 h 81"/>
                <a:gd name="T24" fmla="+- 0 2747 2729"/>
                <a:gd name="T25" fmla="*/ T24 w 69"/>
                <a:gd name="T26" fmla="+- 0 537 520"/>
                <a:gd name="T27" fmla="*/ 537 h 81"/>
                <a:gd name="T28" fmla="+- 0 2743 2729"/>
                <a:gd name="T29" fmla="*/ T28 w 69"/>
                <a:gd name="T30" fmla="+- 0 541 520"/>
                <a:gd name="T31" fmla="*/ 541 h 81"/>
                <a:gd name="T32" fmla="+- 0 2740 2729"/>
                <a:gd name="T33" fmla="*/ T32 w 69"/>
                <a:gd name="T34" fmla="+- 0 549 520"/>
                <a:gd name="T35" fmla="*/ 549 h 81"/>
                <a:gd name="T36" fmla="+- 0 2740 2729"/>
                <a:gd name="T37" fmla="*/ T36 w 69"/>
                <a:gd name="T38" fmla="+- 0 558 520"/>
                <a:gd name="T39" fmla="*/ 558 h 81"/>
                <a:gd name="T40" fmla="+- 0 2740 2729"/>
                <a:gd name="T41" fmla="*/ T40 w 69"/>
                <a:gd name="T42" fmla="+- 0 601 520"/>
                <a:gd name="T43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69" h="81">
                  <a:moveTo>
                    <a:pt x="11" y="81"/>
                  </a:moveTo>
                  <a:lnTo>
                    <a:pt x="0" y="81"/>
                  </a:lnTo>
                  <a:lnTo>
                    <a:pt x="0" y="2"/>
                  </a:lnTo>
                  <a:lnTo>
                    <a:pt x="11" y="2"/>
                  </a:lnTo>
                  <a:lnTo>
                    <a:pt x="11" y="11"/>
                  </a:lnTo>
                  <a:lnTo>
                    <a:pt x="24" y="11"/>
                  </a:lnTo>
                  <a:lnTo>
                    <a:pt x="18" y="17"/>
                  </a:lnTo>
                  <a:lnTo>
                    <a:pt x="14" y="21"/>
                  </a:lnTo>
                  <a:lnTo>
                    <a:pt x="11" y="29"/>
                  </a:lnTo>
                  <a:lnTo>
                    <a:pt x="11" y="38"/>
                  </a:lnTo>
                  <a:lnTo>
                    <a:pt x="11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4" name="Freeform 4833">
              <a:extLst>
                <a:ext uri="{FF2B5EF4-FFF2-40B4-BE49-F238E27FC236}">
                  <a16:creationId xmlns:a16="http://schemas.microsoft.com/office/drawing/2014/main" id="{8967382A-D3CD-46F8-AD39-E91211484665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98 2729"/>
                <a:gd name="T1" fmla="*/ T0 w 69"/>
                <a:gd name="T2" fmla="+- 0 600 520"/>
                <a:gd name="T3" fmla="*/ 600 h 81"/>
                <a:gd name="T4" fmla="+- 0 2787 2729"/>
                <a:gd name="T5" fmla="*/ T4 w 69"/>
                <a:gd name="T6" fmla="+- 0 600 520"/>
                <a:gd name="T7" fmla="*/ 600 h 81"/>
                <a:gd name="T8" fmla="+- 0 2787 2729"/>
                <a:gd name="T9" fmla="*/ T8 w 69"/>
                <a:gd name="T10" fmla="+- 0 549 520"/>
                <a:gd name="T11" fmla="*/ 549 h 81"/>
                <a:gd name="T12" fmla="+- 0 2784 2729"/>
                <a:gd name="T13" fmla="*/ T12 w 69"/>
                <a:gd name="T14" fmla="+- 0 541 520"/>
                <a:gd name="T15" fmla="*/ 541 h 81"/>
                <a:gd name="T16" fmla="+- 0 2774 2729"/>
                <a:gd name="T17" fmla="*/ T16 w 69"/>
                <a:gd name="T18" fmla="+- 0 531 520"/>
                <a:gd name="T19" fmla="*/ 531 h 81"/>
                <a:gd name="T20" fmla="+- 0 2766 2729"/>
                <a:gd name="T21" fmla="*/ T20 w 69"/>
                <a:gd name="T22" fmla="+- 0 530 520"/>
                <a:gd name="T23" fmla="*/ 530 h 81"/>
                <a:gd name="T24" fmla="+- 0 2789 2729"/>
                <a:gd name="T25" fmla="*/ T24 w 69"/>
                <a:gd name="T26" fmla="+- 0 530 520"/>
                <a:gd name="T27" fmla="*/ 530 h 81"/>
                <a:gd name="T28" fmla="+- 0 2795 2729"/>
                <a:gd name="T29" fmla="*/ T28 w 69"/>
                <a:gd name="T30" fmla="+- 0 536 520"/>
                <a:gd name="T31" fmla="*/ 536 h 81"/>
                <a:gd name="T32" fmla="+- 0 2798 2729"/>
                <a:gd name="T33" fmla="*/ T32 w 69"/>
                <a:gd name="T34" fmla="+- 0 546 520"/>
                <a:gd name="T35" fmla="*/ 546 h 81"/>
                <a:gd name="T36" fmla="+- 0 2798 2729"/>
                <a:gd name="T37" fmla="*/ T36 w 69"/>
                <a:gd name="T38" fmla="+- 0 600 520"/>
                <a:gd name="T39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9" h="81">
                  <a:moveTo>
                    <a:pt x="69" y="80"/>
                  </a:moveTo>
                  <a:lnTo>
                    <a:pt x="58" y="80"/>
                  </a:lnTo>
                  <a:lnTo>
                    <a:pt x="58" y="29"/>
                  </a:lnTo>
                  <a:lnTo>
                    <a:pt x="55" y="21"/>
                  </a:lnTo>
                  <a:lnTo>
                    <a:pt x="45" y="11"/>
                  </a:lnTo>
                  <a:lnTo>
                    <a:pt x="37" y="10"/>
                  </a:lnTo>
                  <a:lnTo>
                    <a:pt x="60" y="10"/>
                  </a:lnTo>
                  <a:lnTo>
                    <a:pt x="66" y="16"/>
                  </a:lnTo>
                  <a:lnTo>
                    <a:pt x="69" y="26"/>
                  </a:lnTo>
                  <a:lnTo>
                    <a:pt x="69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7DE0B64B-90BD-6A85-B4C6-85A9747DB377}"/>
              </a:ext>
            </a:extLst>
          </xdr:cNvPr>
          <xdr:cNvGrpSpPr>
            <a:grpSpLocks/>
          </xdr:cNvGrpSpPr>
        </xdr:nvGrpSpPr>
        <xdr:grpSpPr bwMode="auto">
          <a:xfrm>
            <a:off x="2810" y="495"/>
            <a:ext cx="46" cy="106"/>
            <a:chOff x="2810" y="495"/>
            <a:chExt cx="46" cy="106"/>
          </a:xfrm>
        </xdr:grpSpPr>
        <xdr:sp macro="" textlink="">
          <xdr:nvSpPr>
            <xdr:cNvPr id="29" name="Freeform 4831">
              <a:extLst>
                <a:ext uri="{FF2B5EF4-FFF2-40B4-BE49-F238E27FC236}">
                  <a16:creationId xmlns:a16="http://schemas.microsoft.com/office/drawing/2014/main" id="{A95153B0-7AF8-AB28-B479-AD66DFDABFD2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37 2810"/>
                <a:gd name="T1" fmla="*/ T0 w 46"/>
                <a:gd name="T2" fmla="+- 0 522 495"/>
                <a:gd name="T3" fmla="*/ 522 h 106"/>
                <a:gd name="T4" fmla="+- 0 2826 2810"/>
                <a:gd name="T5" fmla="*/ T4 w 46"/>
                <a:gd name="T6" fmla="+- 0 522 495"/>
                <a:gd name="T7" fmla="*/ 522 h 106"/>
                <a:gd name="T8" fmla="+- 0 2826 2810"/>
                <a:gd name="T9" fmla="*/ T8 w 46"/>
                <a:gd name="T10" fmla="+- 0 495 495"/>
                <a:gd name="T11" fmla="*/ 495 h 106"/>
                <a:gd name="T12" fmla="+- 0 2837 2810"/>
                <a:gd name="T13" fmla="*/ T12 w 46"/>
                <a:gd name="T14" fmla="+- 0 495 495"/>
                <a:gd name="T15" fmla="*/ 495 h 106"/>
                <a:gd name="T16" fmla="+- 0 2837 2810"/>
                <a:gd name="T17" fmla="*/ T16 w 46"/>
                <a:gd name="T18" fmla="+- 0 522 495"/>
                <a:gd name="T19" fmla="*/ 52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27" y="27"/>
                  </a:moveTo>
                  <a:lnTo>
                    <a:pt x="16" y="27"/>
                  </a:lnTo>
                  <a:lnTo>
                    <a:pt x="16" y="0"/>
                  </a:lnTo>
                  <a:lnTo>
                    <a:pt x="27" y="0"/>
                  </a:lnTo>
                  <a:lnTo>
                    <a:pt x="27" y="2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" name="Freeform 4830">
              <a:extLst>
                <a:ext uri="{FF2B5EF4-FFF2-40B4-BE49-F238E27FC236}">
                  <a16:creationId xmlns:a16="http://schemas.microsoft.com/office/drawing/2014/main" id="{54B5A535-E11B-AC2E-C753-A3E333FE6876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56 2810"/>
                <a:gd name="T1" fmla="*/ T0 w 46"/>
                <a:gd name="T2" fmla="+- 0 532 495"/>
                <a:gd name="T3" fmla="*/ 532 h 106"/>
                <a:gd name="T4" fmla="+- 0 2810 2810"/>
                <a:gd name="T5" fmla="*/ T4 w 46"/>
                <a:gd name="T6" fmla="+- 0 532 495"/>
                <a:gd name="T7" fmla="*/ 532 h 106"/>
                <a:gd name="T8" fmla="+- 0 2810 2810"/>
                <a:gd name="T9" fmla="*/ T8 w 46"/>
                <a:gd name="T10" fmla="+- 0 522 495"/>
                <a:gd name="T11" fmla="*/ 522 h 106"/>
                <a:gd name="T12" fmla="+- 0 2856 2810"/>
                <a:gd name="T13" fmla="*/ T12 w 46"/>
                <a:gd name="T14" fmla="+- 0 522 495"/>
                <a:gd name="T15" fmla="*/ 522 h 106"/>
                <a:gd name="T16" fmla="+- 0 2856 2810"/>
                <a:gd name="T17" fmla="*/ T16 w 46"/>
                <a:gd name="T18" fmla="+- 0 532 495"/>
                <a:gd name="T19" fmla="*/ 53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46" y="37"/>
                  </a:moveTo>
                  <a:lnTo>
                    <a:pt x="0" y="37"/>
                  </a:lnTo>
                  <a:lnTo>
                    <a:pt x="0" y="27"/>
                  </a:lnTo>
                  <a:lnTo>
                    <a:pt x="46" y="27"/>
                  </a:lnTo>
                  <a:lnTo>
                    <a:pt x="46" y="3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1" name="Freeform 4829">
              <a:extLst>
                <a:ext uri="{FF2B5EF4-FFF2-40B4-BE49-F238E27FC236}">
                  <a16:creationId xmlns:a16="http://schemas.microsoft.com/office/drawing/2014/main" id="{5AE56F17-440B-FC17-9951-91E11E42CC51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37 2810"/>
                <a:gd name="T1" fmla="*/ T0 w 46"/>
                <a:gd name="T2" fmla="+- 0 601 495"/>
                <a:gd name="T3" fmla="*/ 601 h 106"/>
                <a:gd name="T4" fmla="+- 0 2826 2810"/>
                <a:gd name="T5" fmla="*/ T4 w 46"/>
                <a:gd name="T6" fmla="+- 0 601 495"/>
                <a:gd name="T7" fmla="*/ 601 h 106"/>
                <a:gd name="T8" fmla="+- 0 2826 2810"/>
                <a:gd name="T9" fmla="*/ T8 w 46"/>
                <a:gd name="T10" fmla="+- 0 532 495"/>
                <a:gd name="T11" fmla="*/ 532 h 106"/>
                <a:gd name="T12" fmla="+- 0 2837 2810"/>
                <a:gd name="T13" fmla="*/ T12 w 46"/>
                <a:gd name="T14" fmla="+- 0 532 495"/>
                <a:gd name="T15" fmla="*/ 532 h 106"/>
                <a:gd name="T16" fmla="+- 0 2837 2810"/>
                <a:gd name="T17" fmla="*/ T16 w 46"/>
                <a:gd name="T18" fmla="+- 0 601 495"/>
                <a:gd name="T19" fmla="*/ 601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27" y="106"/>
                  </a:moveTo>
                  <a:lnTo>
                    <a:pt x="16" y="106"/>
                  </a:lnTo>
                  <a:lnTo>
                    <a:pt x="16" y="37"/>
                  </a:lnTo>
                  <a:lnTo>
                    <a:pt x="27" y="37"/>
                  </a:lnTo>
                  <a:lnTo>
                    <a:pt x="27" y="10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C469BC22-E1A7-3066-4BE4-E6766D043032}"/>
              </a:ext>
            </a:extLst>
          </xdr:cNvPr>
          <xdr:cNvGrpSpPr>
            <a:grpSpLocks/>
          </xdr:cNvGrpSpPr>
        </xdr:nvGrpSpPr>
        <xdr:grpSpPr bwMode="auto">
          <a:xfrm>
            <a:off x="2867" y="520"/>
            <a:ext cx="78" cy="80"/>
            <a:chOff x="2867" y="520"/>
            <a:chExt cx="78" cy="80"/>
          </a:xfrm>
        </xdr:grpSpPr>
        <xdr:sp macro="" textlink="">
          <xdr:nvSpPr>
            <xdr:cNvPr id="26" name="Freeform 4827">
              <a:extLst>
                <a:ext uri="{FF2B5EF4-FFF2-40B4-BE49-F238E27FC236}">
                  <a16:creationId xmlns:a16="http://schemas.microsoft.com/office/drawing/2014/main" id="{9668FA40-58D6-12B3-9461-04EB1F12066F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890 2867"/>
                <a:gd name="T1" fmla="*/ T0 w 78"/>
                <a:gd name="T2" fmla="+- 0 600 520"/>
                <a:gd name="T3" fmla="*/ 600 h 80"/>
                <a:gd name="T4" fmla="+- 0 2876 2867"/>
                <a:gd name="T5" fmla="*/ T4 w 78"/>
                <a:gd name="T6" fmla="+- 0 590 520"/>
                <a:gd name="T7" fmla="*/ 590 h 80"/>
                <a:gd name="T8" fmla="+- 0 2867 2867"/>
                <a:gd name="T9" fmla="*/ T8 w 78"/>
                <a:gd name="T10" fmla="+- 0 571 520"/>
                <a:gd name="T11" fmla="*/ 571 h 80"/>
                <a:gd name="T12" fmla="+- 0 2867 2867"/>
                <a:gd name="T13" fmla="*/ T12 w 78"/>
                <a:gd name="T14" fmla="+- 0 542 520"/>
                <a:gd name="T15" fmla="*/ 542 h 80"/>
                <a:gd name="T16" fmla="+- 0 2881 2867"/>
                <a:gd name="T17" fmla="*/ T16 w 78"/>
                <a:gd name="T18" fmla="+- 0 527 520"/>
                <a:gd name="T19" fmla="*/ 527 h 80"/>
                <a:gd name="T20" fmla="+- 0 2902 2867"/>
                <a:gd name="T21" fmla="*/ T20 w 78"/>
                <a:gd name="T22" fmla="+- 0 520 520"/>
                <a:gd name="T23" fmla="*/ 520 h 80"/>
                <a:gd name="T24" fmla="+- 0 2924 2867"/>
                <a:gd name="T25" fmla="*/ T24 w 78"/>
                <a:gd name="T26" fmla="+- 0 527 520"/>
                <a:gd name="T27" fmla="*/ 527 h 80"/>
                <a:gd name="T28" fmla="+- 0 2928 2867"/>
                <a:gd name="T29" fmla="*/ T28 w 78"/>
                <a:gd name="T30" fmla="+- 0 530 520"/>
                <a:gd name="T31" fmla="*/ 530 h 80"/>
                <a:gd name="T32" fmla="+- 0 2890 2867"/>
                <a:gd name="T33" fmla="*/ T32 w 78"/>
                <a:gd name="T34" fmla="+- 0 530 520"/>
                <a:gd name="T35" fmla="*/ 530 h 80"/>
                <a:gd name="T36" fmla="+- 0 2876 2867"/>
                <a:gd name="T37" fmla="*/ T36 w 78"/>
                <a:gd name="T38" fmla="+- 0 539 520"/>
                <a:gd name="T39" fmla="*/ 539 h 80"/>
                <a:gd name="T40" fmla="+- 0 2873 2867"/>
                <a:gd name="T41" fmla="*/ T40 w 78"/>
                <a:gd name="T42" fmla="+- 0 555 520"/>
                <a:gd name="T43" fmla="*/ 555 h 80"/>
                <a:gd name="T44" fmla="+- 0 2944 2867"/>
                <a:gd name="T45" fmla="*/ T44 w 78"/>
                <a:gd name="T46" fmla="+- 0 555 520"/>
                <a:gd name="T47" fmla="*/ 555 h 80"/>
                <a:gd name="T48" fmla="+- 0 2943 2867"/>
                <a:gd name="T49" fmla="*/ T48 w 78"/>
                <a:gd name="T50" fmla="+- 0 565 520"/>
                <a:gd name="T51" fmla="*/ 565 h 80"/>
                <a:gd name="T52" fmla="+- 0 2943 2867"/>
                <a:gd name="T53" fmla="*/ T52 w 78"/>
                <a:gd name="T54" fmla="+- 0 565 520"/>
                <a:gd name="T55" fmla="*/ 565 h 80"/>
                <a:gd name="T56" fmla="+- 0 2873 2867"/>
                <a:gd name="T57" fmla="*/ T56 w 78"/>
                <a:gd name="T58" fmla="+- 0 565 520"/>
                <a:gd name="T59" fmla="*/ 565 h 80"/>
                <a:gd name="T60" fmla="+- 0 2874 2867"/>
                <a:gd name="T61" fmla="*/ T60 w 78"/>
                <a:gd name="T62" fmla="+- 0 580 520"/>
                <a:gd name="T63" fmla="*/ 580 h 80"/>
                <a:gd name="T64" fmla="+- 0 2888 2867"/>
                <a:gd name="T65" fmla="*/ T64 w 78"/>
                <a:gd name="T66" fmla="+- 0 592 520"/>
                <a:gd name="T67" fmla="*/ 592 h 80"/>
                <a:gd name="T68" fmla="+- 0 2926 2867"/>
                <a:gd name="T69" fmla="*/ T68 w 78"/>
                <a:gd name="T70" fmla="+- 0 592 520"/>
                <a:gd name="T71" fmla="*/ 592 h 80"/>
                <a:gd name="T72" fmla="+- 0 2915 2867"/>
                <a:gd name="T73" fmla="*/ T72 w 78"/>
                <a:gd name="T74" fmla="+- 0 598 520"/>
                <a:gd name="T75" fmla="*/ 598 h 80"/>
                <a:gd name="T76" fmla="+- 0 2890 2867"/>
                <a:gd name="T77" fmla="*/ T76 w 78"/>
                <a:gd name="T78" fmla="+- 0 600 520"/>
                <a:gd name="T7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8" h="80">
                  <a:moveTo>
                    <a:pt x="23" y="80"/>
                  </a:moveTo>
                  <a:lnTo>
                    <a:pt x="9" y="70"/>
                  </a:lnTo>
                  <a:lnTo>
                    <a:pt x="0" y="51"/>
                  </a:lnTo>
                  <a:lnTo>
                    <a:pt x="0" y="22"/>
                  </a:lnTo>
                  <a:lnTo>
                    <a:pt x="14" y="7"/>
                  </a:lnTo>
                  <a:lnTo>
                    <a:pt x="35" y="0"/>
                  </a:lnTo>
                  <a:lnTo>
                    <a:pt x="57" y="7"/>
                  </a:lnTo>
                  <a:lnTo>
                    <a:pt x="61" y="10"/>
                  </a:lnTo>
                  <a:lnTo>
                    <a:pt x="23" y="10"/>
                  </a:lnTo>
                  <a:lnTo>
                    <a:pt x="9" y="19"/>
                  </a:lnTo>
                  <a:lnTo>
                    <a:pt x="6" y="35"/>
                  </a:lnTo>
                  <a:lnTo>
                    <a:pt x="77" y="35"/>
                  </a:lnTo>
                  <a:lnTo>
                    <a:pt x="76" y="45"/>
                  </a:lnTo>
                  <a:lnTo>
                    <a:pt x="6" y="45"/>
                  </a:lnTo>
                  <a:lnTo>
                    <a:pt x="7" y="60"/>
                  </a:lnTo>
                  <a:lnTo>
                    <a:pt x="21" y="72"/>
                  </a:lnTo>
                  <a:lnTo>
                    <a:pt x="59" y="72"/>
                  </a:lnTo>
                  <a:lnTo>
                    <a:pt x="48" y="78"/>
                  </a:lnTo>
                  <a:lnTo>
                    <a:pt x="23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7" name="Freeform 4826">
              <a:extLst>
                <a:ext uri="{FF2B5EF4-FFF2-40B4-BE49-F238E27FC236}">
                  <a16:creationId xmlns:a16="http://schemas.microsoft.com/office/drawing/2014/main" id="{40AF6C3B-271B-CAED-7A42-B30643BD1A19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944 2867"/>
                <a:gd name="T1" fmla="*/ T0 w 78"/>
                <a:gd name="T2" fmla="+- 0 555 520"/>
                <a:gd name="T3" fmla="*/ 555 h 80"/>
                <a:gd name="T4" fmla="+- 0 2932 2867"/>
                <a:gd name="T5" fmla="*/ T4 w 78"/>
                <a:gd name="T6" fmla="+- 0 555 520"/>
                <a:gd name="T7" fmla="*/ 555 h 80"/>
                <a:gd name="T8" fmla="+- 0 2929 2867"/>
                <a:gd name="T9" fmla="*/ T8 w 78"/>
                <a:gd name="T10" fmla="+- 0 538 520"/>
                <a:gd name="T11" fmla="*/ 538 h 80"/>
                <a:gd name="T12" fmla="+- 0 2914 2867"/>
                <a:gd name="T13" fmla="*/ T12 w 78"/>
                <a:gd name="T14" fmla="+- 0 530 520"/>
                <a:gd name="T15" fmla="*/ 530 h 80"/>
                <a:gd name="T16" fmla="+- 0 2928 2867"/>
                <a:gd name="T17" fmla="*/ T16 w 78"/>
                <a:gd name="T18" fmla="+- 0 530 520"/>
                <a:gd name="T19" fmla="*/ 530 h 80"/>
                <a:gd name="T20" fmla="+- 0 2937 2867"/>
                <a:gd name="T21" fmla="*/ T20 w 78"/>
                <a:gd name="T22" fmla="+- 0 540 520"/>
                <a:gd name="T23" fmla="*/ 540 h 80"/>
                <a:gd name="T24" fmla="+- 0 2942 2867"/>
                <a:gd name="T25" fmla="*/ T24 w 78"/>
                <a:gd name="T26" fmla="+- 0 547 520"/>
                <a:gd name="T27" fmla="*/ 547 h 80"/>
                <a:gd name="T28" fmla="+- 0 2944 2867"/>
                <a:gd name="T29" fmla="*/ T28 w 78"/>
                <a:gd name="T30" fmla="+- 0 555 520"/>
                <a:gd name="T31" fmla="*/ 555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77" y="35"/>
                  </a:moveTo>
                  <a:lnTo>
                    <a:pt x="65" y="35"/>
                  </a:lnTo>
                  <a:lnTo>
                    <a:pt x="62" y="18"/>
                  </a:lnTo>
                  <a:lnTo>
                    <a:pt x="47" y="10"/>
                  </a:lnTo>
                  <a:lnTo>
                    <a:pt x="61" y="10"/>
                  </a:lnTo>
                  <a:lnTo>
                    <a:pt x="70" y="20"/>
                  </a:lnTo>
                  <a:lnTo>
                    <a:pt x="75" y="27"/>
                  </a:lnTo>
                  <a:lnTo>
                    <a:pt x="77" y="3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8" name="Freeform 4825">
              <a:extLst>
                <a:ext uri="{FF2B5EF4-FFF2-40B4-BE49-F238E27FC236}">
                  <a16:creationId xmlns:a16="http://schemas.microsoft.com/office/drawing/2014/main" id="{5333973F-8C5B-F4CD-C4E3-F7C03DE20B9E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926 2867"/>
                <a:gd name="T1" fmla="*/ T0 w 78"/>
                <a:gd name="T2" fmla="+- 0 592 520"/>
                <a:gd name="T3" fmla="*/ 592 h 80"/>
                <a:gd name="T4" fmla="+- 0 2902 2867"/>
                <a:gd name="T5" fmla="*/ T4 w 78"/>
                <a:gd name="T6" fmla="+- 0 592 520"/>
                <a:gd name="T7" fmla="*/ 592 h 80"/>
                <a:gd name="T8" fmla="+- 0 2918 2867"/>
                <a:gd name="T9" fmla="*/ T8 w 78"/>
                <a:gd name="T10" fmla="+- 0 592 520"/>
                <a:gd name="T11" fmla="*/ 592 h 80"/>
                <a:gd name="T12" fmla="+- 0 2926 2867"/>
                <a:gd name="T13" fmla="*/ T12 w 78"/>
                <a:gd name="T14" fmla="+- 0 582 520"/>
                <a:gd name="T15" fmla="*/ 582 h 80"/>
                <a:gd name="T16" fmla="+- 0 2930 2867"/>
                <a:gd name="T17" fmla="*/ T16 w 78"/>
                <a:gd name="T18" fmla="+- 0 574 520"/>
                <a:gd name="T19" fmla="*/ 574 h 80"/>
                <a:gd name="T20" fmla="+- 0 2941 2867"/>
                <a:gd name="T21" fmla="*/ T20 w 78"/>
                <a:gd name="T22" fmla="+- 0 574 520"/>
                <a:gd name="T23" fmla="*/ 574 h 80"/>
                <a:gd name="T24" fmla="+- 0 2932 2867"/>
                <a:gd name="T25" fmla="*/ T24 w 78"/>
                <a:gd name="T26" fmla="+- 0 589 520"/>
                <a:gd name="T27" fmla="*/ 589 h 80"/>
                <a:gd name="T28" fmla="+- 0 2926 2867"/>
                <a:gd name="T29" fmla="*/ T28 w 78"/>
                <a:gd name="T30" fmla="+- 0 592 520"/>
                <a:gd name="T31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59" y="72"/>
                  </a:moveTo>
                  <a:lnTo>
                    <a:pt x="35" y="72"/>
                  </a:lnTo>
                  <a:lnTo>
                    <a:pt x="51" y="72"/>
                  </a:lnTo>
                  <a:lnTo>
                    <a:pt x="59" y="62"/>
                  </a:lnTo>
                  <a:lnTo>
                    <a:pt x="63" y="54"/>
                  </a:lnTo>
                  <a:lnTo>
                    <a:pt x="74" y="54"/>
                  </a:lnTo>
                  <a:lnTo>
                    <a:pt x="65" y="69"/>
                  </a:lnTo>
                  <a:lnTo>
                    <a:pt x="59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ECAA5D64-CF21-7D31-C533-A6718BE49D83}"/>
              </a:ext>
            </a:extLst>
          </xdr:cNvPr>
          <xdr:cNvGrpSpPr>
            <a:grpSpLocks/>
          </xdr:cNvGrpSpPr>
        </xdr:nvGrpSpPr>
        <xdr:grpSpPr bwMode="auto">
          <a:xfrm>
            <a:off x="2958" y="495"/>
            <a:ext cx="78" cy="106"/>
            <a:chOff x="2958" y="495"/>
            <a:chExt cx="78" cy="106"/>
          </a:xfrm>
        </xdr:grpSpPr>
        <xdr:sp macro="" textlink="">
          <xdr:nvSpPr>
            <xdr:cNvPr id="22" name="Freeform 4823">
              <a:extLst>
                <a:ext uri="{FF2B5EF4-FFF2-40B4-BE49-F238E27FC236}">
                  <a16:creationId xmlns:a16="http://schemas.microsoft.com/office/drawing/2014/main" id="{6A02027F-04F1-630A-836A-3CFCDB2F6E87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36 2958"/>
                <a:gd name="T1" fmla="*/ T0 w 78"/>
                <a:gd name="T2" fmla="+- 0 535 495"/>
                <a:gd name="T3" fmla="*/ 535 h 106"/>
                <a:gd name="T4" fmla="+- 0 3025 2958"/>
                <a:gd name="T5" fmla="*/ T4 w 78"/>
                <a:gd name="T6" fmla="+- 0 535 495"/>
                <a:gd name="T7" fmla="*/ 535 h 106"/>
                <a:gd name="T8" fmla="+- 0 3025 2958"/>
                <a:gd name="T9" fmla="*/ T8 w 78"/>
                <a:gd name="T10" fmla="+- 0 495 495"/>
                <a:gd name="T11" fmla="*/ 495 h 106"/>
                <a:gd name="T12" fmla="+- 0 3036 2958"/>
                <a:gd name="T13" fmla="*/ T12 w 78"/>
                <a:gd name="T14" fmla="+- 0 495 495"/>
                <a:gd name="T15" fmla="*/ 495 h 106"/>
                <a:gd name="T16" fmla="+- 0 3036 2958"/>
                <a:gd name="T17" fmla="*/ T16 w 78"/>
                <a:gd name="T18" fmla="+- 0 535 495"/>
                <a:gd name="T19" fmla="*/ 535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106">
                  <a:moveTo>
                    <a:pt x="78" y="40"/>
                  </a:moveTo>
                  <a:lnTo>
                    <a:pt x="67" y="40"/>
                  </a:lnTo>
                  <a:lnTo>
                    <a:pt x="67" y="0"/>
                  </a:lnTo>
                  <a:lnTo>
                    <a:pt x="78" y="0"/>
                  </a:lnTo>
                  <a:lnTo>
                    <a:pt x="78" y="4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3" name="Freeform 4822">
              <a:extLst>
                <a:ext uri="{FF2B5EF4-FFF2-40B4-BE49-F238E27FC236}">
                  <a16:creationId xmlns:a16="http://schemas.microsoft.com/office/drawing/2014/main" id="{58634A68-8076-6DA0-F3C2-D2FE14BBBCAC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2982 2958"/>
                <a:gd name="T1" fmla="*/ T0 w 78"/>
                <a:gd name="T2" fmla="+- 0 600 495"/>
                <a:gd name="T3" fmla="*/ 600 h 106"/>
                <a:gd name="T4" fmla="+- 0 2968 2958"/>
                <a:gd name="T5" fmla="*/ T4 w 78"/>
                <a:gd name="T6" fmla="+- 0 590 495"/>
                <a:gd name="T7" fmla="*/ 590 h 106"/>
                <a:gd name="T8" fmla="+- 0 2959 2958"/>
                <a:gd name="T9" fmla="*/ T8 w 78"/>
                <a:gd name="T10" fmla="+- 0 571 495"/>
                <a:gd name="T11" fmla="*/ 571 h 106"/>
                <a:gd name="T12" fmla="+- 0 2958 2958"/>
                <a:gd name="T13" fmla="*/ T12 w 78"/>
                <a:gd name="T14" fmla="+- 0 543 495"/>
                <a:gd name="T15" fmla="*/ 543 h 106"/>
                <a:gd name="T16" fmla="+- 0 2973 2958"/>
                <a:gd name="T17" fmla="*/ T16 w 78"/>
                <a:gd name="T18" fmla="+- 0 527 495"/>
                <a:gd name="T19" fmla="*/ 527 h 106"/>
                <a:gd name="T20" fmla="+- 0 2996 2958"/>
                <a:gd name="T21" fmla="*/ T20 w 78"/>
                <a:gd name="T22" fmla="+- 0 520 495"/>
                <a:gd name="T23" fmla="*/ 520 h 106"/>
                <a:gd name="T24" fmla="+- 0 3000 2958"/>
                <a:gd name="T25" fmla="*/ T24 w 78"/>
                <a:gd name="T26" fmla="+- 0 520 495"/>
                <a:gd name="T27" fmla="*/ 520 h 106"/>
                <a:gd name="T28" fmla="+- 0 3016 2958"/>
                <a:gd name="T29" fmla="*/ T28 w 78"/>
                <a:gd name="T30" fmla="+- 0 521 495"/>
                <a:gd name="T31" fmla="*/ 521 h 106"/>
                <a:gd name="T32" fmla="+- 0 3023 2958"/>
                <a:gd name="T33" fmla="*/ T32 w 78"/>
                <a:gd name="T34" fmla="+- 0 531 495"/>
                <a:gd name="T35" fmla="*/ 531 h 106"/>
                <a:gd name="T36" fmla="+- 0 2989 2958"/>
                <a:gd name="T37" fmla="*/ T36 w 78"/>
                <a:gd name="T38" fmla="+- 0 531 495"/>
                <a:gd name="T39" fmla="*/ 531 h 106"/>
                <a:gd name="T40" fmla="+- 0 2972 2958"/>
                <a:gd name="T41" fmla="*/ T40 w 78"/>
                <a:gd name="T42" fmla="+- 0 542 495"/>
                <a:gd name="T43" fmla="*/ 542 h 106"/>
                <a:gd name="T44" fmla="+- 0 2965 2958"/>
                <a:gd name="T45" fmla="*/ T44 w 78"/>
                <a:gd name="T46" fmla="+- 0 566 495"/>
                <a:gd name="T47" fmla="*/ 566 h 106"/>
                <a:gd name="T48" fmla="+- 0 2975 2958"/>
                <a:gd name="T49" fmla="*/ T48 w 78"/>
                <a:gd name="T50" fmla="+- 0 585 495"/>
                <a:gd name="T51" fmla="*/ 585 h 106"/>
                <a:gd name="T52" fmla="+- 0 2996 2958"/>
                <a:gd name="T53" fmla="*/ T52 w 78"/>
                <a:gd name="T54" fmla="+- 0 592 495"/>
                <a:gd name="T55" fmla="*/ 592 h 106"/>
                <a:gd name="T56" fmla="+- 0 3021 2958"/>
                <a:gd name="T57" fmla="*/ T56 w 78"/>
                <a:gd name="T58" fmla="+- 0 592 495"/>
                <a:gd name="T59" fmla="*/ 592 h 106"/>
                <a:gd name="T60" fmla="+- 0 3007 2958"/>
                <a:gd name="T61" fmla="*/ T60 w 78"/>
                <a:gd name="T62" fmla="+- 0 599 495"/>
                <a:gd name="T63" fmla="*/ 599 h 106"/>
                <a:gd name="T64" fmla="+- 0 2982 2958"/>
                <a:gd name="T65" fmla="*/ T64 w 78"/>
                <a:gd name="T66" fmla="+- 0 600 495"/>
                <a:gd name="T67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8" h="106">
                  <a:moveTo>
                    <a:pt x="24" y="105"/>
                  </a:moveTo>
                  <a:lnTo>
                    <a:pt x="10" y="95"/>
                  </a:lnTo>
                  <a:lnTo>
                    <a:pt x="1" y="76"/>
                  </a:lnTo>
                  <a:lnTo>
                    <a:pt x="0" y="48"/>
                  </a:lnTo>
                  <a:lnTo>
                    <a:pt x="15" y="32"/>
                  </a:lnTo>
                  <a:lnTo>
                    <a:pt x="38" y="25"/>
                  </a:lnTo>
                  <a:lnTo>
                    <a:pt x="42" y="25"/>
                  </a:lnTo>
                  <a:lnTo>
                    <a:pt x="58" y="26"/>
                  </a:lnTo>
                  <a:lnTo>
                    <a:pt x="65" y="36"/>
                  </a:lnTo>
                  <a:lnTo>
                    <a:pt x="31" y="36"/>
                  </a:lnTo>
                  <a:lnTo>
                    <a:pt x="14" y="47"/>
                  </a:lnTo>
                  <a:lnTo>
                    <a:pt x="7" y="71"/>
                  </a:lnTo>
                  <a:lnTo>
                    <a:pt x="17" y="90"/>
                  </a:lnTo>
                  <a:lnTo>
                    <a:pt x="38" y="97"/>
                  </a:lnTo>
                  <a:lnTo>
                    <a:pt x="63" y="97"/>
                  </a:lnTo>
                  <a:lnTo>
                    <a:pt x="49" y="104"/>
                  </a:lnTo>
                  <a:lnTo>
                    <a:pt x="24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4" name="Freeform 4821">
              <a:extLst>
                <a:ext uri="{FF2B5EF4-FFF2-40B4-BE49-F238E27FC236}">
                  <a16:creationId xmlns:a16="http://schemas.microsoft.com/office/drawing/2014/main" id="{00B2FF87-5658-04CD-9AB1-86273F379B54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21 2958"/>
                <a:gd name="T1" fmla="*/ T0 w 78"/>
                <a:gd name="T2" fmla="+- 0 592 495"/>
                <a:gd name="T3" fmla="*/ 592 h 106"/>
                <a:gd name="T4" fmla="+- 0 2996 2958"/>
                <a:gd name="T5" fmla="*/ T4 w 78"/>
                <a:gd name="T6" fmla="+- 0 592 495"/>
                <a:gd name="T7" fmla="*/ 592 h 106"/>
                <a:gd name="T8" fmla="+- 0 3006 2958"/>
                <a:gd name="T9" fmla="*/ T8 w 78"/>
                <a:gd name="T10" fmla="+- 0 590 495"/>
                <a:gd name="T11" fmla="*/ 590 h 106"/>
                <a:gd name="T12" fmla="+- 0 3020 2958"/>
                <a:gd name="T13" fmla="*/ T12 w 78"/>
                <a:gd name="T14" fmla="+- 0 578 495"/>
                <a:gd name="T15" fmla="*/ 578 h 106"/>
                <a:gd name="T16" fmla="+- 0 3025 2958"/>
                <a:gd name="T17" fmla="*/ T16 w 78"/>
                <a:gd name="T18" fmla="+- 0 552 495"/>
                <a:gd name="T19" fmla="*/ 552 h 106"/>
                <a:gd name="T20" fmla="+- 0 3013 2958"/>
                <a:gd name="T21" fmla="*/ T20 w 78"/>
                <a:gd name="T22" fmla="+- 0 537 495"/>
                <a:gd name="T23" fmla="*/ 537 h 106"/>
                <a:gd name="T24" fmla="+- 0 2989 2958"/>
                <a:gd name="T25" fmla="*/ T24 w 78"/>
                <a:gd name="T26" fmla="+- 0 531 495"/>
                <a:gd name="T27" fmla="*/ 531 h 106"/>
                <a:gd name="T28" fmla="+- 0 3023 2958"/>
                <a:gd name="T29" fmla="*/ T28 w 78"/>
                <a:gd name="T30" fmla="+- 0 531 495"/>
                <a:gd name="T31" fmla="*/ 531 h 106"/>
                <a:gd name="T32" fmla="+- 0 3025 2958"/>
                <a:gd name="T33" fmla="*/ T32 w 78"/>
                <a:gd name="T34" fmla="+- 0 535 495"/>
                <a:gd name="T35" fmla="*/ 535 h 106"/>
                <a:gd name="T36" fmla="+- 0 3036 2958"/>
                <a:gd name="T37" fmla="*/ T36 w 78"/>
                <a:gd name="T38" fmla="+- 0 535 495"/>
                <a:gd name="T39" fmla="*/ 535 h 106"/>
                <a:gd name="T40" fmla="+- 0 3036 2958"/>
                <a:gd name="T41" fmla="*/ T40 w 78"/>
                <a:gd name="T42" fmla="+- 0 592 495"/>
                <a:gd name="T43" fmla="*/ 592 h 106"/>
                <a:gd name="T44" fmla="+- 0 3022 2958"/>
                <a:gd name="T45" fmla="*/ T44 w 78"/>
                <a:gd name="T46" fmla="+- 0 592 495"/>
                <a:gd name="T47" fmla="*/ 592 h 106"/>
                <a:gd name="T48" fmla="+- 0 3021 2958"/>
                <a:gd name="T49" fmla="*/ T48 w 78"/>
                <a:gd name="T50" fmla="+- 0 592 495"/>
                <a:gd name="T51" fmla="*/ 59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78" h="106">
                  <a:moveTo>
                    <a:pt x="63" y="97"/>
                  </a:moveTo>
                  <a:lnTo>
                    <a:pt x="38" y="97"/>
                  </a:lnTo>
                  <a:lnTo>
                    <a:pt x="48" y="95"/>
                  </a:lnTo>
                  <a:lnTo>
                    <a:pt x="62" y="83"/>
                  </a:lnTo>
                  <a:lnTo>
                    <a:pt x="67" y="57"/>
                  </a:lnTo>
                  <a:lnTo>
                    <a:pt x="55" y="42"/>
                  </a:lnTo>
                  <a:lnTo>
                    <a:pt x="31" y="36"/>
                  </a:lnTo>
                  <a:lnTo>
                    <a:pt x="65" y="36"/>
                  </a:lnTo>
                  <a:lnTo>
                    <a:pt x="67" y="40"/>
                  </a:lnTo>
                  <a:lnTo>
                    <a:pt x="78" y="40"/>
                  </a:lnTo>
                  <a:lnTo>
                    <a:pt x="78" y="97"/>
                  </a:lnTo>
                  <a:lnTo>
                    <a:pt x="64" y="97"/>
                  </a:lnTo>
                  <a:lnTo>
                    <a:pt x="63" y="9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5" name="Freeform 4820">
              <a:extLst>
                <a:ext uri="{FF2B5EF4-FFF2-40B4-BE49-F238E27FC236}">
                  <a16:creationId xmlns:a16="http://schemas.microsoft.com/office/drawing/2014/main" id="{A5E36A67-8B68-C5B1-D0C6-72D8178555E1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36 2958"/>
                <a:gd name="T1" fmla="*/ T0 w 78"/>
                <a:gd name="T2" fmla="+- 0 600 495"/>
                <a:gd name="T3" fmla="*/ 600 h 106"/>
                <a:gd name="T4" fmla="+- 0 3025 2958"/>
                <a:gd name="T5" fmla="*/ T4 w 78"/>
                <a:gd name="T6" fmla="+- 0 600 495"/>
                <a:gd name="T7" fmla="*/ 600 h 106"/>
                <a:gd name="T8" fmla="+- 0 3022 2958"/>
                <a:gd name="T9" fmla="*/ T8 w 78"/>
                <a:gd name="T10" fmla="+- 0 592 495"/>
                <a:gd name="T11" fmla="*/ 592 h 106"/>
                <a:gd name="T12" fmla="+- 0 3036 2958"/>
                <a:gd name="T13" fmla="*/ T12 w 78"/>
                <a:gd name="T14" fmla="+- 0 592 495"/>
                <a:gd name="T15" fmla="*/ 592 h 106"/>
                <a:gd name="T16" fmla="+- 0 3036 2958"/>
                <a:gd name="T17" fmla="*/ T16 w 78"/>
                <a:gd name="T18" fmla="+- 0 600 495"/>
                <a:gd name="T19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106">
                  <a:moveTo>
                    <a:pt x="78" y="105"/>
                  </a:moveTo>
                  <a:lnTo>
                    <a:pt x="67" y="105"/>
                  </a:lnTo>
                  <a:lnTo>
                    <a:pt x="64" y="97"/>
                  </a:lnTo>
                  <a:lnTo>
                    <a:pt x="78" y="97"/>
                  </a:lnTo>
                  <a:lnTo>
                    <a:pt x="78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9591D2B5-3104-C8E2-7239-BAA6E4D64196}"/>
              </a:ext>
            </a:extLst>
          </xdr:cNvPr>
          <xdr:cNvGrpSpPr>
            <a:grpSpLocks/>
          </xdr:cNvGrpSpPr>
        </xdr:nvGrpSpPr>
        <xdr:grpSpPr bwMode="auto">
          <a:xfrm>
            <a:off x="2174" y="575"/>
            <a:ext cx="28" cy="28"/>
            <a:chOff x="2174" y="575"/>
            <a:chExt cx="28" cy="28"/>
          </a:xfrm>
        </xdr:grpSpPr>
        <xdr:sp macro="" textlink="">
          <xdr:nvSpPr>
            <xdr:cNvPr id="21" name="Freeform 4818">
              <a:extLst>
                <a:ext uri="{FF2B5EF4-FFF2-40B4-BE49-F238E27FC236}">
                  <a16:creationId xmlns:a16="http://schemas.microsoft.com/office/drawing/2014/main" id="{71FC10C2-9968-8C9D-264E-796E420A9203}"/>
                </a:ext>
              </a:extLst>
            </xdr:cNvPr>
            <xdr:cNvSpPr>
              <a:spLocks/>
            </xdr:cNvSpPr>
          </xdr:nvSpPr>
          <xdr:spPr bwMode="auto">
            <a:xfrm>
              <a:off x="2174" y="575"/>
              <a:ext cx="28" cy="28"/>
            </a:xfrm>
            <a:custGeom>
              <a:avLst/>
              <a:gdLst>
                <a:gd name="T0" fmla="+- 0 2195 2174"/>
                <a:gd name="T1" fmla="*/ T0 w 28"/>
                <a:gd name="T2" fmla="+- 0 603 575"/>
                <a:gd name="T3" fmla="*/ 603 h 28"/>
                <a:gd name="T4" fmla="+- 0 2180 2174"/>
                <a:gd name="T5" fmla="*/ T4 w 28"/>
                <a:gd name="T6" fmla="+- 0 603 575"/>
                <a:gd name="T7" fmla="*/ 603 h 28"/>
                <a:gd name="T8" fmla="+- 0 2174 2174"/>
                <a:gd name="T9" fmla="*/ T8 w 28"/>
                <a:gd name="T10" fmla="+- 0 596 575"/>
                <a:gd name="T11" fmla="*/ 596 h 28"/>
                <a:gd name="T12" fmla="+- 0 2174 2174"/>
                <a:gd name="T13" fmla="*/ T12 w 28"/>
                <a:gd name="T14" fmla="+- 0 581 575"/>
                <a:gd name="T15" fmla="*/ 581 h 28"/>
                <a:gd name="T16" fmla="+- 0 2180 2174"/>
                <a:gd name="T17" fmla="*/ T16 w 28"/>
                <a:gd name="T18" fmla="+- 0 575 575"/>
                <a:gd name="T19" fmla="*/ 575 h 28"/>
                <a:gd name="T20" fmla="+- 0 2195 2174"/>
                <a:gd name="T21" fmla="*/ T20 w 28"/>
                <a:gd name="T22" fmla="+- 0 575 575"/>
                <a:gd name="T23" fmla="*/ 575 h 28"/>
                <a:gd name="T24" fmla="+- 0 2201 2174"/>
                <a:gd name="T25" fmla="*/ T24 w 28"/>
                <a:gd name="T26" fmla="+- 0 581 575"/>
                <a:gd name="T27" fmla="*/ 581 h 28"/>
                <a:gd name="T28" fmla="+- 0 2201 2174"/>
                <a:gd name="T29" fmla="*/ T28 w 28"/>
                <a:gd name="T30" fmla="+- 0 596 575"/>
                <a:gd name="T31" fmla="*/ 596 h 28"/>
                <a:gd name="T32" fmla="+- 0 2195 2174"/>
                <a:gd name="T33" fmla="*/ T32 w 28"/>
                <a:gd name="T34" fmla="+- 0 603 575"/>
                <a:gd name="T35" fmla="*/ 603 h 2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8" h="28">
                  <a:moveTo>
                    <a:pt x="21" y="28"/>
                  </a:moveTo>
                  <a:lnTo>
                    <a:pt x="6" y="28"/>
                  </a:lnTo>
                  <a:lnTo>
                    <a:pt x="0" y="21"/>
                  </a:lnTo>
                  <a:lnTo>
                    <a:pt x="0" y="6"/>
                  </a:lnTo>
                  <a:lnTo>
                    <a:pt x="6" y="0"/>
                  </a:lnTo>
                  <a:lnTo>
                    <a:pt x="21" y="0"/>
                  </a:lnTo>
                  <a:lnTo>
                    <a:pt x="27" y="6"/>
                  </a:lnTo>
                  <a:lnTo>
                    <a:pt x="27" y="21"/>
                  </a:lnTo>
                  <a:lnTo>
                    <a:pt x="21" y="2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twoCellAnchor>
    <xdr:from>
      <xdr:col>0</xdr:col>
      <xdr:colOff>600074</xdr:colOff>
      <xdr:row>20</xdr:row>
      <xdr:rowOff>133350</xdr:rowOff>
    </xdr:from>
    <xdr:to>
      <xdr:col>4</xdr:col>
      <xdr:colOff>600075</xdr:colOff>
      <xdr:row>35</xdr:row>
      <xdr:rowOff>47625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157CFFBD-9DC0-08CA-61DC-0588974B2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751840</xdr:colOff>
      <xdr:row>1</xdr:row>
      <xdr:rowOff>166370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82B4A81-EF21-9E38-3D1B-7B94CC91C901}"/>
            </a:ext>
          </a:extLst>
        </xdr:cNvPr>
        <xdr:cNvGrpSpPr>
          <a:grpSpLocks/>
        </xdr:cNvGrpSpPr>
      </xdr:nvGrpSpPr>
      <xdr:grpSpPr bwMode="auto">
        <a:xfrm>
          <a:off x="0" y="0"/>
          <a:ext cx="1330667" cy="349543"/>
          <a:chOff x="892" y="153"/>
          <a:chExt cx="2144" cy="552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12AC0CB1-97E9-FEF6-D626-51FD6BD546EA}"/>
              </a:ext>
            </a:extLst>
          </xdr:cNvPr>
          <xdr:cNvGrpSpPr>
            <a:grpSpLocks/>
          </xdr:cNvGrpSpPr>
        </xdr:nvGrpSpPr>
        <xdr:grpSpPr bwMode="auto">
          <a:xfrm>
            <a:off x="892" y="153"/>
            <a:ext cx="1036" cy="452"/>
            <a:chOff x="892" y="153"/>
            <a:chExt cx="1036" cy="452"/>
          </a:xfrm>
        </xdr:grpSpPr>
        <xdr:sp macro="" textlink="">
          <xdr:nvSpPr>
            <xdr:cNvPr id="70" name="Freeform 4884">
              <a:extLst>
                <a:ext uri="{FF2B5EF4-FFF2-40B4-BE49-F238E27FC236}">
                  <a16:creationId xmlns:a16="http://schemas.microsoft.com/office/drawing/2014/main" id="{2CF9960E-7AA9-7B8C-F3A9-A980BA9D1796}"/>
                </a:ext>
              </a:extLst>
            </xdr:cNvPr>
            <xdr:cNvSpPr>
              <a:spLocks/>
            </xdr:cNvSpPr>
          </xdr:nvSpPr>
          <xdr:spPr bwMode="auto">
            <a:xfrm>
              <a:off x="892" y="153"/>
              <a:ext cx="1036" cy="452"/>
            </a:xfrm>
            <a:custGeom>
              <a:avLst/>
              <a:gdLst>
                <a:gd name="T0" fmla="+- 0 1239 892"/>
                <a:gd name="T1" fmla="*/ T0 w 1036"/>
                <a:gd name="T2" fmla="+- 0 604 153"/>
                <a:gd name="T3" fmla="*/ 604 h 452"/>
                <a:gd name="T4" fmla="+- 0 895 892"/>
                <a:gd name="T5" fmla="*/ T4 w 1036"/>
                <a:gd name="T6" fmla="+- 0 604 153"/>
                <a:gd name="T7" fmla="*/ 604 h 452"/>
                <a:gd name="T8" fmla="+- 0 892 892"/>
                <a:gd name="T9" fmla="*/ T8 w 1036"/>
                <a:gd name="T10" fmla="+- 0 601 153"/>
                <a:gd name="T11" fmla="*/ 601 h 452"/>
                <a:gd name="T12" fmla="+- 0 892 892"/>
                <a:gd name="T13" fmla="*/ T12 w 1036"/>
                <a:gd name="T14" fmla="+- 0 595 153"/>
                <a:gd name="T15" fmla="*/ 595 h 452"/>
                <a:gd name="T16" fmla="+- 0 892 892"/>
                <a:gd name="T17" fmla="*/ T16 w 1036"/>
                <a:gd name="T18" fmla="+- 0 594 153"/>
                <a:gd name="T19" fmla="*/ 594 h 452"/>
                <a:gd name="T20" fmla="+- 0 1046 892"/>
                <a:gd name="T21" fmla="*/ T20 w 1036"/>
                <a:gd name="T22" fmla="+- 0 225 153"/>
                <a:gd name="T23" fmla="*/ 225 h 452"/>
                <a:gd name="T24" fmla="+- 0 1087 892"/>
                <a:gd name="T25" fmla="*/ T24 w 1036"/>
                <a:gd name="T26" fmla="+- 0 178 153"/>
                <a:gd name="T27" fmla="*/ 178 h 452"/>
                <a:gd name="T28" fmla="+- 0 1146 892"/>
                <a:gd name="T29" fmla="*/ T28 w 1036"/>
                <a:gd name="T30" fmla="+- 0 155 153"/>
                <a:gd name="T31" fmla="*/ 155 h 452"/>
                <a:gd name="T32" fmla="+- 0 1919 892"/>
                <a:gd name="T33" fmla="*/ T32 w 1036"/>
                <a:gd name="T34" fmla="+- 0 153 153"/>
                <a:gd name="T35" fmla="*/ 153 h 452"/>
                <a:gd name="T36" fmla="+- 0 1923 892"/>
                <a:gd name="T37" fmla="*/ T36 w 1036"/>
                <a:gd name="T38" fmla="+- 0 153 153"/>
                <a:gd name="T39" fmla="*/ 153 h 452"/>
                <a:gd name="T40" fmla="+- 0 1927 892"/>
                <a:gd name="T41" fmla="*/ T40 w 1036"/>
                <a:gd name="T42" fmla="+- 0 156 153"/>
                <a:gd name="T43" fmla="*/ 156 h 452"/>
                <a:gd name="T44" fmla="+- 0 1927 892"/>
                <a:gd name="T45" fmla="*/ T44 w 1036"/>
                <a:gd name="T46" fmla="+- 0 162 153"/>
                <a:gd name="T47" fmla="*/ 162 h 452"/>
                <a:gd name="T48" fmla="+- 0 1927 892"/>
                <a:gd name="T49" fmla="*/ T48 w 1036"/>
                <a:gd name="T50" fmla="+- 0 163 153"/>
                <a:gd name="T51" fmla="*/ 163 h 452"/>
                <a:gd name="T52" fmla="+- 0 1900 892"/>
                <a:gd name="T53" fmla="*/ T52 w 1036"/>
                <a:gd name="T54" fmla="+- 0 227 153"/>
                <a:gd name="T55" fmla="*/ 227 h 452"/>
                <a:gd name="T56" fmla="+- 0 1899 892"/>
                <a:gd name="T57" fmla="*/ T56 w 1036"/>
                <a:gd name="T58" fmla="+- 0 230 153"/>
                <a:gd name="T59" fmla="*/ 230 h 452"/>
                <a:gd name="T60" fmla="+- 0 1896 892"/>
                <a:gd name="T61" fmla="*/ T60 w 1036"/>
                <a:gd name="T62" fmla="+- 0 232 153"/>
                <a:gd name="T63" fmla="*/ 232 h 452"/>
                <a:gd name="T64" fmla="+- 0 1212 892"/>
                <a:gd name="T65" fmla="*/ T64 w 1036"/>
                <a:gd name="T66" fmla="+- 0 233 153"/>
                <a:gd name="T67" fmla="*/ 233 h 452"/>
                <a:gd name="T68" fmla="+- 0 1189 892"/>
                <a:gd name="T69" fmla="*/ T68 w 1036"/>
                <a:gd name="T70" fmla="+- 0 237 153"/>
                <a:gd name="T71" fmla="*/ 237 h 452"/>
                <a:gd name="T72" fmla="+- 0 1135 892"/>
                <a:gd name="T73" fmla="*/ T72 w 1036"/>
                <a:gd name="T74" fmla="+- 0 266 153"/>
                <a:gd name="T75" fmla="*/ 266 h 452"/>
                <a:gd name="T76" fmla="+- 0 1100 892"/>
                <a:gd name="T77" fmla="*/ T76 w 1036"/>
                <a:gd name="T78" fmla="+- 0 330 153"/>
                <a:gd name="T79" fmla="*/ 330 h 452"/>
                <a:gd name="T80" fmla="+- 0 1096 892"/>
                <a:gd name="T81" fmla="*/ T80 w 1036"/>
                <a:gd name="T82" fmla="+- 0 366 153"/>
                <a:gd name="T83" fmla="*/ 366 h 452"/>
                <a:gd name="T84" fmla="+- 0 1098 892"/>
                <a:gd name="T85" fmla="*/ T84 w 1036"/>
                <a:gd name="T86" fmla="+- 0 384 153"/>
                <a:gd name="T87" fmla="*/ 384 h 452"/>
                <a:gd name="T88" fmla="+- 0 1130 892"/>
                <a:gd name="T89" fmla="*/ T88 w 1036"/>
                <a:gd name="T90" fmla="+- 0 446 153"/>
                <a:gd name="T91" fmla="*/ 446 h 452"/>
                <a:gd name="T92" fmla="+- 0 1260 892"/>
                <a:gd name="T93" fmla="*/ T92 w 1036"/>
                <a:gd name="T94" fmla="+- 0 569 153"/>
                <a:gd name="T95" fmla="*/ 569 h 452"/>
                <a:gd name="T96" fmla="+- 0 1264 892"/>
                <a:gd name="T97" fmla="*/ T96 w 1036"/>
                <a:gd name="T98" fmla="+- 0 586 153"/>
                <a:gd name="T99" fmla="*/ 586 h 452"/>
                <a:gd name="T100" fmla="+- 0 1256 892"/>
                <a:gd name="T101" fmla="*/ T100 w 1036"/>
                <a:gd name="T102" fmla="+- 0 599 153"/>
                <a:gd name="T103" fmla="*/ 599 h 452"/>
                <a:gd name="T104" fmla="+- 0 1239 892"/>
                <a:gd name="T105" fmla="*/ T104 w 1036"/>
                <a:gd name="T106" fmla="+- 0 604 153"/>
                <a:gd name="T107" fmla="*/ 604 h 45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  <a:cxn ang="0">
                  <a:pos x="T105" y="T107"/>
                </a:cxn>
              </a:cxnLst>
              <a:rect l="0" t="0" r="r" b="b"/>
              <a:pathLst>
                <a:path w="1036" h="452">
                  <a:moveTo>
                    <a:pt x="347" y="451"/>
                  </a:moveTo>
                  <a:lnTo>
                    <a:pt x="3" y="451"/>
                  </a:lnTo>
                  <a:lnTo>
                    <a:pt x="0" y="448"/>
                  </a:lnTo>
                  <a:lnTo>
                    <a:pt x="0" y="442"/>
                  </a:lnTo>
                  <a:lnTo>
                    <a:pt x="0" y="441"/>
                  </a:lnTo>
                  <a:lnTo>
                    <a:pt x="154" y="72"/>
                  </a:lnTo>
                  <a:lnTo>
                    <a:pt x="195" y="25"/>
                  </a:lnTo>
                  <a:lnTo>
                    <a:pt x="254" y="2"/>
                  </a:lnTo>
                  <a:lnTo>
                    <a:pt x="1027" y="0"/>
                  </a:lnTo>
                  <a:lnTo>
                    <a:pt x="1031" y="0"/>
                  </a:lnTo>
                  <a:lnTo>
                    <a:pt x="1035" y="3"/>
                  </a:lnTo>
                  <a:lnTo>
                    <a:pt x="1035" y="9"/>
                  </a:lnTo>
                  <a:lnTo>
                    <a:pt x="1035" y="10"/>
                  </a:lnTo>
                  <a:lnTo>
                    <a:pt x="1008" y="74"/>
                  </a:lnTo>
                  <a:lnTo>
                    <a:pt x="1007" y="77"/>
                  </a:lnTo>
                  <a:lnTo>
                    <a:pt x="1004" y="79"/>
                  </a:lnTo>
                  <a:lnTo>
                    <a:pt x="320" y="80"/>
                  </a:lnTo>
                  <a:lnTo>
                    <a:pt x="297" y="84"/>
                  </a:lnTo>
                  <a:lnTo>
                    <a:pt x="243" y="113"/>
                  </a:lnTo>
                  <a:lnTo>
                    <a:pt x="208" y="177"/>
                  </a:lnTo>
                  <a:lnTo>
                    <a:pt x="204" y="213"/>
                  </a:lnTo>
                  <a:lnTo>
                    <a:pt x="206" y="231"/>
                  </a:lnTo>
                  <a:lnTo>
                    <a:pt x="238" y="293"/>
                  </a:lnTo>
                  <a:lnTo>
                    <a:pt x="368" y="416"/>
                  </a:lnTo>
                  <a:lnTo>
                    <a:pt x="372" y="433"/>
                  </a:lnTo>
                  <a:lnTo>
                    <a:pt x="364" y="446"/>
                  </a:lnTo>
                  <a:lnTo>
                    <a:pt x="347" y="45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FD5C1AE5-F264-F21F-82C4-68BF6FD06A69}"/>
              </a:ext>
            </a:extLst>
          </xdr:cNvPr>
          <xdr:cNvGrpSpPr>
            <a:grpSpLocks/>
          </xdr:cNvGrpSpPr>
        </xdr:nvGrpSpPr>
        <xdr:grpSpPr bwMode="auto">
          <a:xfrm>
            <a:off x="1554" y="335"/>
            <a:ext cx="299" cy="370"/>
            <a:chOff x="1554" y="335"/>
            <a:chExt cx="299" cy="370"/>
          </a:xfrm>
        </xdr:grpSpPr>
        <xdr:sp macro="" textlink="">
          <xdr:nvSpPr>
            <xdr:cNvPr id="68" name="Freeform 4882">
              <a:extLst>
                <a:ext uri="{FF2B5EF4-FFF2-40B4-BE49-F238E27FC236}">
                  <a16:creationId xmlns:a16="http://schemas.microsoft.com/office/drawing/2014/main" id="{A9CE4C1C-8033-4BDF-BD0F-CD331FBB439C}"/>
                </a:ext>
              </a:extLst>
            </xdr:cNvPr>
            <xdr:cNvSpPr>
              <a:spLocks/>
            </xdr:cNvSpPr>
          </xdr:nvSpPr>
          <xdr:spPr bwMode="auto">
            <a:xfrm>
              <a:off x="1554" y="335"/>
              <a:ext cx="299" cy="370"/>
            </a:xfrm>
            <a:custGeom>
              <a:avLst/>
              <a:gdLst>
                <a:gd name="T0" fmla="+- 0 1557 1554"/>
                <a:gd name="T1" fmla="*/ T0 w 299"/>
                <a:gd name="T2" fmla="+- 0 705 335"/>
                <a:gd name="T3" fmla="*/ 705 h 370"/>
                <a:gd name="T4" fmla="+- 0 1554 1554"/>
                <a:gd name="T5" fmla="*/ T4 w 299"/>
                <a:gd name="T6" fmla="+- 0 701 335"/>
                <a:gd name="T7" fmla="*/ 701 h 370"/>
                <a:gd name="T8" fmla="+- 0 1554 1554"/>
                <a:gd name="T9" fmla="*/ T8 w 299"/>
                <a:gd name="T10" fmla="+- 0 696 335"/>
                <a:gd name="T11" fmla="*/ 696 h 370"/>
                <a:gd name="T12" fmla="+- 0 1554 1554"/>
                <a:gd name="T13" fmla="*/ T12 w 299"/>
                <a:gd name="T14" fmla="+- 0 694 335"/>
                <a:gd name="T15" fmla="*/ 694 h 370"/>
                <a:gd name="T16" fmla="+- 0 1555 1554"/>
                <a:gd name="T17" fmla="*/ T16 w 299"/>
                <a:gd name="T18" fmla="+- 0 693 335"/>
                <a:gd name="T19" fmla="*/ 693 h 370"/>
                <a:gd name="T20" fmla="+- 0 1701 1554"/>
                <a:gd name="T21" fmla="*/ T20 w 299"/>
                <a:gd name="T22" fmla="+- 0 340 335"/>
                <a:gd name="T23" fmla="*/ 340 h 370"/>
                <a:gd name="T24" fmla="+- 0 1708 1554"/>
                <a:gd name="T25" fmla="*/ T24 w 299"/>
                <a:gd name="T26" fmla="+- 0 335 335"/>
                <a:gd name="T27" fmla="*/ 335 h 370"/>
                <a:gd name="T28" fmla="+- 0 1848 1554"/>
                <a:gd name="T29" fmla="*/ T28 w 299"/>
                <a:gd name="T30" fmla="+- 0 335 335"/>
                <a:gd name="T31" fmla="*/ 335 h 370"/>
                <a:gd name="T32" fmla="+- 0 1852 1554"/>
                <a:gd name="T33" fmla="*/ T32 w 299"/>
                <a:gd name="T34" fmla="+- 0 338 335"/>
                <a:gd name="T35" fmla="*/ 338 h 370"/>
                <a:gd name="T36" fmla="+- 0 1852 1554"/>
                <a:gd name="T37" fmla="*/ T36 w 299"/>
                <a:gd name="T38" fmla="+- 0 340 335"/>
                <a:gd name="T39" fmla="*/ 340 h 370"/>
                <a:gd name="T40" fmla="+- 0 1852 1554"/>
                <a:gd name="T41" fmla="*/ T40 w 299"/>
                <a:gd name="T42" fmla="+- 0 344 335"/>
                <a:gd name="T43" fmla="*/ 344 h 370"/>
                <a:gd name="T44" fmla="+- 0 1852 1554"/>
                <a:gd name="T45" fmla="*/ T44 w 299"/>
                <a:gd name="T46" fmla="+- 0 345 335"/>
                <a:gd name="T47" fmla="*/ 345 h 370"/>
                <a:gd name="T48" fmla="+- 0 1851 1554"/>
                <a:gd name="T49" fmla="*/ T48 w 299"/>
                <a:gd name="T50" fmla="+- 0 345 335"/>
                <a:gd name="T51" fmla="*/ 345 h 370"/>
                <a:gd name="T52" fmla="+- 0 1738 1554"/>
                <a:gd name="T53" fmla="*/ T52 w 299"/>
                <a:gd name="T54" fmla="+- 0 620 335"/>
                <a:gd name="T55" fmla="*/ 620 h 370"/>
                <a:gd name="T56" fmla="+- 0 1731 1554"/>
                <a:gd name="T57" fmla="*/ T56 w 299"/>
                <a:gd name="T58" fmla="+- 0 633 335"/>
                <a:gd name="T59" fmla="*/ 633 h 370"/>
                <a:gd name="T60" fmla="+- 0 1690 1554"/>
                <a:gd name="T61" fmla="*/ T60 w 299"/>
                <a:gd name="T62" fmla="+- 0 679 335"/>
                <a:gd name="T63" fmla="*/ 679 h 370"/>
                <a:gd name="T64" fmla="+- 0 1631 1554"/>
                <a:gd name="T65" fmla="*/ T64 w 299"/>
                <a:gd name="T66" fmla="+- 0 703 335"/>
                <a:gd name="T67" fmla="*/ 703 h 370"/>
                <a:gd name="T68" fmla="+- 0 1609 1554"/>
                <a:gd name="T69" fmla="*/ T68 w 299"/>
                <a:gd name="T70" fmla="+- 0 705 335"/>
                <a:gd name="T71" fmla="*/ 705 h 370"/>
                <a:gd name="T72" fmla="+- 0 1557 1554"/>
                <a:gd name="T73" fmla="*/ T72 w 299"/>
                <a:gd name="T74" fmla="+- 0 705 335"/>
                <a:gd name="T75" fmla="*/ 705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</a:cxnLst>
              <a:rect l="0" t="0" r="r" b="b"/>
              <a:pathLst>
                <a:path w="299" h="370">
                  <a:moveTo>
                    <a:pt x="3" y="370"/>
                  </a:moveTo>
                  <a:lnTo>
                    <a:pt x="0" y="366"/>
                  </a:lnTo>
                  <a:lnTo>
                    <a:pt x="0" y="361"/>
                  </a:lnTo>
                  <a:lnTo>
                    <a:pt x="0" y="359"/>
                  </a:lnTo>
                  <a:lnTo>
                    <a:pt x="1" y="358"/>
                  </a:lnTo>
                  <a:lnTo>
                    <a:pt x="147" y="5"/>
                  </a:lnTo>
                  <a:lnTo>
                    <a:pt x="154" y="0"/>
                  </a:lnTo>
                  <a:lnTo>
                    <a:pt x="294" y="0"/>
                  </a:lnTo>
                  <a:lnTo>
                    <a:pt x="298" y="3"/>
                  </a:lnTo>
                  <a:lnTo>
                    <a:pt x="298" y="5"/>
                  </a:lnTo>
                  <a:lnTo>
                    <a:pt x="298" y="9"/>
                  </a:lnTo>
                  <a:lnTo>
                    <a:pt x="298" y="10"/>
                  </a:lnTo>
                  <a:lnTo>
                    <a:pt x="297" y="10"/>
                  </a:lnTo>
                  <a:lnTo>
                    <a:pt x="184" y="285"/>
                  </a:lnTo>
                  <a:lnTo>
                    <a:pt x="177" y="298"/>
                  </a:lnTo>
                  <a:lnTo>
                    <a:pt x="136" y="344"/>
                  </a:lnTo>
                  <a:lnTo>
                    <a:pt x="77" y="368"/>
                  </a:lnTo>
                  <a:lnTo>
                    <a:pt x="55" y="370"/>
                  </a:lnTo>
                  <a:lnTo>
                    <a:pt x="3" y="3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9" name="Freeform 4881">
              <a:extLst>
                <a:ext uri="{FF2B5EF4-FFF2-40B4-BE49-F238E27FC236}">
                  <a16:creationId xmlns:a16="http://schemas.microsoft.com/office/drawing/2014/main" id="{92ECF8E5-CD9B-A9B4-3864-25650E86B238}"/>
                </a:ext>
              </a:extLst>
            </xdr:cNvPr>
            <xdr:cNvSpPr>
              <a:spLocks/>
            </xdr:cNvSpPr>
          </xdr:nvSpPr>
          <xdr:spPr bwMode="auto">
            <a:xfrm>
              <a:off x="1554" y="335"/>
              <a:ext cx="299" cy="370"/>
            </a:xfrm>
            <a:custGeom>
              <a:avLst/>
              <a:gdLst>
                <a:gd name="T0" fmla="+- 0 1738 1554"/>
                <a:gd name="T1" fmla="*/ T0 w 299"/>
                <a:gd name="T2" fmla="+- 0 620 335"/>
                <a:gd name="T3" fmla="*/ 620 h 370"/>
                <a:gd name="T4" fmla="+- 0 1738 1554"/>
                <a:gd name="T5" fmla="*/ T4 w 299"/>
                <a:gd name="T6" fmla="+- 0 620 335"/>
                <a:gd name="T7" fmla="*/ 620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299" h="370">
                  <a:moveTo>
                    <a:pt x="184" y="285"/>
                  </a:moveTo>
                  <a:lnTo>
                    <a:pt x="184" y="28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1D9E598A-65DD-8AB6-03C4-21289FF85F47}"/>
              </a:ext>
            </a:extLst>
          </xdr:cNvPr>
          <xdr:cNvGrpSpPr>
            <a:grpSpLocks/>
          </xdr:cNvGrpSpPr>
        </xdr:nvGrpSpPr>
        <xdr:grpSpPr bwMode="auto">
          <a:xfrm>
            <a:off x="1200" y="335"/>
            <a:ext cx="394" cy="370"/>
            <a:chOff x="1200" y="335"/>
            <a:chExt cx="394" cy="370"/>
          </a:xfrm>
        </xdr:grpSpPr>
        <xdr:sp macro="" textlink="">
          <xdr:nvSpPr>
            <xdr:cNvPr id="67" name="Freeform 4879">
              <a:extLst>
                <a:ext uri="{FF2B5EF4-FFF2-40B4-BE49-F238E27FC236}">
                  <a16:creationId xmlns:a16="http://schemas.microsoft.com/office/drawing/2014/main" id="{51DE8A7F-A24E-06FF-1983-1910209B8428}"/>
                </a:ext>
              </a:extLst>
            </xdr:cNvPr>
            <xdr:cNvSpPr>
              <a:spLocks/>
            </xdr:cNvSpPr>
          </xdr:nvSpPr>
          <xdr:spPr bwMode="auto">
            <a:xfrm>
              <a:off x="1200" y="335"/>
              <a:ext cx="394" cy="370"/>
            </a:xfrm>
            <a:custGeom>
              <a:avLst/>
              <a:gdLst>
                <a:gd name="T0" fmla="+- 0 1439 1200"/>
                <a:gd name="T1" fmla="*/ T0 w 394"/>
                <a:gd name="T2" fmla="+- 0 705 335"/>
                <a:gd name="T3" fmla="*/ 705 h 370"/>
                <a:gd name="T4" fmla="+- 0 1290 1200"/>
                <a:gd name="T5" fmla="*/ T4 w 394"/>
                <a:gd name="T6" fmla="+- 0 705 335"/>
                <a:gd name="T7" fmla="*/ 705 h 370"/>
                <a:gd name="T8" fmla="+- 0 1289 1200"/>
                <a:gd name="T9" fmla="*/ T8 w 394"/>
                <a:gd name="T10" fmla="+- 0 704 335"/>
                <a:gd name="T11" fmla="*/ 704 h 370"/>
                <a:gd name="T12" fmla="+- 0 1289 1200"/>
                <a:gd name="T13" fmla="*/ T12 w 394"/>
                <a:gd name="T14" fmla="+- 0 702 335"/>
                <a:gd name="T15" fmla="*/ 702 h 370"/>
                <a:gd name="T16" fmla="+- 0 1290 1200"/>
                <a:gd name="T17" fmla="*/ T16 w 394"/>
                <a:gd name="T18" fmla="+- 0 701 335"/>
                <a:gd name="T19" fmla="*/ 701 h 370"/>
                <a:gd name="T20" fmla="+- 0 1298 1200"/>
                <a:gd name="T21" fmla="*/ T20 w 394"/>
                <a:gd name="T22" fmla="+- 0 697 335"/>
                <a:gd name="T23" fmla="*/ 697 h 370"/>
                <a:gd name="T24" fmla="+- 0 1312 1200"/>
                <a:gd name="T25" fmla="*/ T24 w 394"/>
                <a:gd name="T26" fmla="+- 0 688 335"/>
                <a:gd name="T27" fmla="*/ 688 h 370"/>
                <a:gd name="T28" fmla="+- 0 1351 1200"/>
                <a:gd name="T29" fmla="*/ T28 w 394"/>
                <a:gd name="T30" fmla="+- 0 641 335"/>
                <a:gd name="T31" fmla="*/ 641 h 370"/>
                <a:gd name="T32" fmla="+- 0 1366 1200"/>
                <a:gd name="T33" fmla="*/ T32 w 394"/>
                <a:gd name="T34" fmla="+- 0 593 335"/>
                <a:gd name="T35" fmla="*/ 593 h 370"/>
                <a:gd name="T36" fmla="+- 0 1366 1200"/>
                <a:gd name="T37" fmla="*/ T36 w 394"/>
                <a:gd name="T38" fmla="+- 0 564 335"/>
                <a:gd name="T39" fmla="*/ 564 h 370"/>
                <a:gd name="T40" fmla="+- 0 1339 1200"/>
                <a:gd name="T41" fmla="*/ T40 w 394"/>
                <a:gd name="T42" fmla="+- 0 503 335"/>
                <a:gd name="T43" fmla="*/ 503 h 370"/>
                <a:gd name="T44" fmla="+- 0 1201 1200"/>
                <a:gd name="T45" fmla="*/ T44 w 394"/>
                <a:gd name="T46" fmla="+- 0 368 335"/>
                <a:gd name="T47" fmla="*/ 368 h 370"/>
                <a:gd name="T48" fmla="+- 0 1200 1200"/>
                <a:gd name="T49" fmla="*/ T48 w 394"/>
                <a:gd name="T50" fmla="+- 0 352 335"/>
                <a:gd name="T51" fmla="*/ 352 h 370"/>
                <a:gd name="T52" fmla="+- 0 1209 1200"/>
                <a:gd name="T53" fmla="*/ T52 w 394"/>
                <a:gd name="T54" fmla="+- 0 340 335"/>
                <a:gd name="T55" fmla="*/ 340 h 370"/>
                <a:gd name="T56" fmla="+- 0 1224 1200"/>
                <a:gd name="T57" fmla="*/ T56 w 394"/>
                <a:gd name="T58" fmla="+- 0 335 335"/>
                <a:gd name="T59" fmla="*/ 335 h 370"/>
                <a:gd name="T60" fmla="+- 0 1590 1200"/>
                <a:gd name="T61" fmla="*/ T60 w 394"/>
                <a:gd name="T62" fmla="+- 0 335 335"/>
                <a:gd name="T63" fmla="*/ 335 h 370"/>
                <a:gd name="T64" fmla="+- 0 1593 1200"/>
                <a:gd name="T65" fmla="*/ T64 w 394"/>
                <a:gd name="T66" fmla="+- 0 338 335"/>
                <a:gd name="T67" fmla="*/ 338 h 370"/>
                <a:gd name="T68" fmla="+- 0 1593 1200"/>
                <a:gd name="T69" fmla="*/ T68 w 394"/>
                <a:gd name="T70" fmla="+- 0 344 335"/>
                <a:gd name="T71" fmla="*/ 344 h 370"/>
                <a:gd name="T72" fmla="+- 0 1593 1200"/>
                <a:gd name="T73" fmla="*/ T72 w 394"/>
                <a:gd name="T74" fmla="+- 0 345 335"/>
                <a:gd name="T75" fmla="*/ 345 h 370"/>
                <a:gd name="T76" fmla="+- 0 1593 1200"/>
                <a:gd name="T77" fmla="*/ T76 w 394"/>
                <a:gd name="T78" fmla="+- 0 345 335"/>
                <a:gd name="T79" fmla="*/ 345 h 370"/>
                <a:gd name="T80" fmla="+- 0 1446 1200"/>
                <a:gd name="T81" fmla="*/ T80 w 394"/>
                <a:gd name="T82" fmla="+- 0 700 335"/>
                <a:gd name="T83" fmla="*/ 700 h 370"/>
                <a:gd name="T84" fmla="+- 0 1439 1200"/>
                <a:gd name="T85" fmla="*/ T84 w 394"/>
                <a:gd name="T86" fmla="+- 0 705 335"/>
                <a:gd name="T87" fmla="*/ 705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</a:cxnLst>
              <a:rect l="0" t="0" r="r" b="b"/>
              <a:pathLst>
                <a:path w="394" h="370">
                  <a:moveTo>
                    <a:pt x="239" y="370"/>
                  </a:moveTo>
                  <a:lnTo>
                    <a:pt x="90" y="370"/>
                  </a:lnTo>
                  <a:lnTo>
                    <a:pt x="89" y="369"/>
                  </a:lnTo>
                  <a:lnTo>
                    <a:pt x="89" y="367"/>
                  </a:lnTo>
                  <a:lnTo>
                    <a:pt x="90" y="366"/>
                  </a:lnTo>
                  <a:lnTo>
                    <a:pt x="98" y="362"/>
                  </a:lnTo>
                  <a:lnTo>
                    <a:pt x="112" y="353"/>
                  </a:lnTo>
                  <a:lnTo>
                    <a:pt x="151" y="306"/>
                  </a:lnTo>
                  <a:lnTo>
                    <a:pt x="166" y="258"/>
                  </a:lnTo>
                  <a:lnTo>
                    <a:pt x="166" y="229"/>
                  </a:lnTo>
                  <a:lnTo>
                    <a:pt x="139" y="168"/>
                  </a:lnTo>
                  <a:lnTo>
                    <a:pt x="1" y="33"/>
                  </a:lnTo>
                  <a:lnTo>
                    <a:pt x="0" y="17"/>
                  </a:lnTo>
                  <a:lnTo>
                    <a:pt x="9" y="5"/>
                  </a:lnTo>
                  <a:lnTo>
                    <a:pt x="24" y="0"/>
                  </a:lnTo>
                  <a:lnTo>
                    <a:pt x="390" y="0"/>
                  </a:lnTo>
                  <a:lnTo>
                    <a:pt x="393" y="3"/>
                  </a:lnTo>
                  <a:lnTo>
                    <a:pt x="393" y="9"/>
                  </a:lnTo>
                  <a:lnTo>
                    <a:pt x="393" y="10"/>
                  </a:lnTo>
                  <a:lnTo>
                    <a:pt x="246" y="365"/>
                  </a:lnTo>
                  <a:lnTo>
                    <a:pt x="239" y="3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3CE1D9BC-4A8D-46EA-D9A8-A322A47B7BA1}"/>
              </a:ext>
            </a:extLst>
          </xdr:cNvPr>
          <xdr:cNvGrpSpPr>
            <a:grpSpLocks/>
          </xdr:cNvGrpSpPr>
        </xdr:nvGrpSpPr>
        <xdr:grpSpPr bwMode="auto">
          <a:xfrm>
            <a:off x="1986" y="492"/>
            <a:ext cx="11" cy="16"/>
            <a:chOff x="1986" y="492"/>
            <a:chExt cx="11" cy="16"/>
          </a:xfrm>
        </xdr:grpSpPr>
        <xdr:sp macro="" textlink="">
          <xdr:nvSpPr>
            <xdr:cNvPr id="66" name="Freeform 4877">
              <a:extLst>
                <a:ext uri="{FF2B5EF4-FFF2-40B4-BE49-F238E27FC236}">
                  <a16:creationId xmlns:a16="http://schemas.microsoft.com/office/drawing/2014/main" id="{EB73B81D-C697-8644-0D88-5FDD7BBFCAF6}"/>
                </a:ext>
              </a:extLst>
            </xdr:cNvPr>
            <xdr:cNvSpPr>
              <a:spLocks/>
            </xdr:cNvSpPr>
          </xdr:nvSpPr>
          <xdr:spPr bwMode="auto">
            <a:xfrm>
              <a:off x="1986" y="492"/>
              <a:ext cx="11" cy="16"/>
            </a:xfrm>
            <a:custGeom>
              <a:avLst/>
              <a:gdLst>
                <a:gd name="T0" fmla="+- 0 1986 1986"/>
                <a:gd name="T1" fmla="*/ T0 w 11"/>
                <a:gd name="T2" fmla="+- 0 500 492"/>
                <a:gd name="T3" fmla="*/ 500 h 16"/>
                <a:gd name="T4" fmla="+- 0 1997 1986"/>
                <a:gd name="T5" fmla="*/ T4 w 11"/>
                <a:gd name="T6" fmla="+- 0 500 492"/>
                <a:gd name="T7" fmla="*/ 500 h 1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11" h="16">
                  <a:moveTo>
                    <a:pt x="0" y="8"/>
                  </a:moveTo>
                  <a:lnTo>
                    <a:pt x="11" y="8"/>
                  </a:lnTo>
                </a:path>
              </a:pathLst>
            </a:custGeom>
            <a:noFill/>
            <a:ln w="11238">
              <a:solidFill>
                <a:srgbClr val="001E4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D3071BBD-C63D-436E-304A-FED4CE3720C0}"/>
              </a:ext>
            </a:extLst>
          </xdr:cNvPr>
          <xdr:cNvGrpSpPr>
            <a:grpSpLocks/>
          </xdr:cNvGrpSpPr>
        </xdr:nvGrpSpPr>
        <xdr:grpSpPr bwMode="auto">
          <a:xfrm>
            <a:off x="1927" y="495"/>
            <a:ext cx="36" cy="106"/>
            <a:chOff x="1927" y="495"/>
            <a:chExt cx="36" cy="106"/>
          </a:xfrm>
        </xdr:grpSpPr>
        <xdr:sp macro="" textlink="">
          <xdr:nvSpPr>
            <xdr:cNvPr id="64" name="Freeform 4875">
              <a:extLst>
                <a:ext uri="{FF2B5EF4-FFF2-40B4-BE49-F238E27FC236}">
                  <a16:creationId xmlns:a16="http://schemas.microsoft.com/office/drawing/2014/main" id="{557F4BCD-C49A-AA5E-AB00-426CA293C8AE}"/>
                </a:ext>
              </a:extLst>
            </xdr:cNvPr>
            <xdr:cNvSpPr>
              <a:spLocks/>
            </xdr:cNvSpPr>
          </xdr:nvSpPr>
          <xdr:spPr bwMode="auto">
            <a:xfrm>
              <a:off x="1927" y="495"/>
              <a:ext cx="36" cy="106"/>
            </a:xfrm>
            <a:custGeom>
              <a:avLst/>
              <a:gdLst>
                <a:gd name="T0" fmla="+- 0 1951 1927"/>
                <a:gd name="T1" fmla="*/ T0 w 36"/>
                <a:gd name="T2" fmla="+- 0 591 495"/>
                <a:gd name="T3" fmla="*/ 591 h 106"/>
                <a:gd name="T4" fmla="+- 0 1940 1927"/>
                <a:gd name="T5" fmla="*/ T4 w 36"/>
                <a:gd name="T6" fmla="+- 0 591 495"/>
                <a:gd name="T7" fmla="*/ 591 h 106"/>
                <a:gd name="T8" fmla="+- 0 1940 1927"/>
                <a:gd name="T9" fmla="*/ T8 w 36"/>
                <a:gd name="T10" fmla="+- 0 505 495"/>
                <a:gd name="T11" fmla="*/ 505 h 106"/>
                <a:gd name="T12" fmla="+- 0 1928 1927"/>
                <a:gd name="T13" fmla="*/ T12 w 36"/>
                <a:gd name="T14" fmla="+- 0 505 495"/>
                <a:gd name="T15" fmla="*/ 505 h 106"/>
                <a:gd name="T16" fmla="+- 0 1928 1927"/>
                <a:gd name="T17" fmla="*/ T16 w 36"/>
                <a:gd name="T18" fmla="+- 0 495 495"/>
                <a:gd name="T19" fmla="*/ 495 h 106"/>
                <a:gd name="T20" fmla="+- 0 1951 1927"/>
                <a:gd name="T21" fmla="*/ T20 w 36"/>
                <a:gd name="T22" fmla="+- 0 495 495"/>
                <a:gd name="T23" fmla="*/ 495 h 106"/>
                <a:gd name="T24" fmla="+- 0 1951 1927"/>
                <a:gd name="T25" fmla="*/ T24 w 36"/>
                <a:gd name="T26" fmla="+- 0 591 495"/>
                <a:gd name="T27" fmla="*/ 591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6" h="106">
                  <a:moveTo>
                    <a:pt x="24" y="96"/>
                  </a:moveTo>
                  <a:lnTo>
                    <a:pt x="13" y="96"/>
                  </a:lnTo>
                  <a:lnTo>
                    <a:pt x="13" y="10"/>
                  </a:lnTo>
                  <a:lnTo>
                    <a:pt x="1" y="10"/>
                  </a:lnTo>
                  <a:lnTo>
                    <a:pt x="1" y="0"/>
                  </a:lnTo>
                  <a:lnTo>
                    <a:pt x="24" y="0"/>
                  </a:lnTo>
                  <a:lnTo>
                    <a:pt x="24" y="9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5" name="Freeform 4874">
              <a:extLst>
                <a:ext uri="{FF2B5EF4-FFF2-40B4-BE49-F238E27FC236}">
                  <a16:creationId xmlns:a16="http://schemas.microsoft.com/office/drawing/2014/main" id="{6873B944-5478-4170-3E35-502387ED1050}"/>
                </a:ext>
              </a:extLst>
            </xdr:cNvPr>
            <xdr:cNvSpPr>
              <a:spLocks/>
            </xdr:cNvSpPr>
          </xdr:nvSpPr>
          <xdr:spPr bwMode="auto">
            <a:xfrm>
              <a:off x="1927" y="495"/>
              <a:ext cx="36" cy="106"/>
            </a:xfrm>
            <a:custGeom>
              <a:avLst/>
              <a:gdLst>
                <a:gd name="T0" fmla="+- 0 1963 1927"/>
                <a:gd name="T1" fmla="*/ T0 w 36"/>
                <a:gd name="T2" fmla="+- 0 600 495"/>
                <a:gd name="T3" fmla="*/ 600 h 106"/>
                <a:gd name="T4" fmla="+- 0 1927 1927"/>
                <a:gd name="T5" fmla="*/ T4 w 36"/>
                <a:gd name="T6" fmla="+- 0 600 495"/>
                <a:gd name="T7" fmla="*/ 600 h 106"/>
                <a:gd name="T8" fmla="+- 0 1927 1927"/>
                <a:gd name="T9" fmla="*/ T8 w 36"/>
                <a:gd name="T10" fmla="+- 0 591 495"/>
                <a:gd name="T11" fmla="*/ 591 h 106"/>
                <a:gd name="T12" fmla="+- 0 1963 1927"/>
                <a:gd name="T13" fmla="*/ T12 w 36"/>
                <a:gd name="T14" fmla="+- 0 591 495"/>
                <a:gd name="T15" fmla="*/ 591 h 106"/>
                <a:gd name="T16" fmla="+- 0 1963 1927"/>
                <a:gd name="T17" fmla="*/ T16 w 36"/>
                <a:gd name="T18" fmla="+- 0 600 495"/>
                <a:gd name="T19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6" h="106">
                  <a:moveTo>
                    <a:pt x="36" y="105"/>
                  </a:moveTo>
                  <a:lnTo>
                    <a:pt x="0" y="105"/>
                  </a:lnTo>
                  <a:lnTo>
                    <a:pt x="0" y="96"/>
                  </a:lnTo>
                  <a:lnTo>
                    <a:pt x="36" y="96"/>
                  </a:lnTo>
                  <a:lnTo>
                    <a:pt x="36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7822990A-24D1-E472-A94C-19FA8AD836CE}"/>
              </a:ext>
            </a:extLst>
          </xdr:cNvPr>
          <xdr:cNvGrpSpPr>
            <a:grpSpLocks/>
          </xdr:cNvGrpSpPr>
        </xdr:nvGrpSpPr>
        <xdr:grpSpPr bwMode="auto">
          <a:xfrm>
            <a:off x="1976" y="522"/>
            <a:ext cx="36" cy="79"/>
            <a:chOff x="1976" y="522"/>
            <a:chExt cx="36" cy="79"/>
          </a:xfrm>
        </xdr:grpSpPr>
        <xdr:sp macro="" textlink="">
          <xdr:nvSpPr>
            <xdr:cNvPr id="62" name="Freeform 4872">
              <a:extLst>
                <a:ext uri="{FF2B5EF4-FFF2-40B4-BE49-F238E27FC236}">
                  <a16:creationId xmlns:a16="http://schemas.microsoft.com/office/drawing/2014/main" id="{3F1FE973-7522-D96A-DB9E-9867CC3F4B2D}"/>
                </a:ext>
              </a:extLst>
            </xdr:cNvPr>
            <xdr:cNvSpPr>
              <a:spLocks/>
            </xdr:cNvSpPr>
          </xdr:nvSpPr>
          <xdr:spPr bwMode="auto">
            <a:xfrm>
              <a:off x="1976" y="522"/>
              <a:ext cx="36" cy="79"/>
            </a:xfrm>
            <a:custGeom>
              <a:avLst/>
              <a:gdLst>
                <a:gd name="T0" fmla="+- 0 1999 1976"/>
                <a:gd name="T1" fmla="*/ T0 w 36"/>
                <a:gd name="T2" fmla="+- 0 591 522"/>
                <a:gd name="T3" fmla="*/ 591 h 79"/>
                <a:gd name="T4" fmla="+- 0 1989 1976"/>
                <a:gd name="T5" fmla="*/ T4 w 36"/>
                <a:gd name="T6" fmla="+- 0 591 522"/>
                <a:gd name="T7" fmla="*/ 591 h 79"/>
                <a:gd name="T8" fmla="+- 0 1989 1976"/>
                <a:gd name="T9" fmla="*/ T8 w 36"/>
                <a:gd name="T10" fmla="+- 0 532 522"/>
                <a:gd name="T11" fmla="*/ 532 h 79"/>
                <a:gd name="T12" fmla="+- 0 1976 1976"/>
                <a:gd name="T13" fmla="*/ T12 w 36"/>
                <a:gd name="T14" fmla="+- 0 532 522"/>
                <a:gd name="T15" fmla="*/ 532 h 79"/>
                <a:gd name="T16" fmla="+- 0 1976 1976"/>
                <a:gd name="T17" fmla="*/ T16 w 36"/>
                <a:gd name="T18" fmla="+- 0 522 522"/>
                <a:gd name="T19" fmla="*/ 522 h 79"/>
                <a:gd name="T20" fmla="+- 0 1999 1976"/>
                <a:gd name="T21" fmla="*/ T20 w 36"/>
                <a:gd name="T22" fmla="+- 0 522 522"/>
                <a:gd name="T23" fmla="*/ 522 h 79"/>
                <a:gd name="T24" fmla="+- 0 1999 1976"/>
                <a:gd name="T25" fmla="*/ T24 w 36"/>
                <a:gd name="T26" fmla="+- 0 591 522"/>
                <a:gd name="T27" fmla="*/ 591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6" h="79">
                  <a:moveTo>
                    <a:pt x="23" y="69"/>
                  </a:moveTo>
                  <a:lnTo>
                    <a:pt x="13" y="69"/>
                  </a:lnTo>
                  <a:lnTo>
                    <a:pt x="13" y="10"/>
                  </a:lnTo>
                  <a:lnTo>
                    <a:pt x="0" y="10"/>
                  </a:lnTo>
                  <a:lnTo>
                    <a:pt x="0" y="0"/>
                  </a:lnTo>
                  <a:lnTo>
                    <a:pt x="23" y="0"/>
                  </a:lnTo>
                  <a:lnTo>
                    <a:pt x="23" y="6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3" name="Freeform 4871">
              <a:extLst>
                <a:ext uri="{FF2B5EF4-FFF2-40B4-BE49-F238E27FC236}">
                  <a16:creationId xmlns:a16="http://schemas.microsoft.com/office/drawing/2014/main" id="{130591B5-456E-D1D1-76F6-6733FC8F8845}"/>
                </a:ext>
              </a:extLst>
            </xdr:cNvPr>
            <xdr:cNvSpPr>
              <a:spLocks/>
            </xdr:cNvSpPr>
          </xdr:nvSpPr>
          <xdr:spPr bwMode="auto">
            <a:xfrm>
              <a:off x="1976" y="522"/>
              <a:ext cx="36" cy="79"/>
            </a:xfrm>
            <a:custGeom>
              <a:avLst/>
              <a:gdLst>
                <a:gd name="T0" fmla="+- 0 2011 1976"/>
                <a:gd name="T1" fmla="*/ T0 w 36"/>
                <a:gd name="T2" fmla="+- 0 600 522"/>
                <a:gd name="T3" fmla="*/ 600 h 79"/>
                <a:gd name="T4" fmla="+- 0 1976 1976"/>
                <a:gd name="T5" fmla="*/ T4 w 36"/>
                <a:gd name="T6" fmla="+- 0 600 522"/>
                <a:gd name="T7" fmla="*/ 600 h 79"/>
                <a:gd name="T8" fmla="+- 0 1976 1976"/>
                <a:gd name="T9" fmla="*/ T8 w 36"/>
                <a:gd name="T10" fmla="+- 0 591 522"/>
                <a:gd name="T11" fmla="*/ 591 h 79"/>
                <a:gd name="T12" fmla="+- 0 2011 1976"/>
                <a:gd name="T13" fmla="*/ T12 w 36"/>
                <a:gd name="T14" fmla="+- 0 591 522"/>
                <a:gd name="T15" fmla="*/ 591 h 79"/>
                <a:gd name="T16" fmla="+- 0 2011 1976"/>
                <a:gd name="T17" fmla="*/ T16 w 36"/>
                <a:gd name="T18" fmla="+- 0 600 522"/>
                <a:gd name="T19" fmla="*/ 600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6" h="79">
                  <a:moveTo>
                    <a:pt x="35" y="78"/>
                  </a:moveTo>
                  <a:lnTo>
                    <a:pt x="0" y="78"/>
                  </a:lnTo>
                  <a:lnTo>
                    <a:pt x="0" y="69"/>
                  </a:lnTo>
                  <a:lnTo>
                    <a:pt x="35" y="69"/>
                  </a:lnTo>
                  <a:lnTo>
                    <a:pt x="35" y="7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D97CE496-6871-6696-C8A5-1C52A25734A0}"/>
              </a:ext>
            </a:extLst>
          </xdr:cNvPr>
          <xdr:cNvGrpSpPr>
            <a:grpSpLocks/>
          </xdr:cNvGrpSpPr>
        </xdr:nvGrpSpPr>
        <xdr:grpSpPr bwMode="auto">
          <a:xfrm>
            <a:off x="2022" y="494"/>
            <a:ext cx="39" cy="107"/>
            <a:chOff x="2022" y="494"/>
            <a:chExt cx="39" cy="107"/>
          </a:xfrm>
        </xdr:grpSpPr>
        <xdr:sp macro="" textlink="">
          <xdr:nvSpPr>
            <xdr:cNvPr id="58" name="Freeform 4869">
              <a:extLst>
                <a:ext uri="{FF2B5EF4-FFF2-40B4-BE49-F238E27FC236}">
                  <a16:creationId xmlns:a16="http://schemas.microsoft.com/office/drawing/2014/main" id="{2117E61B-B81F-3F30-3E54-D37129D0FB58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45 2022"/>
                <a:gd name="T1" fmla="*/ T0 w 39"/>
                <a:gd name="T2" fmla="+- 0 522 494"/>
                <a:gd name="T3" fmla="*/ 522 h 107"/>
                <a:gd name="T4" fmla="+- 0 2035 2022"/>
                <a:gd name="T5" fmla="*/ T4 w 39"/>
                <a:gd name="T6" fmla="+- 0 522 494"/>
                <a:gd name="T7" fmla="*/ 522 h 107"/>
                <a:gd name="T8" fmla="+- 0 2035 2022"/>
                <a:gd name="T9" fmla="*/ T8 w 39"/>
                <a:gd name="T10" fmla="+- 0 521 494"/>
                <a:gd name="T11" fmla="*/ 521 h 107"/>
                <a:gd name="T12" fmla="+- 0 2035 2022"/>
                <a:gd name="T13" fmla="*/ T12 w 39"/>
                <a:gd name="T14" fmla="+- 0 513 494"/>
                <a:gd name="T15" fmla="*/ 513 h 107"/>
                <a:gd name="T16" fmla="+- 0 2035 2022"/>
                <a:gd name="T17" fmla="*/ T16 w 39"/>
                <a:gd name="T18" fmla="+- 0 506 494"/>
                <a:gd name="T19" fmla="*/ 506 h 107"/>
                <a:gd name="T20" fmla="+- 0 2042 2022"/>
                <a:gd name="T21" fmla="*/ T20 w 39"/>
                <a:gd name="T22" fmla="+- 0 500 494"/>
                <a:gd name="T23" fmla="*/ 500 h 107"/>
                <a:gd name="T24" fmla="+- 0 2046 2022"/>
                <a:gd name="T25" fmla="*/ T24 w 39"/>
                <a:gd name="T26" fmla="+- 0 496 494"/>
                <a:gd name="T27" fmla="*/ 496 h 107"/>
                <a:gd name="T28" fmla="+- 0 2052 2022"/>
                <a:gd name="T29" fmla="*/ T28 w 39"/>
                <a:gd name="T30" fmla="+- 0 494 494"/>
                <a:gd name="T31" fmla="*/ 494 h 107"/>
                <a:gd name="T32" fmla="+- 0 2061 2022"/>
                <a:gd name="T33" fmla="*/ T32 w 39"/>
                <a:gd name="T34" fmla="+- 0 494 494"/>
                <a:gd name="T35" fmla="*/ 494 h 107"/>
                <a:gd name="T36" fmla="+- 0 2061 2022"/>
                <a:gd name="T37" fmla="*/ T36 w 39"/>
                <a:gd name="T38" fmla="+- 0 503 494"/>
                <a:gd name="T39" fmla="*/ 503 h 107"/>
                <a:gd name="T40" fmla="+- 0 2056 2022"/>
                <a:gd name="T41" fmla="*/ T40 w 39"/>
                <a:gd name="T42" fmla="+- 0 503 494"/>
                <a:gd name="T43" fmla="*/ 503 h 107"/>
                <a:gd name="T44" fmla="+- 0 2053 2022"/>
                <a:gd name="T45" fmla="*/ T44 w 39"/>
                <a:gd name="T46" fmla="+- 0 505 494"/>
                <a:gd name="T47" fmla="*/ 505 h 107"/>
                <a:gd name="T48" fmla="+- 0 2050 2022"/>
                <a:gd name="T49" fmla="*/ T48 w 39"/>
                <a:gd name="T50" fmla="+- 0 507 494"/>
                <a:gd name="T51" fmla="*/ 507 h 107"/>
                <a:gd name="T52" fmla="+- 0 2045 2022"/>
                <a:gd name="T53" fmla="*/ T52 w 39"/>
                <a:gd name="T54" fmla="+- 0 510 494"/>
                <a:gd name="T55" fmla="*/ 510 h 107"/>
                <a:gd name="T56" fmla="+- 0 2045 2022"/>
                <a:gd name="T57" fmla="*/ T56 w 39"/>
                <a:gd name="T58" fmla="+- 0 515 494"/>
                <a:gd name="T59" fmla="*/ 515 h 107"/>
                <a:gd name="T60" fmla="+- 0 2045 2022"/>
                <a:gd name="T61" fmla="*/ T60 w 39"/>
                <a:gd name="T62" fmla="+- 0 521 494"/>
                <a:gd name="T63" fmla="*/ 521 h 107"/>
                <a:gd name="T64" fmla="+- 0 2045 2022"/>
                <a:gd name="T65" fmla="*/ T64 w 39"/>
                <a:gd name="T66" fmla="+- 0 522 494"/>
                <a:gd name="T67" fmla="*/ 522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39" h="107">
                  <a:moveTo>
                    <a:pt x="23" y="28"/>
                  </a:moveTo>
                  <a:lnTo>
                    <a:pt x="13" y="28"/>
                  </a:lnTo>
                  <a:lnTo>
                    <a:pt x="13" y="27"/>
                  </a:lnTo>
                  <a:lnTo>
                    <a:pt x="13" y="19"/>
                  </a:lnTo>
                  <a:lnTo>
                    <a:pt x="13" y="12"/>
                  </a:lnTo>
                  <a:lnTo>
                    <a:pt x="20" y="6"/>
                  </a:lnTo>
                  <a:lnTo>
                    <a:pt x="24" y="2"/>
                  </a:lnTo>
                  <a:lnTo>
                    <a:pt x="30" y="0"/>
                  </a:lnTo>
                  <a:lnTo>
                    <a:pt x="39" y="0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31" y="11"/>
                  </a:lnTo>
                  <a:lnTo>
                    <a:pt x="28" y="13"/>
                  </a:lnTo>
                  <a:lnTo>
                    <a:pt x="23" y="16"/>
                  </a:lnTo>
                  <a:lnTo>
                    <a:pt x="23" y="21"/>
                  </a:lnTo>
                  <a:lnTo>
                    <a:pt x="23" y="27"/>
                  </a:lnTo>
                  <a:lnTo>
                    <a:pt x="23" y="2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9" name="Freeform 4868">
              <a:extLst>
                <a:ext uri="{FF2B5EF4-FFF2-40B4-BE49-F238E27FC236}">
                  <a16:creationId xmlns:a16="http://schemas.microsoft.com/office/drawing/2014/main" id="{682C8EBD-9FD5-8E59-D45E-A2E3818DD7AB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58 2022"/>
                <a:gd name="T1" fmla="*/ T0 w 39"/>
                <a:gd name="T2" fmla="+- 0 533 494"/>
                <a:gd name="T3" fmla="*/ 533 h 107"/>
                <a:gd name="T4" fmla="+- 0 2022 2022"/>
                <a:gd name="T5" fmla="*/ T4 w 39"/>
                <a:gd name="T6" fmla="+- 0 533 494"/>
                <a:gd name="T7" fmla="*/ 533 h 107"/>
                <a:gd name="T8" fmla="+- 0 2022 2022"/>
                <a:gd name="T9" fmla="*/ T8 w 39"/>
                <a:gd name="T10" fmla="+- 0 522 494"/>
                <a:gd name="T11" fmla="*/ 522 h 107"/>
                <a:gd name="T12" fmla="+- 0 2058 2022"/>
                <a:gd name="T13" fmla="*/ T12 w 39"/>
                <a:gd name="T14" fmla="+- 0 522 494"/>
                <a:gd name="T15" fmla="*/ 522 h 107"/>
                <a:gd name="T16" fmla="+- 0 2058 2022"/>
                <a:gd name="T17" fmla="*/ T16 w 39"/>
                <a:gd name="T18" fmla="+- 0 533 494"/>
                <a:gd name="T19" fmla="*/ 533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36" y="39"/>
                  </a:moveTo>
                  <a:lnTo>
                    <a:pt x="0" y="39"/>
                  </a:lnTo>
                  <a:lnTo>
                    <a:pt x="0" y="28"/>
                  </a:lnTo>
                  <a:lnTo>
                    <a:pt x="36" y="28"/>
                  </a:lnTo>
                  <a:lnTo>
                    <a:pt x="36" y="3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0" name="Freeform 4867">
              <a:extLst>
                <a:ext uri="{FF2B5EF4-FFF2-40B4-BE49-F238E27FC236}">
                  <a16:creationId xmlns:a16="http://schemas.microsoft.com/office/drawing/2014/main" id="{AAD031FD-A11A-3206-C927-53BDF20381AF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45 2022"/>
                <a:gd name="T1" fmla="*/ T0 w 39"/>
                <a:gd name="T2" fmla="+- 0 591 494"/>
                <a:gd name="T3" fmla="*/ 591 h 107"/>
                <a:gd name="T4" fmla="+- 0 2035 2022"/>
                <a:gd name="T5" fmla="*/ T4 w 39"/>
                <a:gd name="T6" fmla="+- 0 591 494"/>
                <a:gd name="T7" fmla="*/ 591 h 107"/>
                <a:gd name="T8" fmla="+- 0 2035 2022"/>
                <a:gd name="T9" fmla="*/ T8 w 39"/>
                <a:gd name="T10" fmla="+- 0 533 494"/>
                <a:gd name="T11" fmla="*/ 533 h 107"/>
                <a:gd name="T12" fmla="+- 0 2045 2022"/>
                <a:gd name="T13" fmla="*/ T12 w 39"/>
                <a:gd name="T14" fmla="+- 0 533 494"/>
                <a:gd name="T15" fmla="*/ 533 h 107"/>
                <a:gd name="T16" fmla="+- 0 2045 2022"/>
                <a:gd name="T17" fmla="*/ T16 w 39"/>
                <a:gd name="T18" fmla="+- 0 591 494"/>
                <a:gd name="T19" fmla="*/ 591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23" y="97"/>
                  </a:moveTo>
                  <a:lnTo>
                    <a:pt x="13" y="97"/>
                  </a:lnTo>
                  <a:lnTo>
                    <a:pt x="13" y="39"/>
                  </a:lnTo>
                  <a:lnTo>
                    <a:pt x="23" y="39"/>
                  </a:lnTo>
                  <a:lnTo>
                    <a:pt x="23" y="9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1" name="Freeform 4866">
              <a:extLst>
                <a:ext uri="{FF2B5EF4-FFF2-40B4-BE49-F238E27FC236}">
                  <a16:creationId xmlns:a16="http://schemas.microsoft.com/office/drawing/2014/main" id="{D4FAE602-49C3-01FB-0C45-9AA86F28FA34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58 2022"/>
                <a:gd name="T1" fmla="*/ T0 w 39"/>
                <a:gd name="T2" fmla="+- 0 601 494"/>
                <a:gd name="T3" fmla="*/ 601 h 107"/>
                <a:gd name="T4" fmla="+- 0 2022 2022"/>
                <a:gd name="T5" fmla="*/ T4 w 39"/>
                <a:gd name="T6" fmla="+- 0 601 494"/>
                <a:gd name="T7" fmla="*/ 601 h 107"/>
                <a:gd name="T8" fmla="+- 0 2022 2022"/>
                <a:gd name="T9" fmla="*/ T8 w 39"/>
                <a:gd name="T10" fmla="+- 0 591 494"/>
                <a:gd name="T11" fmla="*/ 591 h 107"/>
                <a:gd name="T12" fmla="+- 0 2058 2022"/>
                <a:gd name="T13" fmla="*/ T12 w 39"/>
                <a:gd name="T14" fmla="+- 0 591 494"/>
                <a:gd name="T15" fmla="*/ 591 h 107"/>
                <a:gd name="T16" fmla="+- 0 2058 2022"/>
                <a:gd name="T17" fmla="*/ T16 w 39"/>
                <a:gd name="T18" fmla="+- 0 601 494"/>
                <a:gd name="T19" fmla="*/ 601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36" y="107"/>
                  </a:moveTo>
                  <a:lnTo>
                    <a:pt x="0" y="107"/>
                  </a:lnTo>
                  <a:lnTo>
                    <a:pt x="0" y="97"/>
                  </a:lnTo>
                  <a:lnTo>
                    <a:pt x="36" y="97"/>
                  </a:lnTo>
                  <a:lnTo>
                    <a:pt x="36" y="10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57B47C25-78CB-25A6-350C-618A41CC88CF}"/>
              </a:ext>
            </a:extLst>
          </xdr:cNvPr>
          <xdr:cNvGrpSpPr>
            <a:grpSpLocks/>
          </xdr:cNvGrpSpPr>
        </xdr:nvGrpSpPr>
        <xdr:grpSpPr bwMode="auto">
          <a:xfrm>
            <a:off x="2076" y="522"/>
            <a:ext cx="76" cy="79"/>
            <a:chOff x="2076" y="522"/>
            <a:chExt cx="76" cy="79"/>
          </a:xfrm>
        </xdr:grpSpPr>
        <xdr:sp macro="" textlink="">
          <xdr:nvSpPr>
            <xdr:cNvPr id="55" name="Freeform 4864">
              <a:extLst>
                <a:ext uri="{FF2B5EF4-FFF2-40B4-BE49-F238E27FC236}">
                  <a16:creationId xmlns:a16="http://schemas.microsoft.com/office/drawing/2014/main" id="{6BB358F1-D4E8-FFA4-4A97-9E9324704ED6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01 2076"/>
                <a:gd name="T1" fmla="*/ T0 w 76"/>
                <a:gd name="T2" fmla="+- 0 601 522"/>
                <a:gd name="T3" fmla="*/ 601 h 79"/>
                <a:gd name="T4" fmla="+- 0 2087 2076"/>
                <a:gd name="T5" fmla="*/ T4 w 76"/>
                <a:gd name="T6" fmla="+- 0 591 522"/>
                <a:gd name="T7" fmla="*/ 591 h 79"/>
                <a:gd name="T8" fmla="+- 0 2078 2076"/>
                <a:gd name="T9" fmla="*/ T8 w 76"/>
                <a:gd name="T10" fmla="+- 0 573 522"/>
                <a:gd name="T11" fmla="*/ 573 h 79"/>
                <a:gd name="T12" fmla="+- 0 2076 2076"/>
                <a:gd name="T13" fmla="*/ T12 w 76"/>
                <a:gd name="T14" fmla="+- 0 545 522"/>
                <a:gd name="T15" fmla="*/ 545 h 79"/>
                <a:gd name="T16" fmla="+- 0 2091 2076"/>
                <a:gd name="T17" fmla="*/ T16 w 76"/>
                <a:gd name="T18" fmla="+- 0 529 522"/>
                <a:gd name="T19" fmla="*/ 529 h 79"/>
                <a:gd name="T20" fmla="+- 0 2112 2076"/>
                <a:gd name="T21" fmla="*/ T20 w 76"/>
                <a:gd name="T22" fmla="+- 0 522 522"/>
                <a:gd name="T23" fmla="*/ 522 h 79"/>
                <a:gd name="T24" fmla="+- 0 2130 2076"/>
                <a:gd name="T25" fmla="*/ T24 w 76"/>
                <a:gd name="T26" fmla="+- 0 527 522"/>
                <a:gd name="T27" fmla="*/ 527 h 79"/>
                <a:gd name="T28" fmla="+- 0 2136 2076"/>
                <a:gd name="T29" fmla="*/ T28 w 76"/>
                <a:gd name="T30" fmla="+- 0 532 522"/>
                <a:gd name="T31" fmla="*/ 532 h 79"/>
                <a:gd name="T32" fmla="+- 0 2098 2076"/>
                <a:gd name="T33" fmla="*/ T32 w 76"/>
                <a:gd name="T34" fmla="+- 0 532 522"/>
                <a:gd name="T35" fmla="*/ 532 h 79"/>
                <a:gd name="T36" fmla="+- 0 2085 2076"/>
                <a:gd name="T37" fmla="*/ T36 w 76"/>
                <a:gd name="T38" fmla="+- 0 543 522"/>
                <a:gd name="T39" fmla="*/ 543 h 79"/>
                <a:gd name="T40" fmla="+- 0 2083 2076"/>
                <a:gd name="T41" fmla="*/ T40 w 76"/>
                <a:gd name="T42" fmla="+- 0 557 522"/>
                <a:gd name="T43" fmla="*/ 557 h 79"/>
                <a:gd name="T44" fmla="+- 0 2150 2076"/>
                <a:gd name="T45" fmla="*/ T44 w 76"/>
                <a:gd name="T46" fmla="+- 0 557 522"/>
                <a:gd name="T47" fmla="*/ 557 h 79"/>
                <a:gd name="T48" fmla="+- 0 2152 2076"/>
                <a:gd name="T49" fmla="*/ T48 w 76"/>
                <a:gd name="T50" fmla="+- 0 563 522"/>
                <a:gd name="T51" fmla="*/ 563 h 79"/>
                <a:gd name="T52" fmla="+- 0 2152 2076"/>
                <a:gd name="T53" fmla="*/ T52 w 76"/>
                <a:gd name="T54" fmla="+- 0 566 522"/>
                <a:gd name="T55" fmla="*/ 566 h 79"/>
                <a:gd name="T56" fmla="+- 0 2083 2076"/>
                <a:gd name="T57" fmla="*/ T56 w 76"/>
                <a:gd name="T58" fmla="+- 0 566 522"/>
                <a:gd name="T59" fmla="*/ 566 h 79"/>
                <a:gd name="T60" fmla="+- 0 2084 2076"/>
                <a:gd name="T61" fmla="*/ T60 w 76"/>
                <a:gd name="T62" fmla="+- 0 581 522"/>
                <a:gd name="T63" fmla="*/ 581 h 79"/>
                <a:gd name="T64" fmla="+- 0 2097 2076"/>
                <a:gd name="T65" fmla="*/ T64 w 76"/>
                <a:gd name="T66" fmla="+- 0 593 522"/>
                <a:gd name="T67" fmla="*/ 593 h 79"/>
                <a:gd name="T68" fmla="+- 0 2135 2076"/>
                <a:gd name="T69" fmla="*/ T68 w 76"/>
                <a:gd name="T70" fmla="+- 0 593 522"/>
                <a:gd name="T71" fmla="*/ 593 h 79"/>
                <a:gd name="T72" fmla="+- 0 2126 2076"/>
                <a:gd name="T73" fmla="*/ T72 w 76"/>
                <a:gd name="T74" fmla="+- 0 598 522"/>
                <a:gd name="T75" fmla="*/ 598 h 79"/>
                <a:gd name="T76" fmla="+- 0 2101 2076"/>
                <a:gd name="T77" fmla="*/ T76 w 76"/>
                <a:gd name="T78" fmla="+- 0 601 522"/>
                <a:gd name="T79" fmla="*/ 601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6" h="79">
                  <a:moveTo>
                    <a:pt x="25" y="79"/>
                  </a:moveTo>
                  <a:lnTo>
                    <a:pt x="11" y="69"/>
                  </a:lnTo>
                  <a:lnTo>
                    <a:pt x="2" y="51"/>
                  </a:lnTo>
                  <a:lnTo>
                    <a:pt x="0" y="23"/>
                  </a:lnTo>
                  <a:lnTo>
                    <a:pt x="15" y="7"/>
                  </a:lnTo>
                  <a:lnTo>
                    <a:pt x="36" y="0"/>
                  </a:lnTo>
                  <a:lnTo>
                    <a:pt x="54" y="5"/>
                  </a:lnTo>
                  <a:lnTo>
                    <a:pt x="60" y="10"/>
                  </a:lnTo>
                  <a:lnTo>
                    <a:pt x="22" y="10"/>
                  </a:lnTo>
                  <a:lnTo>
                    <a:pt x="9" y="21"/>
                  </a:lnTo>
                  <a:lnTo>
                    <a:pt x="7" y="35"/>
                  </a:lnTo>
                  <a:lnTo>
                    <a:pt x="74" y="35"/>
                  </a:lnTo>
                  <a:lnTo>
                    <a:pt x="76" y="41"/>
                  </a:lnTo>
                  <a:lnTo>
                    <a:pt x="76" y="44"/>
                  </a:lnTo>
                  <a:lnTo>
                    <a:pt x="7" y="44"/>
                  </a:lnTo>
                  <a:lnTo>
                    <a:pt x="8" y="59"/>
                  </a:lnTo>
                  <a:lnTo>
                    <a:pt x="21" y="71"/>
                  </a:lnTo>
                  <a:lnTo>
                    <a:pt x="59" y="71"/>
                  </a:lnTo>
                  <a:lnTo>
                    <a:pt x="50" y="76"/>
                  </a:lnTo>
                  <a:lnTo>
                    <a:pt x="25" y="7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6" name="Freeform 4863">
              <a:extLst>
                <a:ext uri="{FF2B5EF4-FFF2-40B4-BE49-F238E27FC236}">
                  <a16:creationId xmlns:a16="http://schemas.microsoft.com/office/drawing/2014/main" id="{FBD1CFF8-734C-9805-4BB6-07BF8D31D1DA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50 2076"/>
                <a:gd name="T1" fmla="*/ T0 w 76"/>
                <a:gd name="T2" fmla="+- 0 557 522"/>
                <a:gd name="T3" fmla="*/ 557 h 79"/>
                <a:gd name="T4" fmla="+- 0 2142 2076"/>
                <a:gd name="T5" fmla="*/ T4 w 76"/>
                <a:gd name="T6" fmla="+- 0 557 522"/>
                <a:gd name="T7" fmla="*/ 557 h 79"/>
                <a:gd name="T8" fmla="+- 0 2139 2076"/>
                <a:gd name="T9" fmla="*/ T8 w 76"/>
                <a:gd name="T10" fmla="+- 0 543 522"/>
                <a:gd name="T11" fmla="*/ 543 h 79"/>
                <a:gd name="T12" fmla="+- 0 2127 2076"/>
                <a:gd name="T13" fmla="*/ T12 w 76"/>
                <a:gd name="T14" fmla="+- 0 532 522"/>
                <a:gd name="T15" fmla="*/ 532 h 79"/>
                <a:gd name="T16" fmla="+- 0 2136 2076"/>
                <a:gd name="T17" fmla="*/ T16 w 76"/>
                <a:gd name="T18" fmla="+- 0 532 522"/>
                <a:gd name="T19" fmla="*/ 532 h 79"/>
                <a:gd name="T20" fmla="+- 0 2146 2076"/>
                <a:gd name="T21" fmla="*/ T20 w 76"/>
                <a:gd name="T22" fmla="+- 0 541 522"/>
                <a:gd name="T23" fmla="*/ 541 h 79"/>
                <a:gd name="T24" fmla="+- 0 2150 2076"/>
                <a:gd name="T25" fmla="*/ T24 w 76"/>
                <a:gd name="T26" fmla="+- 0 557 522"/>
                <a:gd name="T27" fmla="*/ 557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76" h="79">
                  <a:moveTo>
                    <a:pt x="74" y="35"/>
                  </a:moveTo>
                  <a:lnTo>
                    <a:pt x="66" y="35"/>
                  </a:lnTo>
                  <a:lnTo>
                    <a:pt x="63" y="21"/>
                  </a:lnTo>
                  <a:lnTo>
                    <a:pt x="51" y="10"/>
                  </a:lnTo>
                  <a:lnTo>
                    <a:pt x="60" y="10"/>
                  </a:lnTo>
                  <a:lnTo>
                    <a:pt x="70" y="19"/>
                  </a:lnTo>
                  <a:lnTo>
                    <a:pt x="74" y="3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7" name="Freeform 4862">
              <a:extLst>
                <a:ext uri="{FF2B5EF4-FFF2-40B4-BE49-F238E27FC236}">
                  <a16:creationId xmlns:a16="http://schemas.microsoft.com/office/drawing/2014/main" id="{DA42CAA7-B38E-0BE8-DB84-2F241B47B345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35 2076"/>
                <a:gd name="T1" fmla="*/ T0 w 76"/>
                <a:gd name="T2" fmla="+- 0 593 522"/>
                <a:gd name="T3" fmla="*/ 593 h 79"/>
                <a:gd name="T4" fmla="+- 0 2123 2076"/>
                <a:gd name="T5" fmla="*/ T4 w 76"/>
                <a:gd name="T6" fmla="+- 0 593 522"/>
                <a:gd name="T7" fmla="*/ 593 h 79"/>
                <a:gd name="T8" fmla="+- 0 2132 2076"/>
                <a:gd name="T9" fmla="*/ T8 w 76"/>
                <a:gd name="T10" fmla="+- 0 587 522"/>
                <a:gd name="T11" fmla="*/ 587 h 79"/>
                <a:gd name="T12" fmla="+- 0 2137 2076"/>
                <a:gd name="T13" fmla="*/ T12 w 76"/>
                <a:gd name="T14" fmla="+- 0 578 522"/>
                <a:gd name="T15" fmla="*/ 578 h 79"/>
                <a:gd name="T16" fmla="+- 0 2138 2076"/>
                <a:gd name="T17" fmla="*/ T16 w 76"/>
                <a:gd name="T18" fmla="+- 0 578 522"/>
                <a:gd name="T19" fmla="*/ 578 h 79"/>
                <a:gd name="T20" fmla="+- 0 2149 2076"/>
                <a:gd name="T21" fmla="*/ T20 w 76"/>
                <a:gd name="T22" fmla="+- 0 578 522"/>
                <a:gd name="T23" fmla="*/ 578 h 79"/>
                <a:gd name="T24" fmla="+- 0 2142 2076"/>
                <a:gd name="T25" fmla="*/ T24 w 76"/>
                <a:gd name="T26" fmla="+- 0 588 522"/>
                <a:gd name="T27" fmla="*/ 588 h 79"/>
                <a:gd name="T28" fmla="+- 0 2135 2076"/>
                <a:gd name="T29" fmla="*/ T28 w 76"/>
                <a:gd name="T30" fmla="+- 0 593 522"/>
                <a:gd name="T31" fmla="*/ 593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6" h="79">
                  <a:moveTo>
                    <a:pt x="59" y="71"/>
                  </a:moveTo>
                  <a:lnTo>
                    <a:pt x="47" y="71"/>
                  </a:lnTo>
                  <a:lnTo>
                    <a:pt x="56" y="65"/>
                  </a:lnTo>
                  <a:lnTo>
                    <a:pt x="61" y="56"/>
                  </a:lnTo>
                  <a:lnTo>
                    <a:pt x="62" y="56"/>
                  </a:lnTo>
                  <a:lnTo>
                    <a:pt x="73" y="56"/>
                  </a:lnTo>
                  <a:lnTo>
                    <a:pt x="66" y="66"/>
                  </a:lnTo>
                  <a:lnTo>
                    <a:pt x="59" y="7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9449D480-14C3-0300-55F9-2EFEA43A1C7D}"/>
              </a:ext>
            </a:extLst>
          </xdr:cNvPr>
          <xdr:cNvGrpSpPr>
            <a:grpSpLocks/>
          </xdr:cNvGrpSpPr>
        </xdr:nvGrpSpPr>
        <xdr:grpSpPr bwMode="auto">
          <a:xfrm>
            <a:off x="2228" y="520"/>
            <a:ext cx="78" cy="81"/>
            <a:chOff x="2228" y="520"/>
            <a:chExt cx="78" cy="81"/>
          </a:xfrm>
        </xdr:grpSpPr>
        <xdr:sp macro="" textlink="">
          <xdr:nvSpPr>
            <xdr:cNvPr id="51" name="Freeform 4860">
              <a:extLst>
                <a:ext uri="{FF2B5EF4-FFF2-40B4-BE49-F238E27FC236}">
                  <a16:creationId xmlns:a16="http://schemas.microsoft.com/office/drawing/2014/main" id="{8F08876E-1D16-FE8A-800B-15AAF02D05EA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274 2228"/>
                <a:gd name="T1" fmla="*/ T0 w 78"/>
                <a:gd name="T2" fmla="+- 0 600 520"/>
                <a:gd name="T3" fmla="*/ 600 h 81"/>
                <a:gd name="T4" fmla="+- 0 2252 2228"/>
                <a:gd name="T5" fmla="*/ T4 w 78"/>
                <a:gd name="T6" fmla="+- 0 600 520"/>
                <a:gd name="T7" fmla="*/ 600 h 81"/>
                <a:gd name="T8" fmla="+- 0 2238 2228"/>
                <a:gd name="T9" fmla="*/ T8 w 78"/>
                <a:gd name="T10" fmla="+- 0 590 520"/>
                <a:gd name="T11" fmla="*/ 590 h 81"/>
                <a:gd name="T12" fmla="+- 0 2229 2228"/>
                <a:gd name="T13" fmla="*/ T12 w 78"/>
                <a:gd name="T14" fmla="+- 0 571 520"/>
                <a:gd name="T15" fmla="*/ 571 h 81"/>
                <a:gd name="T16" fmla="+- 0 2228 2228"/>
                <a:gd name="T17" fmla="*/ T16 w 78"/>
                <a:gd name="T18" fmla="+- 0 543 520"/>
                <a:gd name="T19" fmla="*/ 543 h 81"/>
                <a:gd name="T20" fmla="+- 0 2243 2228"/>
                <a:gd name="T21" fmla="*/ T20 w 78"/>
                <a:gd name="T22" fmla="+- 0 527 520"/>
                <a:gd name="T23" fmla="*/ 527 h 81"/>
                <a:gd name="T24" fmla="+- 0 2266 2228"/>
                <a:gd name="T25" fmla="*/ T24 w 78"/>
                <a:gd name="T26" fmla="+- 0 520 520"/>
                <a:gd name="T27" fmla="*/ 520 h 81"/>
                <a:gd name="T28" fmla="+- 0 2272 2228"/>
                <a:gd name="T29" fmla="*/ T28 w 78"/>
                <a:gd name="T30" fmla="+- 0 520 520"/>
                <a:gd name="T31" fmla="*/ 520 h 81"/>
                <a:gd name="T32" fmla="+- 0 2286 2228"/>
                <a:gd name="T33" fmla="*/ T32 w 78"/>
                <a:gd name="T34" fmla="+- 0 522 520"/>
                <a:gd name="T35" fmla="*/ 522 h 81"/>
                <a:gd name="T36" fmla="+- 0 2293 2228"/>
                <a:gd name="T37" fmla="*/ T36 w 78"/>
                <a:gd name="T38" fmla="+- 0 531 520"/>
                <a:gd name="T39" fmla="*/ 531 h 81"/>
                <a:gd name="T40" fmla="+- 0 2259 2228"/>
                <a:gd name="T41" fmla="*/ T40 w 78"/>
                <a:gd name="T42" fmla="+- 0 531 520"/>
                <a:gd name="T43" fmla="*/ 531 h 81"/>
                <a:gd name="T44" fmla="+- 0 2242 2228"/>
                <a:gd name="T45" fmla="*/ T44 w 78"/>
                <a:gd name="T46" fmla="+- 0 542 520"/>
                <a:gd name="T47" fmla="*/ 542 h 81"/>
                <a:gd name="T48" fmla="+- 0 2235 2228"/>
                <a:gd name="T49" fmla="*/ T48 w 78"/>
                <a:gd name="T50" fmla="+- 0 566 520"/>
                <a:gd name="T51" fmla="*/ 566 h 81"/>
                <a:gd name="T52" fmla="+- 0 2245 2228"/>
                <a:gd name="T53" fmla="*/ T52 w 78"/>
                <a:gd name="T54" fmla="+- 0 585 520"/>
                <a:gd name="T55" fmla="*/ 585 h 81"/>
                <a:gd name="T56" fmla="+- 0 2266 2228"/>
                <a:gd name="T57" fmla="*/ T56 w 78"/>
                <a:gd name="T58" fmla="+- 0 592 520"/>
                <a:gd name="T59" fmla="*/ 592 h 81"/>
                <a:gd name="T60" fmla="+- 0 2306 2228"/>
                <a:gd name="T61" fmla="*/ T60 w 78"/>
                <a:gd name="T62" fmla="+- 0 592 520"/>
                <a:gd name="T63" fmla="*/ 592 h 81"/>
                <a:gd name="T64" fmla="+- 0 2306 2228"/>
                <a:gd name="T65" fmla="*/ T64 w 78"/>
                <a:gd name="T66" fmla="+- 0 593 520"/>
                <a:gd name="T67" fmla="*/ 593 h 81"/>
                <a:gd name="T68" fmla="+- 0 2291 2228"/>
                <a:gd name="T69" fmla="*/ T68 w 78"/>
                <a:gd name="T70" fmla="+- 0 593 520"/>
                <a:gd name="T71" fmla="*/ 593 h 81"/>
                <a:gd name="T72" fmla="+- 0 2274 2228"/>
                <a:gd name="T73" fmla="*/ T72 w 78"/>
                <a:gd name="T74" fmla="+- 0 600 520"/>
                <a:gd name="T75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</a:cxnLst>
              <a:rect l="0" t="0" r="r" b="b"/>
              <a:pathLst>
                <a:path w="78" h="81">
                  <a:moveTo>
                    <a:pt x="46" y="80"/>
                  </a:moveTo>
                  <a:lnTo>
                    <a:pt x="24" y="80"/>
                  </a:lnTo>
                  <a:lnTo>
                    <a:pt x="10" y="70"/>
                  </a:lnTo>
                  <a:lnTo>
                    <a:pt x="1" y="51"/>
                  </a:lnTo>
                  <a:lnTo>
                    <a:pt x="0" y="23"/>
                  </a:lnTo>
                  <a:lnTo>
                    <a:pt x="15" y="7"/>
                  </a:lnTo>
                  <a:lnTo>
                    <a:pt x="38" y="0"/>
                  </a:lnTo>
                  <a:lnTo>
                    <a:pt x="44" y="0"/>
                  </a:lnTo>
                  <a:lnTo>
                    <a:pt x="58" y="2"/>
                  </a:lnTo>
                  <a:lnTo>
                    <a:pt x="65" y="11"/>
                  </a:lnTo>
                  <a:lnTo>
                    <a:pt x="31" y="11"/>
                  </a:lnTo>
                  <a:lnTo>
                    <a:pt x="14" y="22"/>
                  </a:lnTo>
                  <a:lnTo>
                    <a:pt x="7" y="46"/>
                  </a:lnTo>
                  <a:lnTo>
                    <a:pt x="17" y="65"/>
                  </a:lnTo>
                  <a:lnTo>
                    <a:pt x="38" y="72"/>
                  </a:lnTo>
                  <a:lnTo>
                    <a:pt x="78" y="72"/>
                  </a:lnTo>
                  <a:lnTo>
                    <a:pt x="78" y="73"/>
                  </a:lnTo>
                  <a:lnTo>
                    <a:pt x="63" y="73"/>
                  </a:lnTo>
                  <a:lnTo>
                    <a:pt x="46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2" name="Freeform 4859">
              <a:extLst>
                <a:ext uri="{FF2B5EF4-FFF2-40B4-BE49-F238E27FC236}">
                  <a16:creationId xmlns:a16="http://schemas.microsoft.com/office/drawing/2014/main" id="{47BB8001-F389-03C2-B0ED-57CB31380C06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535 520"/>
                <a:gd name="T3" fmla="*/ 535 h 81"/>
                <a:gd name="T4" fmla="+- 0 2295 2228"/>
                <a:gd name="T5" fmla="*/ T4 w 78"/>
                <a:gd name="T6" fmla="+- 0 535 520"/>
                <a:gd name="T7" fmla="*/ 535 h 81"/>
                <a:gd name="T8" fmla="+- 0 2295 2228"/>
                <a:gd name="T9" fmla="*/ T8 w 78"/>
                <a:gd name="T10" fmla="+- 0 522 520"/>
                <a:gd name="T11" fmla="*/ 522 h 81"/>
                <a:gd name="T12" fmla="+- 0 2306 2228"/>
                <a:gd name="T13" fmla="*/ T12 w 78"/>
                <a:gd name="T14" fmla="+- 0 522 520"/>
                <a:gd name="T15" fmla="*/ 522 h 81"/>
                <a:gd name="T16" fmla="+- 0 2306 2228"/>
                <a:gd name="T17" fmla="*/ T16 w 78"/>
                <a:gd name="T18" fmla="+- 0 535 520"/>
                <a:gd name="T19" fmla="*/ 535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81">
                  <a:moveTo>
                    <a:pt x="78" y="15"/>
                  </a:moveTo>
                  <a:lnTo>
                    <a:pt x="67" y="15"/>
                  </a:lnTo>
                  <a:lnTo>
                    <a:pt x="67" y="2"/>
                  </a:lnTo>
                  <a:lnTo>
                    <a:pt x="78" y="2"/>
                  </a:lnTo>
                  <a:lnTo>
                    <a:pt x="78" y="1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3" name="Freeform 4858">
              <a:extLst>
                <a:ext uri="{FF2B5EF4-FFF2-40B4-BE49-F238E27FC236}">
                  <a16:creationId xmlns:a16="http://schemas.microsoft.com/office/drawing/2014/main" id="{FB92B218-1401-BC00-E386-B3A7DBC9B726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592 520"/>
                <a:gd name="T3" fmla="*/ 592 h 81"/>
                <a:gd name="T4" fmla="+- 0 2266 2228"/>
                <a:gd name="T5" fmla="*/ T4 w 78"/>
                <a:gd name="T6" fmla="+- 0 592 520"/>
                <a:gd name="T7" fmla="*/ 592 h 81"/>
                <a:gd name="T8" fmla="+- 0 2276 2228"/>
                <a:gd name="T9" fmla="*/ T8 w 78"/>
                <a:gd name="T10" fmla="+- 0 590 520"/>
                <a:gd name="T11" fmla="*/ 590 h 81"/>
                <a:gd name="T12" fmla="+- 0 2290 2228"/>
                <a:gd name="T13" fmla="*/ T12 w 78"/>
                <a:gd name="T14" fmla="+- 0 577 520"/>
                <a:gd name="T15" fmla="*/ 577 h 81"/>
                <a:gd name="T16" fmla="+- 0 2295 2228"/>
                <a:gd name="T17" fmla="*/ T16 w 78"/>
                <a:gd name="T18" fmla="+- 0 552 520"/>
                <a:gd name="T19" fmla="*/ 552 h 81"/>
                <a:gd name="T20" fmla="+- 0 2282 2228"/>
                <a:gd name="T21" fmla="*/ T20 w 78"/>
                <a:gd name="T22" fmla="+- 0 537 520"/>
                <a:gd name="T23" fmla="*/ 537 h 81"/>
                <a:gd name="T24" fmla="+- 0 2259 2228"/>
                <a:gd name="T25" fmla="*/ T24 w 78"/>
                <a:gd name="T26" fmla="+- 0 531 520"/>
                <a:gd name="T27" fmla="*/ 531 h 81"/>
                <a:gd name="T28" fmla="+- 0 2293 2228"/>
                <a:gd name="T29" fmla="*/ T28 w 78"/>
                <a:gd name="T30" fmla="+- 0 531 520"/>
                <a:gd name="T31" fmla="*/ 531 h 81"/>
                <a:gd name="T32" fmla="+- 0 2295 2228"/>
                <a:gd name="T33" fmla="*/ T32 w 78"/>
                <a:gd name="T34" fmla="+- 0 535 520"/>
                <a:gd name="T35" fmla="*/ 535 h 81"/>
                <a:gd name="T36" fmla="+- 0 2306 2228"/>
                <a:gd name="T37" fmla="*/ T36 w 78"/>
                <a:gd name="T38" fmla="+- 0 535 520"/>
                <a:gd name="T39" fmla="*/ 535 h 81"/>
                <a:gd name="T40" fmla="+- 0 2306 2228"/>
                <a:gd name="T41" fmla="*/ T40 w 78"/>
                <a:gd name="T42" fmla="+- 0 592 520"/>
                <a:gd name="T43" fmla="*/ 592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78" h="81">
                  <a:moveTo>
                    <a:pt x="78" y="72"/>
                  </a:moveTo>
                  <a:lnTo>
                    <a:pt x="38" y="72"/>
                  </a:lnTo>
                  <a:lnTo>
                    <a:pt x="48" y="70"/>
                  </a:lnTo>
                  <a:lnTo>
                    <a:pt x="62" y="57"/>
                  </a:lnTo>
                  <a:lnTo>
                    <a:pt x="67" y="32"/>
                  </a:lnTo>
                  <a:lnTo>
                    <a:pt x="54" y="17"/>
                  </a:lnTo>
                  <a:lnTo>
                    <a:pt x="31" y="11"/>
                  </a:lnTo>
                  <a:lnTo>
                    <a:pt x="65" y="11"/>
                  </a:lnTo>
                  <a:lnTo>
                    <a:pt x="67" y="15"/>
                  </a:lnTo>
                  <a:lnTo>
                    <a:pt x="78" y="15"/>
                  </a:lnTo>
                  <a:lnTo>
                    <a:pt x="78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4" name="Freeform 4857">
              <a:extLst>
                <a:ext uri="{FF2B5EF4-FFF2-40B4-BE49-F238E27FC236}">
                  <a16:creationId xmlns:a16="http://schemas.microsoft.com/office/drawing/2014/main" id="{8AE3A87E-19BC-E029-0A21-E0660A15C68B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600 520"/>
                <a:gd name="T3" fmla="*/ 600 h 81"/>
                <a:gd name="T4" fmla="+- 0 2295 2228"/>
                <a:gd name="T5" fmla="*/ T4 w 78"/>
                <a:gd name="T6" fmla="+- 0 600 520"/>
                <a:gd name="T7" fmla="*/ 600 h 81"/>
                <a:gd name="T8" fmla="+- 0 2291 2228"/>
                <a:gd name="T9" fmla="*/ T8 w 78"/>
                <a:gd name="T10" fmla="+- 0 593 520"/>
                <a:gd name="T11" fmla="*/ 593 h 81"/>
                <a:gd name="T12" fmla="+- 0 2306 2228"/>
                <a:gd name="T13" fmla="*/ T12 w 78"/>
                <a:gd name="T14" fmla="+- 0 593 520"/>
                <a:gd name="T15" fmla="*/ 593 h 81"/>
                <a:gd name="T16" fmla="+- 0 2306 2228"/>
                <a:gd name="T17" fmla="*/ T16 w 78"/>
                <a:gd name="T18" fmla="+- 0 600 520"/>
                <a:gd name="T19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81">
                  <a:moveTo>
                    <a:pt x="78" y="80"/>
                  </a:moveTo>
                  <a:lnTo>
                    <a:pt x="67" y="80"/>
                  </a:lnTo>
                  <a:lnTo>
                    <a:pt x="63" y="73"/>
                  </a:lnTo>
                  <a:lnTo>
                    <a:pt x="78" y="73"/>
                  </a:lnTo>
                  <a:lnTo>
                    <a:pt x="78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27715870-DD98-4EEB-FEDD-E72F2554BFD2}"/>
              </a:ext>
            </a:extLst>
          </xdr:cNvPr>
          <xdr:cNvGrpSpPr>
            <a:grpSpLocks/>
          </xdr:cNvGrpSpPr>
        </xdr:nvGrpSpPr>
        <xdr:grpSpPr bwMode="auto">
          <a:xfrm>
            <a:off x="2328" y="522"/>
            <a:ext cx="69" cy="80"/>
            <a:chOff x="2328" y="522"/>
            <a:chExt cx="69" cy="80"/>
          </a:xfrm>
        </xdr:grpSpPr>
        <xdr:sp macro="" textlink="">
          <xdr:nvSpPr>
            <xdr:cNvPr id="48" name="Freeform 4855">
              <a:extLst>
                <a:ext uri="{FF2B5EF4-FFF2-40B4-BE49-F238E27FC236}">
                  <a16:creationId xmlns:a16="http://schemas.microsoft.com/office/drawing/2014/main" id="{08FC46D9-E718-9E52-B1A0-D68FB9D61A51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77 2328"/>
                <a:gd name="T1" fmla="*/ T0 w 69"/>
                <a:gd name="T2" fmla="+- 0 602 522"/>
                <a:gd name="T3" fmla="*/ 602 h 80"/>
                <a:gd name="T4" fmla="+- 0 2346 2328"/>
                <a:gd name="T5" fmla="*/ T4 w 69"/>
                <a:gd name="T6" fmla="+- 0 602 522"/>
                <a:gd name="T7" fmla="*/ 602 h 80"/>
                <a:gd name="T8" fmla="+- 0 2338 2328"/>
                <a:gd name="T9" fmla="*/ T8 w 69"/>
                <a:gd name="T10" fmla="+- 0 595 522"/>
                <a:gd name="T11" fmla="*/ 595 h 80"/>
                <a:gd name="T12" fmla="+- 0 2334 2328"/>
                <a:gd name="T13" fmla="*/ T12 w 69"/>
                <a:gd name="T14" fmla="+- 0 591 522"/>
                <a:gd name="T15" fmla="*/ 591 h 80"/>
                <a:gd name="T16" fmla="+- 0 2330 2328"/>
                <a:gd name="T17" fmla="*/ T16 w 69"/>
                <a:gd name="T18" fmla="+- 0 585 522"/>
                <a:gd name="T19" fmla="*/ 585 h 80"/>
                <a:gd name="T20" fmla="+- 0 2328 2328"/>
                <a:gd name="T21" fmla="*/ T20 w 69"/>
                <a:gd name="T22" fmla="+- 0 576 522"/>
                <a:gd name="T23" fmla="*/ 576 h 80"/>
                <a:gd name="T24" fmla="+- 0 2328 2328"/>
                <a:gd name="T25" fmla="*/ T24 w 69"/>
                <a:gd name="T26" fmla="+- 0 522 522"/>
                <a:gd name="T27" fmla="*/ 522 h 80"/>
                <a:gd name="T28" fmla="+- 0 2339 2328"/>
                <a:gd name="T29" fmla="*/ T28 w 69"/>
                <a:gd name="T30" fmla="+- 0 522 522"/>
                <a:gd name="T31" fmla="*/ 522 h 80"/>
                <a:gd name="T32" fmla="+- 0 2339 2328"/>
                <a:gd name="T33" fmla="*/ T32 w 69"/>
                <a:gd name="T34" fmla="+- 0 574 522"/>
                <a:gd name="T35" fmla="*/ 574 h 80"/>
                <a:gd name="T36" fmla="+- 0 2340 2328"/>
                <a:gd name="T37" fmla="*/ T36 w 69"/>
                <a:gd name="T38" fmla="+- 0 581 522"/>
                <a:gd name="T39" fmla="*/ 581 h 80"/>
                <a:gd name="T40" fmla="+- 0 2344 2328"/>
                <a:gd name="T41" fmla="*/ T40 w 69"/>
                <a:gd name="T42" fmla="+- 0 585 522"/>
                <a:gd name="T43" fmla="*/ 585 h 80"/>
                <a:gd name="T44" fmla="+- 0 2348 2328"/>
                <a:gd name="T45" fmla="*/ T44 w 69"/>
                <a:gd name="T46" fmla="+- 0 590 522"/>
                <a:gd name="T47" fmla="*/ 590 h 80"/>
                <a:gd name="T48" fmla="+- 0 2354 2328"/>
                <a:gd name="T49" fmla="*/ T48 w 69"/>
                <a:gd name="T50" fmla="+- 0 592 522"/>
                <a:gd name="T51" fmla="*/ 592 h 80"/>
                <a:gd name="T52" fmla="+- 0 2384 2328"/>
                <a:gd name="T53" fmla="*/ T52 w 69"/>
                <a:gd name="T54" fmla="+- 0 592 522"/>
                <a:gd name="T55" fmla="*/ 592 h 80"/>
                <a:gd name="T56" fmla="+- 0 2383 2328"/>
                <a:gd name="T57" fmla="*/ T56 w 69"/>
                <a:gd name="T58" fmla="+- 0 594 522"/>
                <a:gd name="T59" fmla="*/ 594 h 80"/>
                <a:gd name="T60" fmla="+- 0 2377 2328"/>
                <a:gd name="T61" fmla="*/ T60 w 69"/>
                <a:gd name="T62" fmla="+- 0 602 522"/>
                <a:gd name="T63" fmla="*/ 60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</a:cxnLst>
              <a:rect l="0" t="0" r="r" b="b"/>
              <a:pathLst>
                <a:path w="69" h="80">
                  <a:moveTo>
                    <a:pt x="49" y="80"/>
                  </a:moveTo>
                  <a:lnTo>
                    <a:pt x="18" y="80"/>
                  </a:lnTo>
                  <a:lnTo>
                    <a:pt x="10" y="73"/>
                  </a:lnTo>
                  <a:lnTo>
                    <a:pt x="6" y="69"/>
                  </a:lnTo>
                  <a:lnTo>
                    <a:pt x="2" y="63"/>
                  </a:lnTo>
                  <a:lnTo>
                    <a:pt x="0" y="54"/>
                  </a:lnTo>
                  <a:lnTo>
                    <a:pt x="0" y="0"/>
                  </a:lnTo>
                  <a:lnTo>
                    <a:pt x="11" y="0"/>
                  </a:lnTo>
                  <a:lnTo>
                    <a:pt x="11" y="52"/>
                  </a:lnTo>
                  <a:lnTo>
                    <a:pt x="12" y="59"/>
                  </a:lnTo>
                  <a:lnTo>
                    <a:pt x="16" y="63"/>
                  </a:lnTo>
                  <a:lnTo>
                    <a:pt x="20" y="68"/>
                  </a:lnTo>
                  <a:lnTo>
                    <a:pt x="26" y="70"/>
                  </a:lnTo>
                  <a:lnTo>
                    <a:pt x="56" y="70"/>
                  </a:lnTo>
                  <a:lnTo>
                    <a:pt x="55" y="72"/>
                  </a:lnTo>
                  <a:lnTo>
                    <a:pt x="49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9" name="Freeform 4854">
              <a:extLst>
                <a:ext uri="{FF2B5EF4-FFF2-40B4-BE49-F238E27FC236}">
                  <a16:creationId xmlns:a16="http://schemas.microsoft.com/office/drawing/2014/main" id="{D6C1D041-5C9F-259B-B3B1-8E25F43202E4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84 2328"/>
                <a:gd name="T1" fmla="*/ T0 w 69"/>
                <a:gd name="T2" fmla="+- 0 592 522"/>
                <a:gd name="T3" fmla="*/ 592 h 80"/>
                <a:gd name="T4" fmla="+- 0 2368 2328"/>
                <a:gd name="T5" fmla="*/ T4 w 69"/>
                <a:gd name="T6" fmla="+- 0 592 522"/>
                <a:gd name="T7" fmla="*/ 592 h 80"/>
                <a:gd name="T8" fmla="+- 0 2373 2328"/>
                <a:gd name="T9" fmla="*/ T8 w 69"/>
                <a:gd name="T10" fmla="+- 0 590 522"/>
                <a:gd name="T11" fmla="*/ 590 h 80"/>
                <a:gd name="T12" fmla="+- 0 2377 2328"/>
                <a:gd name="T13" fmla="*/ T12 w 69"/>
                <a:gd name="T14" fmla="+- 0 586 522"/>
                <a:gd name="T15" fmla="*/ 586 h 80"/>
                <a:gd name="T16" fmla="+- 0 2381 2328"/>
                <a:gd name="T17" fmla="*/ T16 w 69"/>
                <a:gd name="T18" fmla="+- 0 582 522"/>
                <a:gd name="T19" fmla="*/ 582 h 80"/>
                <a:gd name="T20" fmla="+- 0 2385 2328"/>
                <a:gd name="T21" fmla="*/ T20 w 69"/>
                <a:gd name="T22" fmla="+- 0 577 522"/>
                <a:gd name="T23" fmla="*/ 577 h 80"/>
                <a:gd name="T24" fmla="+- 0 2385 2328"/>
                <a:gd name="T25" fmla="*/ T24 w 69"/>
                <a:gd name="T26" fmla="+- 0 564 522"/>
                <a:gd name="T27" fmla="*/ 564 h 80"/>
                <a:gd name="T28" fmla="+- 0 2385 2328"/>
                <a:gd name="T29" fmla="*/ T28 w 69"/>
                <a:gd name="T30" fmla="+- 0 522 522"/>
                <a:gd name="T31" fmla="*/ 522 h 80"/>
                <a:gd name="T32" fmla="+- 0 2396 2328"/>
                <a:gd name="T33" fmla="*/ T32 w 69"/>
                <a:gd name="T34" fmla="+- 0 522 522"/>
                <a:gd name="T35" fmla="*/ 522 h 80"/>
                <a:gd name="T36" fmla="+- 0 2396 2328"/>
                <a:gd name="T37" fmla="*/ T36 w 69"/>
                <a:gd name="T38" fmla="+- 0 590 522"/>
                <a:gd name="T39" fmla="*/ 590 h 80"/>
                <a:gd name="T40" fmla="+- 0 2386 2328"/>
                <a:gd name="T41" fmla="*/ T40 w 69"/>
                <a:gd name="T42" fmla="+- 0 590 522"/>
                <a:gd name="T43" fmla="*/ 590 h 80"/>
                <a:gd name="T44" fmla="+- 0 2384 2328"/>
                <a:gd name="T45" fmla="*/ T44 w 69"/>
                <a:gd name="T46" fmla="+- 0 592 522"/>
                <a:gd name="T47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69" h="80">
                  <a:moveTo>
                    <a:pt x="56" y="70"/>
                  </a:moveTo>
                  <a:lnTo>
                    <a:pt x="40" y="70"/>
                  </a:lnTo>
                  <a:lnTo>
                    <a:pt x="45" y="68"/>
                  </a:lnTo>
                  <a:lnTo>
                    <a:pt x="49" y="64"/>
                  </a:lnTo>
                  <a:lnTo>
                    <a:pt x="53" y="60"/>
                  </a:lnTo>
                  <a:lnTo>
                    <a:pt x="57" y="55"/>
                  </a:lnTo>
                  <a:lnTo>
                    <a:pt x="57" y="42"/>
                  </a:lnTo>
                  <a:lnTo>
                    <a:pt x="57" y="0"/>
                  </a:lnTo>
                  <a:lnTo>
                    <a:pt x="68" y="0"/>
                  </a:lnTo>
                  <a:lnTo>
                    <a:pt x="68" y="68"/>
                  </a:lnTo>
                  <a:lnTo>
                    <a:pt x="58" y="68"/>
                  </a:lnTo>
                  <a:lnTo>
                    <a:pt x="56" y="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0" name="Freeform 4853">
              <a:extLst>
                <a:ext uri="{FF2B5EF4-FFF2-40B4-BE49-F238E27FC236}">
                  <a16:creationId xmlns:a16="http://schemas.microsoft.com/office/drawing/2014/main" id="{41654A7E-F31B-C07D-D100-D497C753473C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96 2328"/>
                <a:gd name="T1" fmla="*/ T0 w 69"/>
                <a:gd name="T2" fmla="+- 0 600 522"/>
                <a:gd name="T3" fmla="*/ 600 h 80"/>
                <a:gd name="T4" fmla="+- 0 2386 2328"/>
                <a:gd name="T5" fmla="*/ T4 w 69"/>
                <a:gd name="T6" fmla="+- 0 600 522"/>
                <a:gd name="T7" fmla="*/ 600 h 80"/>
                <a:gd name="T8" fmla="+- 0 2386 2328"/>
                <a:gd name="T9" fmla="*/ T8 w 69"/>
                <a:gd name="T10" fmla="+- 0 590 522"/>
                <a:gd name="T11" fmla="*/ 590 h 80"/>
                <a:gd name="T12" fmla="+- 0 2396 2328"/>
                <a:gd name="T13" fmla="*/ T12 w 69"/>
                <a:gd name="T14" fmla="+- 0 590 522"/>
                <a:gd name="T15" fmla="*/ 590 h 80"/>
                <a:gd name="T16" fmla="+- 0 2396 2328"/>
                <a:gd name="T17" fmla="*/ T16 w 69"/>
                <a:gd name="T18" fmla="+- 0 600 522"/>
                <a:gd name="T1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69" h="80">
                  <a:moveTo>
                    <a:pt x="68" y="78"/>
                  </a:moveTo>
                  <a:lnTo>
                    <a:pt x="58" y="78"/>
                  </a:lnTo>
                  <a:lnTo>
                    <a:pt x="58" y="68"/>
                  </a:lnTo>
                  <a:lnTo>
                    <a:pt x="68" y="68"/>
                  </a:lnTo>
                  <a:lnTo>
                    <a:pt x="68" y="7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A26A897E-00BC-5CDD-0F97-E121E067E1B6}"/>
              </a:ext>
            </a:extLst>
          </xdr:cNvPr>
          <xdr:cNvGrpSpPr>
            <a:grpSpLocks/>
          </xdr:cNvGrpSpPr>
        </xdr:nvGrpSpPr>
        <xdr:grpSpPr bwMode="auto">
          <a:xfrm>
            <a:off x="2411" y="520"/>
            <a:ext cx="79" cy="111"/>
            <a:chOff x="2411" y="520"/>
            <a:chExt cx="79" cy="111"/>
          </a:xfrm>
        </xdr:grpSpPr>
        <xdr:sp macro="" textlink="">
          <xdr:nvSpPr>
            <xdr:cNvPr id="43" name="Freeform 4851">
              <a:extLst>
                <a:ext uri="{FF2B5EF4-FFF2-40B4-BE49-F238E27FC236}">
                  <a16:creationId xmlns:a16="http://schemas.microsoft.com/office/drawing/2014/main" id="{2788FC6C-A23F-6E7B-3A43-E9E5E09BDB7F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36 2411"/>
                <a:gd name="T1" fmla="*/ T0 w 79"/>
                <a:gd name="T2" fmla="+- 0 600 520"/>
                <a:gd name="T3" fmla="*/ 600 h 111"/>
                <a:gd name="T4" fmla="+- 0 2423 2411"/>
                <a:gd name="T5" fmla="*/ T4 w 79"/>
                <a:gd name="T6" fmla="+- 0 590 520"/>
                <a:gd name="T7" fmla="*/ 590 h 111"/>
                <a:gd name="T8" fmla="+- 0 2414 2411"/>
                <a:gd name="T9" fmla="*/ T8 w 79"/>
                <a:gd name="T10" fmla="+- 0 571 520"/>
                <a:gd name="T11" fmla="*/ 571 h 111"/>
                <a:gd name="T12" fmla="+- 0 2414 2411"/>
                <a:gd name="T13" fmla="*/ T12 w 79"/>
                <a:gd name="T14" fmla="+- 0 541 520"/>
                <a:gd name="T15" fmla="*/ 541 h 111"/>
                <a:gd name="T16" fmla="+- 0 2429 2411"/>
                <a:gd name="T17" fmla="*/ T16 w 79"/>
                <a:gd name="T18" fmla="+- 0 526 520"/>
                <a:gd name="T19" fmla="*/ 526 h 111"/>
                <a:gd name="T20" fmla="+- 0 2449 2411"/>
                <a:gd name="T21" fmla="*/ T20 w 79"/>
                <a:gd name="T22" fmla="+- 0 520 520"/>
                <a:gd name="T23" fmla="*/ 520 h 111"/>
                <a:gd name="T24" fmla="+- 0 2455 2411"/>
                <a:gd name="T25" fmla="*/ T24 w 79"/>
                <a:gd name="T26" fmla="+- 0 520 520"/>
                <a:gd name="T27" fmla="*/ 520 h 111"/>
                <a:gd name="T28" fmla="+- 0 2469 2411"/>
                <a:gd name="T29" fmla="*/ T28 w 79"/>
                <a:gd name="T30" fmla="+- 0 522 520"/>
                <a:gd name="T31" fmla="*/ 522 h 111"/>
                <a:gd name="T32" fmla="+- 0 2475 2411"/>
                <a:gd name="T33" fmla="*/ T32 w 79"/>
                <a:gd name="T34" fmla="+- 0 531 520"/>
                <a:gd name="T35" fmla="*/ 531 h 111"/>
                <a:gd name="T36" fmla="+- 0 2443 2411"/>
                <a:gd name="T37" fmla="*/ T36 w 79"/>
                <a:gd name="T38" fmla="+- 0 531 520"/>
                <a:gd name="T39" fmla="*/ 531 h 111"/>
                <a:gd name="T40" fmla="+- 0 2426 2411"/>
                <a:gd name="T41" fmla="*/ T40 w 79"/>
                <a:gd name="T42" fmla="+- 0 542 520"/>
                <a:gd name="T43" fmla="*/ 542 h 111"/>
                <a:gd name="T44" fmla="+- 0 2420 2411"/>
                <a:gd name="T45" fmla="*/ T44 w 79"/>
                <a:gd name="T46" fmla="+- 0 565 520"/>
                <a:gd name="T47" fmla="*/ 565 h 111"/>
                <a:gd name="T48" fmla="+- 0 2429 2411"/>
                <a:gd name="T49" fmla="*/ T48 w 79"/>
                <a:gd name="T50" fmla="+- 0 584 520"/>
                <a:gd name="T51" fmla="*/ 584 h 111"/>
                <a:gd name="T52" fmla="+- 0 2449 2411"/>
                <a:gd name="T53" fmla="*/ T52 w 79"/>
                <a:gd name="T54" fmla="+- 0 592 520"/>
                <a:gd name="T55" fmla="*/ 592 h 111"/>
                <a:gd name="T56" fmla="+- 0 2474 2411"/>
                <a:gd name="T57" fmla="*/ T56 w 79"/>
                <a:gd name="T58" fmla="+- 0 592 520"/>
                <a:gd name="T59" fmla="*/ 592 h 111"/>
                <a:gd name="T60" fmla="+- 0 2461 2411"/>
                <a:gd name="T61" fmla="*/ T60 w 79"/>
                <a:gd name="T62" fmla="+- 0 599 520"/>
                <a:gd name="T63" fmla="*/ 599 h 111"/>
                <a:gd name="T64" fmla="+- 0 2436 2411"/>
                <a:gd name="T65" fmla="*/ T64 w 79"/>
                <a:gd name="T66" fmla="+- 0 600 520"/>
                <a:gd name="T67" fmla="*/ 600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9" h="111">
                  <a:moveTo>
                    <a:pt x="25" y="80"/>
                  </a:moveTo>
                  <a:lnTo>
                    <a:pt x="12" y="70"/>
                  </a:lnTo>
                  <a:lnTo>
                    <a:pt x="3" y="51"/>
                  </a:lnTo>
                  <a:lnTo>
                    <a:pt x="3" y="21"/>
                  </a:lnTo>
                  <a:lnTo>
                    <a:pt x="18" y="6"/>
                  </a:lnTo>
                  <a:lnTo>
                    <a:pt x="38" y="0"/>
                  </a:lnTo>
                  <a:lnTo>
                    <a:pt x="44" y="0"/>
                  </a:lnTo>
                  <a:lnTo>
                    <a:pt x="58" y="2"/>
                  </a:lnTo>
                  <a:lnTo>
                    <a:pt x="64" y="11"/>
                  </a:lnTo>
                  <a:lnTo>
                    <a:pt x="32" y="11"/>
                  </a:lnTo>
                  <a:lnTo>
                    <a:pt x="15" y="22"/>
                  </a:lnTo>
                  <a:lnTo>
                    <a:pt x="9" y="45"/>
                  </a:lnTo>
                  <a:lnTo>
                    <a:pt x="18" y="64"/>
                  </a:lnTo>
                  <a:lnTo>
                    <a:pt x="38" y="72"/>
                  </a:lnTo>
                  <a:lnTo>
                    <a:pt x="63" y="72"/>
                  </a:lnTo>
                  <a:lnTo>
                    <a:pt x="50" y="79"/>
                  </a:lnTo>
                  <a:lnTo>
                    <a:pt x="25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4" name="Freeform 4850">
              <a:extLst>
                <a:ext uri="{FF2B5EF4-FFF2-40B4-BE49-F238E27FC236}">
                  <a16:creationId xmlns:a16="http://schemas.microsoft.com/office/drawing/2014/main" id="{5B0F92C3-CB19-9001-3DE4-CEF31CAEF7F3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89 2411"/>
                <a:gd name="T1" fmla="*/ T0 w 79"/>
                <a:gd name="T2" fmla="+- 0 535 520"/>
                <a:gd name="T3" fmla="*/ 535 h 111"/>
                <a:gd name="T4" fmla="+- 0 2478 2411"/>
                <a:gd name="T5" fmla="*/ T4 w 79"/>
                <a:gd name="T6" fmla="+- 0 535 520"/>
                <a:gd name="T7" fmla="*/ 535 h 111"/>
                <a:gd name="T8" fmla="+- 0 2478 2411"/>
                <a:gd name="T9" fmla="*/ T8 w 79"/>
                <a:gd name="T10" fmla="+- 0 522 520"/>
                <a:gd name="T11" fmla="*/ 522 h 111"/>
                <a:gd name="T12" fmla="+- 0 2489 2411"/>
                <a:gd name="T13" fmla="*/ T12 w 79"/>
                <a:gd name="T14" fmla="+- 0 522 520"/>
                <a:gd name="T15" fmla="*/ 522 h 111"/>
                <a:gd name="T16" fmla="+- 0 2489 2411"/>
                <a:gd name="T17" fmla="*/ T16 w 79"/>
                <a:gd name="T18" fmla="+- 0 535 520"/>
                <a:gd name="T19" fmla="*/ 535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9" h="111">
                  <a:moveTo>
                    <a:pt x="78" y="15"/>
                  </a:moveTo>
                  <a:lnTo>
                    <a:pt x="67" y="15"/>
                  </a:lnTo>
                  <a:lnTo>
                    <a:pt x="67" y="2"/>
                  </a:lnTo>
                  <a:lnTo>
                    <a:pt x="78" y="2"/>
                  </a:lnTo>
                  <a:lnTo>
                    <a:pt x="78" y="1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5" name="Freeform 4849">
              <a:extLst>
                <a:ext uri="{FF2B5EF4-FFF2-40B4-BE49-F238E27FC236}">
                  <a16:creationId xmlns:a16="http://schemas.microsoft.com/office/drawing/2014/main" id="{DF57FA8E-898D-3693-1331-249B6C326844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74 2411"/>
                <a:gd name="T1" fmla="*/ T0 w 79"/>
                <a:gd name="T2" fmla="+- 0 592 520"/>
                <a:gd name="T3" fmla="*/ 592 h 111"/>
                <a:gd name="T4" fmla="+- 0 2449 2411"/>
                <a:gd name="T5" fmla="*/ T4 w 79"/>
                <a:gd name="T6" fmla="+- 0 592 520"/>
                <a:gd name="T7" fmla="*/ 592 h 111"/>
                <a:gd name="T8" fmla="+- 0 2460 2411"/>
                <a:gd name="T9" fmla="*/ T8 w 79"/>
                <a:gd name="T10" fmla="+- 0 590 520"/>
                <a:gd name="T11" fmla="*/ 590 h 111"/>
                <a:gd name="T12" fmla="+- 0 2474 2411"/>
                <a:gd name="T13" fmla="*/ T12 w 79"/>
                <a:gd name="T14" fmla="+- 0 576 520"/>
                <a:gd name="T15" fmla="*/ 576 h 111"/>
                <a:gd name="T16" fmla="+- 0 2478 2411"/>
                <a:gd name="T17" fmla="*/ T16 w 79"/>
                <a:gd name="T18" fmla="+- 0 553 520"/>
                <a:gd name="T19" fmla="*/ 553 h 111"/>
                <a:gd name="T20" fmla="+- 0 2466 2411"/>
                <a:gd name="T21" fmla="*/ T20 w 79"/>
                <a:gd name="T22" fmla="+- 0 537 520"/>
                <a:gd name="T23" fmla="*/ 537 h 111"/>
                <a:gd name="T24" fmla="+- 0 2443 2411"/>
                <a:gd name="T25" fmla="*/ T24 w 79"/>
                <a:gd name="T26" fmla="+- 0 531 520"/>
                <a:gd name="T27" fmla="*/ 531 h 111"/>
                <a:gd name="T28" fmla="+- 0 2475 2411"/>
                <a:gd name="T29" fmla="*/ T28 w 79"/>
                <a:gd name="T30" fmla="+- 0 531 520"/>
                <a:gd name="T31" fmla="*/ 531 h 111"/>
                <a:gd name="T32" fmla="+- 0 2478 2411"/>
                <a:gd name="T33" fmla="*/ T32 w 79"/>
                <a:gd name="T34" fmla="+- 0 535 520"/>
                <a:gd name="T35" fmla="*/ 535 h 111"/>
                <a:gd name="T36" fmla="+- 0 2489 2411"/>
                <a:gd name="T37" fmla="*/ T36 w 79"/>
                <a:gd name="T38" fmla="+- 0 535 520"/>
                <a:gd name="T39" fmla="*/ 535 h 111"/>
                <a:gd name="T40" fmla="+- 0 2489 2411"/>
                <a:gd name="T41" fmla="*/ T40 w 79"/>
                <a:gd name="T42" fmla="+- 0 591 520"/>
                <a:gd name="T43" fmla="*/ 591 h 111"/>
                <a:gd name="T44" fmla="+- 0 2476 2411"/>
                <a:gd name="T45" fmla="*/ T44 w 79"/>
                <a:gd name="T46" fmla="+- 0 591 520"/>
                <a:gd name="T47" fmla="*/ 591 h 111"/>
                <a:gd name="T48" fmla="+- 0 2474 2411"/>
                <a:gd name="T49" fmla="*/ T48 w 79"/>
                <a:gd name="T50" fmla="+- 0 592 520"/>
                <a:gd name="T51" fmla="*/ 592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79" h="111">
                  <a:moveTo>
                    <a:pt x="63" y="72"/>
                  </a:moveTo>
                  <a:lnTo>
                    <a:pt x="38" y="72"/>
                  </a:lnTo>
                  <a:lnTo>
                    <a:pt x="49" y="70"/>
                  </a:lnTo>
                  <a:lnTo>
                    <a:pt x="63" y="56"/>
                  </a:lnTo>
                  <a:lnTo>
                    <a:pt x="67" y="33"/>
                  </a:lnTo>
                  <a:lnTo>
                    <a:pt x="55" y="17"/>
                  </a:lnTo>
                  <a:lnTo>
                    <a:pt x="32" y="11"/>
                  </a:lnTo>
                  <a:lnTo>
                    <a:pt x="64" y="11"/>
                  </a:lnTo>
                  <a:lnTo>
                    <a:pt x="67" y="15"/>
                  </a:lnTo>
                  <a:lnTo>
                    <a:pt x="78" y="15"/>
                  </a:lnTo>
                  <a:lnTo>
                    <a:pt x="78" y="71"/>
                  </a:lnTo>
                  <a:lnTo>
                    <a:pt x="65" y="71"/>
                  </a:lnTo>
                  <a:lnTo>
                    <a:pt x="63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6" name="Freeform 4848">
              <a:extLst>
                <a:ext uri="{FF2B5EF4-FFF2-40B4-BE49-F238E27FC236}">
                  <a16:creationId xmlns:a16="http://schemas.microsoft.com/office/drawing/2014/main" id="{32384CE3-6DFF-D1D0-9485-8C9904BA17FF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79 2411"/>
                <a:gd name="T1" fmla="*/ T0 w 79"/>
                <a:gd name="T2" fmla="+- 0 621 520"/>
                <a:gd name="T3" fmla="*/ 621 h 111"/>
                <a:gd name="T4" fmla="+- 0 2464 2411"/>
                <a:gd name="T5" fmla="*/ T4 w 79"/>
                <a:gd name="T6" fmla="+- 0 621 520"/>
                <a:gd name="T7" fmla="*/ 621 h 111"/>
                <a:gd name="T8" fmla="+- 0 2478 2411"/>
                <a:gd name="T9" fmla="*/ T8 w 79"/>
                <a:gd name="T10" fmla="+- 0 613 520"/>
                <a:gd name="T11" fmla="*/ 613 h 111"/>
                <a:gd name="T12" fmla="+- 0 2478 2411"/>
                <a:gd name="T13" fmla="*/ T12 w 79"/>
                <a:gd name="T14" fmla="+- 0 592 520"/>
                <a:gd name="T15" fmla="*/ 592 h 111"/>
                <a:gd name="T16" fmla="+- 0 2476 2411"/>
                <a:gd name="T17" fmla="*/ T16 w 79"/>
                <a:gd name="T18" fmla="+- 0 591 520"/>
                <a:gd name="T19" fmla="*/ 591 h 111"/>
                <a:gd name="T20" fmla="+- 0 2489 2411"/>
                <a:gd name="T21" fmla="*/ T20 w 79"/>
                <a:gd name="T22" fmla="+- 0 591 520"/>
                <a:gd name="T23" fmla="*/ 591 h 111"/>
                <a:gd name="T24" fmla="+- 0 2489 2411"/>
                <a:gd name="T25" fmla="*/ T24 w 79"/>
                <a:gd name="T26" fmla="+- 0 607 520"/>
                <a:gd name="T27" fmla="*/ 607 h 111"/>
                <a:gd name="T28" fmla="+- 0 2482 2411"/>
                <a:gd name="T29" fmla="*/ T28 w 79"/>
                <a:gd name="T30" fmla="+- 0 616 520"/>
                <a:gd name="T31" fmla="*/ 616 h 111"/>
                <a:gd name="T32" fmla="+- 0 2479 2411"/>
                <a:gd name="T33" fmla="*/ T32 w 79"/>
                <a:gd name="T34" fmla="+- 0 621 520"/>
                <a:gd name="T35" fmla="*/ 621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79" h="111">
                  <a:moveTo>
                    <a:pt x="68" y="101"/>
                  </a:moveTo>
                  <a:lnTo>
                    <a:pt x="53" y="101"/>
                  </a:lnTo>
                  <a:lnTo>
                    <a:pt x="67" y="93"/>
                  </a:lnTo>
                  <a:lnTo>
                    <a:pt x="67" y="72"/>
                  </a:lnTo>
                  <a:lnTo>
                    <a:pt x="65" y="71"/>
                  </a:lnTo>
                  <a:lnTo>
                    <a:pt x="78" y="71"/>
                  </a:lnTo>
                  <a:lnTo>
                    <a:pt x="78" y="87"/>
                  </a:lnTo>
                  <a:lnTo>
                    <a:pt x="71" y="96"/>
                  </a:lnTo>
                  <a:lnTo>
                    <a:pt x="68" y="10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7" name="Freeform 4847">
              <a:extLst>
                <a:ext uri="{FF2B5EF4-FFF2-40B4-BE49-F238E27FC236}">
                  <a16:creationId xmlns:a16="http://schemas.microsoft.com/office/drawing/2014/main" id="{7EFC6737-BB6F-808B-7DDF-826E7DCB1B5A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53 2411"/>
                <a:gd name="T1" fmla="*/ T0 w 79"/>
                <a:gd name="T2" fmla="+- 0 631 520"/>
                <a:gd name="T3" fmla="*/ 631 h 111"/>
                <a:gd name="T4" fmla="+- 0 2446 2411"/>
                <a:gd name="T5" fmla="*/ T4 w 79"/>
                <a:gd name="T6" fmla="+- 0 630 520"/>
                <a:gd name="T7" fmla="*/ 630 h 111"/>
                <a:gd name="T8" fmla="+- 0 2427 2411"/>
                <a:gd name="T9" fmla="*/ T8 w 79"/>
                <a:gd name="T10" fmla="+- 0 624 520"/>
                <a:gd name="T11" fmla="*/ 624 h 111"/>
                <a:gd name="T12" fmla="+- 0 2411 2411"/>
                <a:gd name="T13" fmla="*/ T12 w 79"/>
                <a:gd name="T14" fmla="+- 0 602 520"/>
                <a:gd name="T15" fmla="*/ 602 h 111"/>
                <a:gd name="T16" fmla="+- 0 2411 2411"/>
                <a:gd name="T17" fmla="*/ T16 w 79"/>
                <a:gd name="T18" fmla="+- 0 601 520"/>
                <a:gd name="T19" fmla="*/ 601 h 111"/>
                <a:gd name="T20" fmla="+- 0 2423 2411"/>
                <a:gd name="T21" fmla="*/ T20 w 79"/>
                <a:gd name="T22" fmla="+- 0 601 520"/>
                <a:gd name="T23" fmla="*/ 601 h 111"/>
                <a:gd name="T24" fmla="+- 0 2423 2411"/>
                <a:gd name="T25" fmla="*/ T24 w 79"/>
                <a:gd name="T26" fmla="+- 0 602 520"/>
                <a:gd name="T27" fmla="*/ 602 h 111"/>
                <a:gd name="T28" fmla="+- 0 2425 2411"/>
                <a:gd name="T29" fmla="*/ T28 w 79"/>
                <a:gd name="T30" fmla="+- 0 607 520"/>
                <a:gd name="T31" fmla="*/ 607 h 111"/>
                <a:gd name="T32" fmla="+- 0 2433 2411"/>
                <a:gd name="T33" fmla="*/ T32 w 79"/>
                <a:gd name="T34" fmla="+- 0 621 520"/>
                <a:gd name="T35" fmla="*/ 621 h 111"/>
                <a:gd name="T36" fmla="+- 0 2479 2411"/>
                <a:gd name="T37" fmla="*/ T36 w 79"/>
                <a:gd name="T38" fmla="+- 0 621 520"/>
                <a:gd name="T39" fmla="*/ 621 h 111"/>
                <a:gd name="T40" fmla="+- 0 2472 2411"/>
                <a:gd name="T41" fmla="*/ T40 w 79"/>
                <a:gd name="T42" fmla="+- 0 630 520"/>
                <a:gd name="T43" fmla="*/ 630 h 111"/>
                <a:gd name="T44" fmla="+- 0 2453 2411"/>
                <a:gd name="T45" fmla="*/ T44 w 79"/>
                <a:gd name="T46" fmla="+- 0 631 520"/>
                <a:gd name="T47" fmla="*/ 631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79" h="111">
                  <a:moveTo>
                    <a:pt x="42" y="111"/>
                  </a:moveTo>
                  <a:lnTo>
                    <a:pt x="35" y="110"/>
                  </a:lnTo>
                  <a:lnTo>
                    <a:pt x="16" y="104"/>
                  </a:lnTo>
                  <a:lnTo>
                    <a:pt x="0" y="82"/>
                  </a:lnTo>
                  <a:lnTo>
                    <a:pt x="0" y="81"/>
                  </a:lnTo>
                  <a:lnTo>
                    <a:pt x="12" y="81"/>
                  </a:lnTo>
                  <a:lnTo>
                    <a:pt x="12" y="82"/>
                  </a:lnTo>
                  <a:lnTo>
                    <a:pt x="14" y="87"/>
                  </a:lnTo>
                  <a:lnTo>
                    <a:pt x="22" y="101"/>
                  </a:lnTo>
                  <a:lnTo>
                    <a:pt x="68" y="101"/>
                  </a:lnTo>
                  <a:lnTo>
                    <a:pt x="61" y="110"/>
                  </a:lnTo>
                  <a:lnTo>
                    <a:pt x="42" y="11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84B546ED-E77A-95CE-26FC-4EF6BB80828A}"/>
              </a:ext>
            </a:extLst>
          </xdr:cNvPr>
          <xdr:cNvGrpSpPr>
            <a:grpSpLocks/>
          </xdr:cNvGrpSpPr>
        </xdr:nvGrpSpPr>
        <xdr:grpSpPr bwMode="auto">
          <a:xfrm>
            <a:off x="2506" y="520"/>
            <a:ext cx="115" cy="81"/>
            <a:chOff x="2506" y="520"/>
            <a:chExt cx="115" cy="81"/>
          </a:xfrm>
        </xdr:grpSpPr>
        <xdr:sp macro="" textlink="">
          <xdr:nvSpPr>
            <xdr:cNvPr id="38" name="Freeform 4845">
              <a:extLst>
                <a:ext uri="{FF2B5EF4-FFF2-40B4-BE49-F238E27FC236}">
                  <a16:creationId xmlns:a16="http://schemas.microsoft.com/office/drawing/2014/main" id="{2E6A5E28-D4EF-FF5A-250E-691C2F9686E9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61 2506"/>
                <a:gd name="T1" fmla="*/ T0 w 115"/>
                <a:gd name="T2" fmla="+- 0 530 520"/>
                <a:gd name="T3" fmla="*/ 530 h 81"/>
                <a:gd name="T4" fmla="+- 0 2517 2506"/>
                <a:gd name="T5" fmla="*/ T4 w 115"/>
                <a:gd name="T6" fmla="+- 0 530 520"/>
                <a:gd name="T7" fmla="*/ 530 h 81"/>
                <a:gd name="T8" fmla="+- 0 2522 2506"/>
                <a:gd name="T9" fmla="*/ T8 w 115"/>
                <a:gd name="T10" fmla="+- 0 523 520"/>
                <a:gd name="T11" fmla="*/ 523 h 81"/>
                <a:gd name="T12" fmla="+- 0 2530 2506"/>
                <a:gd name="T13" fmla="*/ T12 w 115"/>
                <a:gd name="T14" fmla="+- 0 520 520"/>
                <a:gd name="T15" fmla="*/ 520 h 81"/>
                <a:gd name="T16" fmla="+- 0 2544 2506"/>
                <a:gd name="T17" fmla="*/ T16 w 115"/>
                <a:gd name="T18" fmla="+- 0 520 520"/>
                <a:gd name="T19" fmla="*/ 520 h 81"/>
                <a:gd name="T20" fmla="+- 0 2557 2506"/>
                <a:gd name="T21" fmla="*/ T20 w 115"/>
                <a:gd name="T22" fmla="+- 0 523 520"/>
                <a:gd name="T23" fmla="*/ 523 h 81"/>
                <a:gd name="T24" fmla="+- 0 2561 2506"/>
                <a:gd name="T25" fmla="*/ T24 w 115"/>
                <a:gd name="T26" fmla="+- 0 530 520"/>
                <a:gd name="T27" fmla="*/ 53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15" h="81">
                  <a:moveTo>
                    <a:pt x="55" y="10"/>
                  </a:moveTo>
                  <a:lnTo>
                    <a:pt x="11" y="10"/>
                  </a:lnTo>
                  <a:lnTo>
                    <a:pt x="16" y="3"/>
                  </a:lnTo>
                  <a:lnTo>
                    <a:pt x="24" y="0"/>
                  </a:lnTo>
                  <a:lnTo>
                    <a:pt x="38" y="0"/>
                  </a:lnTo>
                  <a:lnTo>
                    <a:pt x="51" y="3"/>
                  </a:lnTo>
                  <a:lnTo>
                    <a:pt x="55" y="1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9" name="Freeform 4844">
              <a:extLst>
                <a:ext uri="{FF2B5EF4-FFF2-40B4-BE49-F238E27FC236}">
                  <a16:creationId xmlns:a16="http://schemas.microsoft.com/office/drawing/2014/main" id="{4DE29068-9A8E-EE18-AB44-CC2E3D696985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75 2506"/>
                <a:gd name="T1" fmla="*/ T0 w 115"/>
                <a:gd name="T2" fmla="+- 0 534 520"/>
                <a:gd name="T3" fmla="*/ 534 h 81"/>
                <a:gd name="T4" fmla="+- 0 2563 2506"/>
                <a:gd name="T5" fmla="*/ T4 w 115"/>
                <a:gd name="T6" fmla="+- 0 534 520"/>
                <a:gd name="T7" fmla="*/ 534 h 81"/>
                <a:gd name="T8" fmla="+- 0 2569 2506"/>
                <a:gd name="T9" fmla="*/ T8 w 115"/>
                <a:gd name="T10" fmla="+- 0 523 520"/>
                <a:gd name="T11" fmla="*/ 523 h 81"/>
                <a:gd name="T12" fmla="+- 0 2582 2506"/>
                <a:gd name="T13" fmla="*/ T12 w 115"/>
                <a:gd name="T14" fmla="+- 0 520 520"/>
                <a:gd name="T15" fmla="*/ 520 h 81"/>
                <a:gd name="T16" fmla="+- 0 2589 2506"/>
                <a:gd name="T17" fmla="*/ T16 w 115"/>
                <a:gd name="T18" fmla="+- 0 520 520"/>
                <a:gd name="T19" fmla="*/ 520 h 81"/>
                <a:gd name="T20" fmla="+- 0 2594 2506"/>
                <a:gd name="T21" fmla="*/ T20 w 115"/>
                <a:gd name="T22" fmla="+- 0 521 520"/>
                <a:gd name="T23" fmla="*/ 521 h 81"/>
                <a:gd name="T24" fmla="+- 0 2612 2506"/>
                <a:gd name="T25" fmla="*/ T24 w 115"/>
                <a:gd name="T26" fmla="+- 0 529 520"/>
                <a:gd name="T27" fmla="*/ 529 h 81"/>
                <a:gd name="T28" fmla="+- 0 2612 2506"/>
                <a:gd name="T29" fmla="*/ T28 w 115"/>
                <a:gd name="T30" fmla="+- 0 530 520"/>
                <a:gd name="T31" fmla="*/ 530 h 81"/>
                <a:gd name="T32" fmla="+- 0 2582 2506"/>
                <a:gd name="T33" fmla="*/ T32 w 115"/>
                <a:gd name="T34" fmla="+- 0 530 520"/>
                <a:gd name="T35" fmla="*/ 530 h 81"/>
                <a:gd name="T36" fmla="+- 0 2576 2506"/>
                <a:gd name="T37" fmla="*/ T36 w 115"/>
                <a:gd name="T38" fmla="+- 0 534 520"/>
                <a:gd name="T39" fmla="*/ 534 h 81"/>
                <a:gd name="T40" fmla="+- 0 2575 2506"/>
                <a:gd name="T41" fmla="*/ T40 w 115"/>
                <a:gd name="T42" fmla="+- 0 534 520"/>
                <a:gd name="T43" fmla="*/ 534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15" h="81">
                  <a:moveTo>
                    <a:pt x="69" y="14"/>
                  </a:moveTo>
                  <a:lnTo>
                    <a:pt x="57" y="14"/>
                  </a:lnTo>
                  <a:lnTo>
                    <a:pt x="63" y="3"/>
                  </a:lnTo>
                  <a:lnTo>
                    <a:pt x="76" y="0"/>
                  </a:lnTo>
                  <a:lnTo>
                    <a:pt x="83" y="0"/>
                  </a:lnTo>
                  <a:lnTo>
                    <a:pt x="88" y="1"/>
                  </a:lnTo>
                  <a:lnTo>
                    <a:pt x="106" y="9"/>
                  </a:lnTo>
                  <a:lnTo>
                    <a:pt x="106" y="10"/>
                  </a:lnTo>
                  <a:lnTo>
                    <a:pt x="76" y="10"/>
                  </a:lnTo>
                  <a:lnTo>
                    <a:pt x="70" y="14"/>
                  </a:lnTo>
                  <a:lnTo>
                    <a:pt x="69" y="14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0" name="Freeform 4843">
              <a:extLst>
                <a:ext uri="{FF2B5EF4-FFF2-40B4-BE49-F238E27FC236}">
                  <a16:creationId xmlns:a16="http://schemas.microsoft.com/office/drawing/2014/main" id="{CAE0AED4-E682-2DDD-7CED-F0F7F5AC0DCE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17 2506"/>
                <a:gd name="T1" fmla="*/ T0 w 115"/>
                <a:gd name="T2" fmla="+- 0 601 520"/>
                <a:gd name="T3" fmla="*/ 601 h 81"/>
                <a:gd name="T4" fmla="+- 0 2506 2506"/>
                <a:gd name="T5" fmla="*/ T4 w 115"/>
                <a:gd name="T6" fmla="+- 0 601 520"/>
                <a:gd name="T7" fmla="*/ 601 h 81"/>
                <a:gd name="T8" fmla="+- 0 2506 2506"/>
                <a:gd name="T9" fmla="*/ T8 w 115"/>
                <a:gd name="T10" fmla="+- 0 522 520"/>
                <a:gd name="T11" fmla="*/ 522 h 81"/>
                <a:gd name="T12" fmla="+- 0 2517 2506"/>
                <a:gd name="T13" fmla="*/ T12 w 115"/>
                <a:gd name="T14" fmla="+- 0 522 520"/>
                <a:gd name="T15" fmla="*/ 522 h 81"/>
                <a:gd name="T16" fmla="+- 0 2517 2506"/>
                <a:gd name="T17" fmla="*/ T16 w 115"/>
                <a:gd name="T18" fmla="+- 0 530 520"/>
                <a:gd name="T19" fmla="*/ 530 h 81"/>
                <a:gd name="T20" fmla="+- 0 2561 2506"/>
                <a:gd name="T21" fmla="*/ T20 w 115"/>
                <a:gd name="T22" fmla="+- 0 530 520"/>
                <a:gd name="T23" fmla="*/ 530 h 81"/>
                <a:gd name="T24" fmla="+- 0 2561 2506"/>
                <a:gd name="T25" fmla="*/ T24 w 115"/>
                <a:gd name="T26" fmla="+- 0 530 520"/>
                <a:gd name="T27" fmla="*/ 530 h 81"/>
                <a:gd name="T28" fmla="+- 0 2530 2506"/>
                <a:gd name="T29" fmla="*/ T28 w 115"/>
                <a:gd name="T30" fmla="+- 0 530 520"/>
                <a:gd name="T31" fmla="*/ 530 h 81"/>
                <a:gd name="T32" fmla="+- 0 2524 2506"/>
                <a:gd name="T33" fmla="*/ T32 w 115"/>
                <a:gd name="T34" fmla="+- 0 534 520"/>
                <a:gd name="T35" fmla="*/ 534 h 81"/>
                <a:gd name="T36" fmla="+- 0 2520 2506"/>
                <a:gd name="T37" fmla="*/ T36 w 115"/>
                <a:gd name="T38" fmla="+- 0 540 520"/>
                <a:gd name="T39" fmla="*/ 540 h 81"/>
                <a:gd name="T40" fmla="+- 0 2518 2506"/>
                <a:gd name="T41" fmla="*/ T40 w 115"/>
                <a:gd name="T42" fmla="+- 0 543 520"/>
                <a:gd name="T43" fmla="*/ 543 h 81"/>
                <a:gd name="T44" fmla="+- 0 2517 2506"/>
                <a:gd name="T45" fmla="*/ T44 w 115"/>
                <a:gd name="T46" fmla="+- 0 547 520"/>
                <a:gd name="T47" fmla="*/ 547 h 81"/>
                <a:gd name="T48" fmla="+- 0 2517 2506"/>
                <a:gd name="T49" fmla="*/ T48 w 115"/>
                <a:gd name="T50" fmla="+- 0 601 520"/>
                <a:gd name="T51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115" h="81">
                  <a:moveTo>
                    <a:pt x="11" y="81"/>
                  </a:moveTo>
                  <a:lnTo>
                    <a:pt x="0" y="81"/>
                  </a:lnTo>
                  <a:lnTo>
                    <a:pt x="0" y="2"/>
                  </a:lnTo>
                  <a:lnTo>
                    <a:pt x="11" y="2"/>
                  </a:lnTo>
                  <a:lnTo>
                    <a:pt x="11" y="10"/>
                  </a:lnTo>
                  <a:lnTo>
                    <a:pt x="55" y="10"/>
                  </a:lnTo>
                  <a:lnTo>
                    <a:pt x="24" y="10"/>
                  </a:lnTo>
                  <a:lnTo>
                    <a:pt x="18" y="14"/>
                  </a:lnTo>
                  <a:lnTo>
                    <a:pt x="14" y="20"/>
                  </a:lnTo>
                  <a:lnTo>
                    <a:pt x="12" y="23"/>
                  </a:lnTo>
                  <a:lnTo>
                    <a:pt x="11" y="27"/>
                  </a:lnTo>
                  <a:lnTo>
                    <a:pt x="11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1" name="Freeform 4842">
              <a:extLst>
                <a:ext uri="{FF2B5EF4-FFF2-40B4-BE49-F238E27FC236}">
                  <a16:creationId xmlns:a16="http://schemas.microsoft.com/office/drawing/2014/main" id="{3DFC9E5E-ED03-0764-DDA8-13313EE5FA56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69 2506"/>
                <a:gd name="T1" fmla="*/ T0 w 115"/>
                <a:gd name="T2" fmla="+- 0 601 520"/>
                <a:gd name="T3" fmla="*/ 601 h 81"/>
                <a:gd name="T4" fmla="+- 0 2558 2506"/>
                <a:gd name="T5" fmla="*/ T4 w 115"/>
                <a:gd name="T6" fmla="+- 0 601 520"/>
                <a:gd name="T7" fmla="*/ 601 h 81"/>
                <a:gd name="T8" fmla="+- 0 2558 2506"/>
                <a:gd name="T9" fmla="*/ T8 w 115"/>
                <a:gd name="T10" fmla="+- 0 547 520"/>
                <a:gd name="T11" fmla="*/ 547 h 81"/>
                <a:gd name="T12" fmla="+- 0 2556 2506"/>
                <a:gd name="T13" fmla="*/ T12 w 115"/>
                <a:gd name="T14" fmla="+- 0 543 520"/>
                <a:gd name="T15" fmla="*/ 543 h 81"/>
                <a:gd name="T16" fmla="+- 0 2554 2506"/>
                <a:gd name="T17" fmla="*/ T16 w 115"/>
                <a:gd name="T18" fmla="+- 0 540 520"/>
                <a:gd name="T19" fmla="*/ 540 h 81"/>
                <a:gd name="T20" fmla="+- 0 2551 2506"/>
                <a:gd name="T21" fmla="*/ T20 w 115"/>
                <a:gd name="T22" fmla="+- 0 534 520"/>
                <a:gd name="T23" fmla="*/ 534 h 81"/>
                <a:gd name="T24" fmla="+- 0 2545 2506"/>
                <a:gd name="T25" fmla="*/ T24 w 115"/>
                <a:gd name="T26" fmla="+- 0 530 520"/>
                <a:gd name="T27" fmla="*/ 530 h 81"/>
                <a:gd name="T28" fmla="+- 0 2561 2506"/>
                <a:gd name="T29" fmla="*/ T28 w 115"/>
                <a:gd name="T30" fmla="+- 0 530 520"/>
                <a:gd name="T31" fmla="*/ 530 h 81"/>
                <a:gd name="T32" fmla="+- 0 2563 2506"/>
                <a:gd name="T33" fmla="*/ T32 w 115"/>
                <a:gd name="T34" fmla="+- 0 534 520"/>
                <a:gd name="T35" fmla="*/ 534 h 81"/>
                <a:gd name="T36" fmla="+- 0 2575 2506"/>
                <a:gd name="T37" fmla="*/ T36 w 115"/>
                <a:gd name="T38" fmla="+- 0 534 520"/>
                <a:gd name="T39" fmla="*/ 534 h 81"/>
                <a:gd name="T40" fmla="+- 0 2572 2506"/>
                <a:gd name="T41" fmla="*/ T40 w 115"/>
                <a:gd name="T42" fmla="+- 0 540 520"/>
                <a:gd name="T43" fmla="*/ 540 h 81"/>
                <a:gd name="T44" fmla="+- 0 2570 2506"/>
                <a:gd name="T45" fmla="*/ T44 w 115"/>
                <a:gd name="T46" fmla="+- 0 543 520"/>
                <a:gd name="T47" fmla="*/ 543 h 81"/>
                <a:gd name="T48" fmla="+- 0 2569 2506"/>
                <a:gd name="T49" fmla="*/ T48 w 115"/>
                <a:gd name="T50" fmla="+- 0 547 520"/>
                <a:gd name="T51" fmla="*/ 547 h 81"/>
                <a:gd name="T52" fmla="+- 0 2569 2506"/>
                <a:gd name="T53" fmla="*/ T52 w 115"/>
                <a:gd name="T54" fmla="+- 0 601 520"/>
                <a:gd name="T55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115" h="81">
                  <a:moveTo>
                    <a:pt x="63" y="81"/>
                  </a:moveTo>
                  <a:lnTo>
                    <a:pt x="52" y="81"/>
                  </a:lnTo>
                  <a:lnTo>
                    <a:pt x="52" y="27"/>
                  </a:lnTo>
                  <a:lnTo>
                    <a:pt x="50" y="23"/>
                  </a:lnTo>
                  <a:lnTo>
                    <a:pt x="48" y="20"/>
                  </a:lnTo>
                  <a:lnTo>
                    <a:pt x="45" y="14"/>
                  </a:lnTo>
                  <a:lnTo>
                    <a:pt x="39" y="10"/>
                  </a:lnTo>
                  <a:lnTo>
                    <a:pt x="55" y="10"/>
                  </a:lnTo>
                  <a:lnTo>
                    <a:pt x="57" y="14"/>
                  </a:lnTo>
                  <a:lnTo>
                    <a:pt x="69" y="14"/>
                  </a:lnTo>
                  <a:lnTo>
                    <a:pt x="66" y="20"/>
                  </a:lnTo>
                  <a:lnTo>
                    <a:pt x="64" y="23"/>
                  </a:lnTo>
                  <a:lnTo>
                    <a:pt x="63" y="27"/>
                  </a:lnTo>
                  <a:lnTo>
                    <a:pt x="63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2" name="Freeform 4841">
              <a:extLst>
                <a:ext uri="{FF2B5EF4-FFF2-40B4-BE49-F238E27FC236}">
                  <a16:creationId xmlns:a16="http://schemas.microsoft.com/office/drawing/2014/main" id="{2F165042-6209-268B-6DC9-33F5CC9B3C42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620 2506"/>
                <a:gd name="T1" fmla="*/ T0 w 115"/>
                <a:gd name="T2" fmla="+- 0 601 520"/>
                <a:gd name="T3" fmla="*/ 601 h 81"/>
                <a:gd name="T4" fmla="+- 0 2609 2506"/>
                <a:gd name="T5" fmla="*/ T4 w 115"/>
                <a:gd name="T6" fmla="+- 0 601 520"/>
                <a:gd name="T7" fmla="*/ 601 h 81"/>
                <a:gd name="T8" fmla="+- 0 2609 2506"/>
                <a:gd name="T9" fmla="*/ T8 w 115"/>
                <a:gd name="T10" fmla="+- 0 547 520"/>
                <a:gd name="T11" fmla="*/ 547 h 81"/>
                <a:gd name="T12" fmla="+- 0 2608 2506"/>
                <a:gd name="T13" fmla="*/ T12 w 115"/>
                <a:gd name="T14" fmla="+- 0 543 520"/>
                <a:gd name="T15" fmla="*/ 543 h 81"/>
                <a:gd name="T16" fmla="+- 0 2606 2506"/>
                <a:gd name="T17" fmla="*/ T16 w 115"/>
                <a:gd name="T18" fmla="+- 0 540 520"/>
                <a:gd name="T19" fmla="*/ 540 h 81"/>
                <a:gd name="T20" fmla="+- 0 2603 2506"/>
                <a:gd name="T21" fmla="*/ T20 w 115"/>
                <a:gd name="T22" fmla="+- 0 534 520"/>
                <a:gd name="T23" fmla="*/ 534 h 81"/>
                <a:gd name="T24" fmla="+- 0 2596 2506"/>
                <a:gd name="T25" fmla="*/ T24 w 115"/>
                <a:gd name="T26" fmla="+- 0 530 520"/>
                <a:gd name="T27" fmla="*/ 530 h 81"/>
                <a:gd name="T28" fmla="+- 0 2612 2506"/>
                <a:gd name="T29" fmla="*/ T28 w 115"/>
                <a:gd name="T30" fmla="+- 0 530 520"/>
                <a:gd name="T31" fmla="*/ 530 h 81"/>
                <a:gd name="T32" fmla="+- 0 2620 2506"/>
                <a:gd name="T33" fmla="*/ T32 w 115"/>
                <a:gd name="T34" fmla="+- 0 554 520"/>
                <a:gd name="T35" fmla="*/ 554 h 81"/>
                <a:gd name="T36" fmla="+- 0 2620 2506"/>
                <a:gd name="T37" fmla="*/ T36 w 115"/>
                <a:gd name="T38" fmla="+- 0 601 520"/>
                <a:gd name="T39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15" h="81">
                  <a:moveTo>
                    <a:pt x="114" y="81"/>
                  </a:moveTo>
                  <a:lnTo>
                    <a:pt x="103" y="81"/>
                  </a:lnTo>
                  <a:lnTo>
                    <a:pt x="103" y="27"/>
                  </a:lnTo>
                  <a:lnTo>
                    <a:pt x="102" y="23"/>
                  </a:lnTo>
                  <a:lnTo>
                    <a:pt x="100" y="20"/>
                  </a:lnTo>
                  <a:lnTo>
                    <a:pt x="97" y="14"/>
                  </a:lnTo>
                  <a:lnTo>
                    <a:pt x="90" y="10"/>
                  </a:lnTo>
                  <a:lnTo>
                    <a:pt x="106" y="10"/>
                  </a:lnTo>
                  <a:lnTo>
                    <a:pt x="114" y="34"/>
                  </a:lnTo>
                  <a:lnTo>
                    <a:pt x="114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A83F6A15-206D-C217-0B11-8A01E4C93D72}"/>
              </a:ext>
            </a:extLst>
          </xdr:cNvPr>
          <xdr:cNvGrpSpPr>
            <a:grpSpLocks/>
          </xdr:cNvGrpSpPr>
        </xdr:nvGrpSpPr>
        <xdr:grpSpPr bwMode="auto">
          <a:xfrm>
            <a:off x="2638" y="520"/>
            <a:ext cx="78" cy="80"/>
            <a:chOff x="2638" y="520"/>
            <a:chExt cx="78" cy="80"/>
          </a:xfrm>
        </xdr:grpSpPr>
        <xdr:sp macro="" textlink="">
          <xdr:nvSpPr>
            <xdr:cNvPr id="35" name="Freeform 4839">
              <a:extLst>
                <a:ext uri="{FF2B5EF4-FFF2-40B4-BE49-F238E27FC236}">
                  <a16:creationId xmlns:a16="http://schemas.microsoft.com/office/drawing/2014/main" id="{FEE1C953-BD04-2C6B-6E0A-1F7A0D27A782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661 2638"/>
                <a:gd name="T1" fmla="*/ T0 w 78"/>
                <a:gd name="T2" fmla="+- 0 600 520"/>
                <a:gd name="T3" fmla="*/ 600 h 80"/>
                <a:gd name="T4" fmla="+- 0 2647 2638"/>
                <a:gd name="T5" fmla="*/ T4 w 78"/>
                <a:gd name="T6" fmla="+- 0 590 520"/>
                <a:gd name="T7" fmla="*/ 590 h 80"/>
                <a:gd name="T8" fmla="+- 0 2639 2638"/>
                <a:gd name="T9" fmla="*/ T8 w 78"/>
                <a:gd name="T10" fmla="+- 0 571 520"/>
                <a:gd name="T11" fmla="*/ 571 h 80"/>
                <a:gd name="T12" fmla="+- 0 2638 2638"/>
                <a:gd name="T13" fmla="*/ T12 w 78"/>
                <a:gd name="T14" fmla="+- 0 542 520"/>
                <a:gd name="T15" fmla="*/ 542 h 80"/>
                <a:gd name="T16" fmla="+- 0 2653 2638"/>
                <a:gd name="T17" fmla="*/ T16 w 78"/>
                <a:gd name="T18" fmla="+- 0 527 520"/>
                <a:gd name="T19" fmla="*/ 527 h 80"/>
                <a:gd name="T20" fmla="+- 0 2674 2638"/>
                <a:gd name="T21" fmla="*/ T20 w 78"/>
                <a:gd name="T22" fmla="+- 0 520 520"/>
                <a:gd name="T23" fmla="*/ 520 h 80"/>
                <a:gd name="T24" fmla="+- 0 2696 2638"/>
                <a:gd name="T25" fmla="*/ T24 w 78"/>
                <a:gd name="T26" fmla="+- 0 527 520"/>
                <a:gd name="T27" fmla="*/ 527 h 80"/>
                <a:gd name="T28" fmla="+- 0 2699 2638"/>
                <a:gd name="T29" fmla="*/ T28 w 78"/>
                <a:gd name="T30" fmla="+- 0 530 520"/>
                <a:gd name="T31" fmla="*/ 530 h 80"/>
                <a:gd name="T32" fmla="+- 0 2661 2638"/>
                <a:gd name="T33" fmla="*/ T32 w 78"/>
                <a:gd name="T34" fmla="+- 0 530 520"/>
                <a:gd name="T35" fmla="*/ 530 h 80"/>
                <a:gd name="T36" fmla="+- 0 2648 2638"/>
                <a:gd name="T37" fmla="*/ T36 w 78"/>
                <a:gd name="T38" fmla="+- 0 539 520"/>
                <a:gd name="T39" fmla="*/ 539 h 80"/>
                <a:gd name="T40" fmla="+- 0 2645 2638"/>
                <a:gd name="T41" fmla="*/ T40 w 78"/>
                <a:gd name="T42" fmla="+- 0 556 520"/>
                <a:gd name="T43" fmla="*/ 556 h 80"/>
                <a:gd name="T44" fmla="+- 0 2715 2638"/>
                <a:gd name="T45" fmla="*/ T44 w 78"/>
                <a:gd name="T46" fmla="+- 0 556 520"/>
                <a:gd name="T47" fmla="*/ 556 h 80"/>
                <a:gd name="T48" fmla="+- 0 2715 2638"/>
                <a:gd name="T49" fmla="*/ T48 w 78"/>
                <a:gd name="T50" fmla="+- 0 565 520"/>
                <a:gd name="T51" fmla="*/ 565 h 80"/>
                <a:gd name="T52" fmla="+- 0 2714 2638"/>
                <a:gd name="T53" fmla="*/ T52 w 78"/>
                <a:gd name="T54" fmla="+- 0 565 520"/>
                <a:gd name="T55" fmla="*/ 565 h 80"/>
                <a:gd name="T56" fmla="+- 0 2645 2638"/>
                <a:gd name="T57" fmla="*/ T56 w 78"/>
                <a:gd name="T58" fmla="+- 0 565 520"/>
                <a:gd name="T59" fmla="*/ 565 h 80"/>
                <a:gd name="T60" fmla="+- 0 2646 2638"/>
                <a:gd name="T61" fmla="*/ T60 w 78"/>
                <a:gd name="T62" fmla="+- 0 580 520"/>
                <a:gd name="T63" fmla="*/ 580 h 80"/>
                <a:gd name="T64" fmla="+- 0 2659 2638"/>
                <a:gd name="T65" fmla="*/ T64 w 78"/>
                <a:gd name="T66" fmla="+- 0 592 520"/>
                <a:gd name="T67" fmla="*/ 592 h 80"/>
                <a:gd name="T68" fmla="+- 0 2697 2638"/>
                <a:gd name="T69" fmla="*/ T68 w 78"/>
                <a:gd name="T70" fmla="+- 0 592 520"/>
                <a:gd name="T71" fmla="*/ 592 h 80"/>
                <a:gd name="T72" fmla="+- 0 2687 2638"/>
                <a:gd name="T73" fmla="*/ T72 w 78"/>
                <a:gd name="T74" fmla="+- 0 598 520"/>
                <a:gd name="T75" fmla="*/ 598 h 80"/>
                <a:gd name="T76" fmla="+- 0 2661 2638"/>
                <a:gd name="T77" fmla="*/ T76 w 78"/>
                <a:gd name="T78" fmla="+- 0 600 520"/>
                <a:gd name="T7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8" h="80">
                  <a:moveTo>
                    <a:pt x="23" y="80"/>
                  </a:moveTo>
                  <a:lnTo>
                    <a:pt x="9" y="70"/>
                  </a:lnTo>
                  <a:lnTo>
                    <a:pt x="1" y="51"/>
                  </a:lnTo>
                  <a:lnTo>
                    <a:pt x="0" y="22"/>
                  </a:lnTo>
                  <a:lnTo>
                    <a:pt x="15" y="7"/>
                  </a:lnTo>
                  <a:lnTo>
                    <a:pt x="36" y="0"/>
                  </a:lnTo>
                  <a:lnTo>
                    <a:pt x="58" y="7"/>
                  </a:lnTo>
                  <a:lnTo>
                    <a:pt x="61" y="10"/>
                  </a:lnTo>
                  <a:lnTo>
                    <a:pt x="23" y="10"/>
                  </a:lnTo>
                  <a:lnTo>
                    <a:pt x="10" y="19"/>
                  </a:lnTo>
                  <a:lnTo>
                    <a:pt x="7" y="36"/>
                  </a:lnTo>
                  <a:lnTo>
                    <a:pt x="77" y="36"/>
                  </a:lnTo>
                  <a:lnTo>
                    <a:pt x="77" y="45"/>
                  </a:lnTo>
                  <a:lnTo>
                    <a:pt x="76" y="45"/>
                  </a:lnTo>
                  <a:lnTo>
                    <a:pt x="7" y="45"/>
                  </a:lnTo>
                  <a:lnTo>
                    <a:pt x="8" y="60"/>
                  </a:lnTo>
                  <a:lnTo>
                    <a:pt x="21" y="72"/>
                  </a:lnTo>
                  <a:lnTo>
                    <a:pt x="59" y="72"/>
                  </a:lnTo>
                  <a:lnTo>
                    <a:pt x="49" y="78"/>
                  </a:lnTo>
                  <a:lnTo>
                    <a:pt x="23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6" name="Freeform 4838">
              <a:extLst>
                <a:ext uri="{FF2B5EF4-FFF2-40B4-BE49-F238E27FC236}">
                  <a16:creationId xmlns:a16="http://schemas.microsoft.com/office/drawing/2014/main" id="{85D33227-A777-AE4C-FEC9-2B808814990A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715 2638"/>
                <a:gd name="T1" fmla="*/ T0 w 78"/>
                <a:gd name="T2" fmla="+- 0 556 520"/>
                <a:gd name="T3" fmla="*/ 556 h 80"/>
                <a:gd name="T4" fmla="+- 0 2703 2638"/>
                <a:gd name="T5" fmla="*/ T4 w 78"/>
                <a:gd name="T6" fmla="+- 0 556 520"/>
                <a:gd name="T7" fmla="*/ 556 h 80"/>
                <a:gd name="T8" fmla="+- 0 2700 2638"/>
                <a:gd name="T9" fmla="*/ T8 w 78"/>
                <a:gd name="T10" fmla="+- 0 538 520"/>
                <a:gd name="T11" fmla="*/ 538 h 80"/>
                <a:gd name="T12" fmla="+- 0 2686 2638"/>
                <a:gd name="T13" fmla="*/ T12 w 78"/>
                <a:gd name="T14" fmla="+- 0 530 520"/>
                <a:gd name="T15" fmla="*/ 530 h 80"/>
                <a:gd name="T16" fmla="+- 0 2699 2638"/>
                <a:gd name="T17" fmla="*/ T16 w 78"/>
                <a:gd name="T18" fmla="+- 0 530 520"/>
                <a:gd name="T19" fmla="*/ 530 h 80"/>
                <a:gd name="T20" fmla="+- 0 2709 2638"/>
                <a:gd name="T21" fmla="*/ T20 w 78"/>
                <a:gd name="T22" fmla="+- 0 540 520"/>
                <a:gd name="T23" fmla="*/ 540 h 80"/>
                <a:gd name="T24" fmla="+- 0 2713 2638"/>
                <a:gd name="T25" fmla="*/ T24 w 78"/>
                <a:gd name="T26" fmla="+- 0 547 520"/>
                <a:gd name="T27" fmla="*/ 547 h 80"/>
                <a:gd name="T28" fmla="+- 0 2715 2638"/>
                <a:gd name="T29" fmla="*/ T28 w 78"/>
                <a:gd name="T30" fmla="+- 0 556 520"/>
                <a:gd name="T31" fmla="*/ 556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77" y="36"/>
                  </a:moveTo>
                  <a:lnTo>
                    <a:pt x="65" y="36"/>
                  </a:lnTo>
                  <a:lnTo>
                    <a:pt x="62" y="18"/>
                  </a:lnTo>
                  <a:lnTo>
                    <a:pt x="48" y="10"/>
                  </a:lnTo>
                  <a:lnTo>
                    <a:pt x="61" y="10"/>
                  </a:lnTo>
                  <a:lnTo>
                    <a:pt x="71" y="20"/>
                  </a:lnTo>
                  <a:lnTo>
                    <a:pt x="75" y="27"/>
                  </a:lnTo>
                  <a:lnTo>
                    <a:pt x="77" y="3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7" name="Freeform 4837">
              <a:extLst>
                <a:ext uri="{FF2B5EF4-FFF2-40B4-BE49-F238E27FC236}">
                  <a16:creationId xmlns:a16="http://schemas.microsoft.com/office/drawing/2014/main" id="{F7B116D5-DB4F-3372-9E42-9483630FA351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697 2638"/>
                <a:gd name="T1" fmla="*/ T0 w 78"/>
                <a:gd name="T2" fmla="+- 0 592 520"/>
                <a:gd name="T3" fmla="*/ 592 h 80"/>
                <a:gd name="T4" fmla="+- 0 2674 2638"/>
                <a:gd name="T5" fmla="*/ T4 w 78"/>
                <a:gd name="T6" fmla="+- 0 592 520"/>
                <a:gd name="T7" fmla="*/ 592 h 80"/>
                <a:gd name="T8" fmla="+- 0 2689 2638"/>
                <a:gd name="T9" fmla="*/ T8 w 78"/>
                <a:gd name="T10" fmla="+- 0 592 520"/>
                <a:gd name="T11" fmla="*/ 592 h 80"/>
                <a:gd name="T12" fmla="+- 0 2698 2638"/>
                <a:gd name="T13" fmla="*/ T12 w 78"/>
                <a:gd name="T14" fmla="+- 0 582 520"/>
                <a:gd name="T15" fmla="*/ 582 h 80"/>
                <a:gd name="T16" fmla="+- 0 2701 2638"/>
                <a:gd name="T17" fmla="*/ T16 w 78"/>
                <a:gd name="T18" fmla="+- 0 574 520"/>
                <a:gd name="T19" fmla="*/ 574 h 80"/>
                <a:gd name="T20" fmla="+- 0 2713 2638"/>
                <a:gd name="T21" fmla="*/ T20 w 78"/>
                <a:gd name="T22" fmla="+- 0 574 520"/>
                <a:gd name="T23" fmla="*/ 574 h 80"/>
                <a:gd name="T24" fmla="+- 0 2704 2638"/>
                <a:gd name="T25" fmla="*/ T24 w 78"/>
                <a:gd name="T26" fmla="+- 0 589 520"/>
                <a:gd name="T27" fmla="*/ 589 h 80"/>
                <a:gd name="T28" fmla="+- 0 2697 2638"/>
                <a:gd name="T29" fmla="*/ T28 w 78"/>
                <a:gd name="T30" fmla="+- 0 592 520"/>
                <a:gd name="T31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59" y="72"/>
                  </a:moveTo>
                  <a:lnTo>
                    <a:pt x="36" y="72"/>
                  </a:lnTo>
                  <a:lnTo>
                    <a:pt x="51" y="72"/>
                  </a:lnTo>
                  <a:lnTo>
                    <a:pt x="60" y="62"/>
                  </a:lnTo>
                  <a:lnTo>
                    <a:pt x="63" y="54"/>
                  </a:lnTo>
                  <a:lnTo>
                    <a:pt x="75" y="54"/>
                  </a:lnTo>
                  <a:lnTo>
                    <a:pt x="66" y="69"/>
                  </a:lnTo>
                  <a:lnTo>
                    <a:pt x="59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5B61898F-323D-DA1D-FAD4-9265785C9E41}"/>
              </a:ext>
            </a:extLst>
          </xdr:cNvPr>
          <xdr:cNvGrpSpPr>
            <a:grpSpLocks/>
          </xdr:cNvGrpSpPr>
        </xdr:nvGrpSpPr>
        <xdr:grpSpPr bwMode="auto">
          <a:xfrm>
            <a:off x="2729" y="520"/>
            <a:ext cx="69" cy="81"/>
            <a:chOff x="2729" y="520"/>
            <a:chExt cx="69" cy="81"/>
          </a:xfrm>
        </xdr:grpSpPr>
        <xdr:sp macro="" textlink="">
          <xdr:nvSpPr>
            <xdr:cNvPr id="32" name="Freeform 4835">
              <a:extLst>
                <a:ext uri="{FF2B5EF4-FFF2-40B4-BE49-F238E27FC236}">
                  <a16:creationId xmlns:a16="http://schemas.microsoft.com/office/drawing/2014/main" id="{C0DC9F33-2B3D-6791-279A-FF13792FE64A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53 2729"/>
                <a:gd name="T1" fmla="*/ T0 w 69"/>
                <a:gd name="T2" fmla="+- 0 531 520"/>
                <a:gd name="T3" fmla="*/ 531 h 81"/>
                <a:gd name="T4" fmla="+- 0 2740 2729"/>
                <a:gd name="T5" fmla="*/ T4 w 69"/>
                <a:gd name="T6" fmla="+- 0 531 520"/>
                <a:gd name="T7" fmla="*/ 531 h 81"/>
                <a:gd name="T8" fmla="+- 0 2744 2729"/>
                <a:gd name="T9" fmla="*/ T8 w 69"/>
                <a:gd name="T10" fmla="+- 0 526 520"/>
                <a:gd name="T11" fmla="*/ 526 h 81"/>
                <a:gd name="T12" fmla="+- 0 2752 2729"/>
                <a:gd name="T13" fmla="*/ T12 w 69"/>
                <a:gd name="T14" fmla="+- 0 520 520"/>
                <a:gd name="T15" fmla="*/ 520 h 81"/>
                <a:gd name="T16" fmla="+- 0 2774 2729"/>
                <a:gd name="T17" fmla="*/ T16 w 69"/>
                <a:gd name="T18" fmla="+- 0 520 520"/>
                <a:gd name="T19" fmla="*/ 520 h 81"/>
                <a:gd name="T20" fmla="+- 0 2782 2729"/>
                <a:gd name="T21" fmla="*/ T20 w 69"/>
                <a:gd name="T22" fmla="+- 0 523 520"/>
                <a:gd name="T23" fmla="*/ 523 h 81"/>
                <a:gd name="T24" fmla="+- 0 2789 2729"/>
                <a:gd name="T25" fmla="*/ T24 w 69"/>
                <a:gd name="T26" fmla="+- 0 530 520"/>
                <a:gd name="T27" fmla="*/ 530 h 81"/>
                <a:gd name="T28" fmla="+- 0 2761 2729"/>
                <a:gd name="T29" fmla="*/ T28 w 69"/>
                <a:gd name="T30" fmla="+- 0 530 520"/>
                <a:gd name="T31" fmla="*/ 530 h 81"/>
                <a:gd name="T32" fmla="+- 0 2753 2729"/>
                <a:gd name="T33" fmla="*/ T32 w 69"/>
                <a:gd name="T34" fmla="+- 0 531 520"/>
                <a:gd name="T35" fmla="*/ 531 h 81"/>
                <a:gd name="T36" fmla="+- 0 2753 2729"/>
                <a:gd name="T37" fmla="*/ T36 w 69"/>
                <a:gd name="T38" fmla="+- 0 531 520"/>
                <a:gd name="T39" fmla="*/ 53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9" h="81">
                  <a:moveTo>
                    <a:pt x="24" y="11"/>
                  </a:moveTo>
                  <a:lnTo>
                    <a:pt x="11" y="11"/>
                  </a:lnTo>
                  <a:lnTo>
                    <a:pt x="15" y="6"/>
                  </a:lnTo>
                  <a:lnTo>
                    <a:pt x="23" y="0"/>
                  </a:lnTo>
                  <a:lnTo>
                    <a:pt x="45" y="0"/>
                  </a:lnTo>
                  <a:lnTo>
                    <a:pt x="53" y="3"/>
                  </a:lnTo>
                  <a:lnTo>
                    <a:pt x="60" y="10"/>
                  </a:lnTo>
                  <a:lnTo>
                    <a:pt x="32" y="10"/>
                  </a:lnTo>
                  <a:lnTo>
                    <a:pt x="24" y="1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3" name="Freeform 4834">
              <a:extLst>
                <a:ext uri="{FF2B5EF4-FFF2-40B4-BE49-F238E27FC236}">
                  <a16:creationId xmlns:a16="http://schemas.microsoft.com/office/drawing/2014/main" id="{0BD371C8-4C86-BE65-D197-AF61B074EDE5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40 2729"/>
                <a:gd name="T1" fmla="*/ T0 w 69"/>
                <a:gd name="T2" fmla="+- 0 601 520"/>
                <a:gd name="T3" fmla="*/ 601 h 81"/>
                <a:gd name="T4" fmla="+- 0 2729 2729"/>
                <a:gd name="T5" fmla="*/ T4 w 69"/>
                <a:gd name="T6" fmla="+- 0 601 520"/>
                <a:gd name="T7" fmla="*/ 601 h 81"/>
                <a:gd name="T8" fmla="+- 0 2729 2729"/>
                <a:gd name="T9" fmla="*/ T8 w 69"/>
                <a:gd name="T10" fmla="+- 0 522 520"/>
                <a:gd name="T11" fmla="*/ 522 h 81"/>
                <a:gd name="T12" fmla="+- 0 2740 2729"/>
                <a:gd name="T13" fmla="*/ T12 w 69"/>
                <a:gd name="T14" fmla="+- 0 522 520"/>
                <a:gd name="T15" fmla="*/ 522 h 81"/>
                <a:gd name="T16" fmla="+- 0 2740 2729"/>
                <a:gd name="T17" fmla="*/ T16 w 69"/>
                <a:gd name="T18" fmla="+- 0 531 520"/>
                <a:gd name="T19" fmla="*/ 531 h 81"/>
                <a:gd name="T20" fmla="+- 0 2753 2729"/>
                <a:gd name="T21" fmla="*/ T20 w 69"/>
                <a:gd name="T22" fmla="+- 0 531 520"/>
                <a:gd name="T23" fmla="*/ 531 h 81"/>
                <a:gd name="T24" fmla="+- 0 2747 2729"/>
                <a:gd name="T25" fmla="*/ T24 w 69"/>
                <a:gd name="T26" fmla="+- 0 537 520"/>
                <a:gd name="T27" fmla="*/ 537 h 81"/>
                <a:gd name="T28" fmla="+- 0 2743 2729"/>
                <a:gd name="T29" fmla="*/ T28 w 69"/>
                <a:gd name="T30" fmla="+- 0 541 520"/>
                <a:gd name="T31" fmla="*/ 541 h 81"/>
                <a:gd name="T32" fmla="+- 0 2740 2729"/>
                <a:gd name="T33" fmla="*/ T32 w 69"/>
                <a:gd name="T34" fmla="+- 0 549 520"/>
                <a:gd name="T35" fmla="*/ 549 h 81"/>
                <a:gd name="T36" fmla="+- 0 2740 2729"/>
                <a:gd name="T37" fmla="*/ T36 w 69"/>
                <a:gd name="T38" fmla="+- 0 558 520"/>
                <a:gd name="T39" fmla="*/ 558 h 81"/>
                <a:gd name="T40" fmla="+- 0 2740 2729"/>
                <a:gd name="T41" fmla="*/ T40 w 69"/>
                <a:gd name="T42" fmla="+- 0 601 520"/>
                <a:gd name="T43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69" h="81">
                  <a:moveTo>
                    <a:pt x="11" y="81"/>
                  </a:moveTo>
                  <a:lnTo>
                    <a:pt x="0" y="81"/>
                  </a:lnTo>
                  <a:lnTo>
                    <a:pt x="0" y="2"/>
                  </a:lnTo>
                  <a:lnTo>
                    <a:pt x="11" y="2"/>
                  </a:lnTo>
                  <a:lnTo>
                    <a:pt x="11" y="11"/>
                  </a:lnTo>
                  <a:lnTo>
                    <a:pt x="24" y="11"/>
                  </a:lnTo>
                  <a:lnTo>
                    <a:pt x="18" y="17"/>
                  </a:lnTo>
                  <a:lnTo>
                    <a:pt x="14" y="21"/>
                  </a:lnTo>
                  <a:lnTo>
                    <a:pt x="11" y="29"/>
                  </a:lnTo>
                  <a:lnTo>
                    <a:pt x="11" y="38"/>
                  </a:lnTo>
                  <a:lnTo>
                    <a:pt x="11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4" name="Freeform 4833">
              <a:extLst>
                <a:ext uri="{FF2B5EF4-FFF2-40B4-BE49-F238E27FC236}">
                  <a16:creationId xmlns:a16="http://schemas.microsoft.com/office/drawing/2014/main" id="{202E81BB-5CE0-BBC4-03A5-13CE3DE71512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98 2729"/>
                <a:gd name="T1" fmla="*/ T0 w 69"/>
                <a:gd name="T2" fmla="+- 0 600 520"/>
                <a:gd name="T3" fmla="*/ 600 h 81"/>
                <a:gd name="T4" fmla="+- 0 2787 2729"/>
                <a:gd name="T5" fmla="*/ T4 w 69"/>
                <a:gd name="T6" fmla="+- 0 600 520"/>
                <a:gd name="T7" fmla="*/ 600 h 81"/>
                <a:gd name="T8" fmla="+- 0 2787 2729"/>
                <a:gd name="T9" fmla="*/ T8 w 69"/>
                <a:gd name="T10" fmla="+- 0 549 520"/>
                <a:gd name="T11" fmla="*/ 549 h 81"/>
                <a:gd name="T12" fmla="+- 0 2784 2729"/>
                <a:gd name="T13" fmla="*/ T12 w 69"/>
                <a:gd name="T14" fmla="+- 0 541 520"/>
                <a:gd name="T15" fmla="*/ 541 h 81"/>
                <a:gd name="T16" fmla="+- 0 2774 2729"/>
                <a:gd name="T17" fmla="*/ T16 w 69"/>
                <a:gd name="T18" fmla="+- 0 531 520"/>
                <a:gd name="T19" fmla="*/ 531 h 81"/>
                <a:gd name="T20" fmla="+- 0 2766 2729"/>
                <a:gd name="T21" fmla="*/ T20 w 69"/>
                <a:gd name="T22" fmla="+- 0 530 520"/>
                <a:gd name="T23" fmla="*/ 530 h 81"/>
                <a:gd name="T24" fmla="+- 0 2789 2729"/>
                <a:gd name="T25" fmla="*/ T24 w 69"/>
                <a:gd name="T26" fmla="+- 0 530 520"/>
                <a:gd name="T27" fmla="*/ 530 h 81"/>
                <a:gd name="T28" fmla="+- 0 2795 2729"/>
                <a:gd name="T29" fmla="*/ T28 w 69"/>
                <a:gd name="T30" fmla="+- 0 536 520"/>
                <a:gd name="T31" fmla="*/ 536 h 81"/>
                <a:gd name="T32" fmla="+- 0 2798 2729"/>
                <a:gd name="T33" fmla="*/ T32 w 69"/>
                <a:gd name="T34" fmla="+- 0 546 520"/>
                <a:gd name="T35" fmla="*/ 546 h 81"/>
                <a:gd name="T36" fmla="+- 0 2798 2729"/>
                <a:gd name="T37" fmla="*/ T36 w 69"/>
                <a:gd name="T38" fmla="+- 0 600 520"/>
                <a:gd name="T39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9" h="81">
                  <a:moveTo>
                    <a:pt x="69" y="80"/>
                  </a:moveTo>
                  <a:lnTo>
                    <a:pt x="58" y="80"/>
                  </a:lnTo>
                  <a:lnTo>
                    <a:pt x="58" y="29"/>
                  </a:lnTo>
                  <a:lnTo>
                    <a:pt x="55" y="21"/>
                  </a:lnTo>
                  <a:lnTo>
                    <a:pt x="45" y="11"/>
                  </a:lnTo>
                  <a:lnTo>
                    <a:pt x="37" y="10"/>
                  </a:lnTo>
                  <a:lnTo>
                    <a:pt x="60" y="10"/>
                  </a:lnTo>
                  <a:lnTo>
                    <a:pt x="66" y="16"/>
                  </a:lnTo>
                  <a:lnTo>
                    <a:pt x="69" y="26"/>
                  </a:lnTo>
                  <a:lnTo>
                    <a:pt x="69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C00D6CDC-56EF-54D9-CA98-02B584C2145C}"/>
              </a:ext>
            </a:extLst>
          </xdr:cNvPr>
          <xdr:cNvGrpSpPr>
            <a:grpSpLocks/>
          </xdr:cNvGrpSpPr>
        </xdr:nvGrpSpPr>
        <xdr:grpSpPr bwMode="auto">
          <a:xfrm>
            <a:off x="2810" y="495"/>
            <a:ext cx="46" cy="106"/>
            <a:chOff x="2810" y="495"/>
            <a:chExt cx="46" cy="106"/>
          </a:xfrm>
        </xdr:grpSpPr>
        <xdr:sp macro="" textlink="">
          <xdr:nvSpPr>
            <xdr:cNvPr id="29" name="Freeform 4831">
              <a:extLst>
                <a:ext uri="{FF2B5EF4-FFF2-40B4-BE49-F238E27FC236}">
                  <a16:creationId xmlns:a16="http://schemas.microsoft.com/office/drawing/2014/main" id="{BF53F40E-B20E-448D-F7C1-66F57BED2876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37 2810"/>
                <a:gd name="T1" fmla="*/ T0 w 46"/>
                <a:gd name="T2" fmla="+- 0 522 495"/>
                <a:gd name="T3" fmla="*/ 522 h 106"/>
                <a:gd name="T4" fmla="+- 0 2826 2810"/>
                <a:gd name="T5" fmla="*/ T4 w 46"/>
                <a:gd name="T6" fmla="+- 0 522 495"/>
                <a:gd name="T7" fmla="*/ 522 h 106"/>
                <a:gd name="T8" fmla="+- 0 2826 2810"/>
                <a:gd name="T9" fmla="*/ T8 w 46"/>
                <a:gd name="T10" fmla="+- 0 495 495"/>
                <a:gd name="T11" fmla="*/ 495 h 106"/>
                <a:gd name="T12" fmla="+- 0 2837 2810"/>
                <a:gd name="T13" fmla="*/ T12 w 46"/>
                <a:gd name="T14" fmla="+- 0 495 495"/>
                <a:gd name="T15" fmla="*/ 495 h 106"/>
                <a:gd name="T16" fmla="+- 0 2837 2810"/>
                <a:gd name="T17" fmla="*/ T16 w 46"/>
                <a:gd name="T18" fmla="+- 0 522 495"/>
                <a:gd name="T19" fmla="*/ 52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27" y="27"/>
                  </a:moveTo>
                  <a:lnTo>
                    <a:pt x="16" y="27"/>
                  </a:lnTo>
                  <a:lnTo>
                    <a:pt x="16" y="0"/>
                  </a:lnTo>
                  <a:lnTo>
                    <a:pt x="27" y="0"/>
                  </a:lnTo>
                  <a:lnTo>
                    <a:pt x="27" y="2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" name="Freeform 4830">
              <a:extLst>
                <a:ext uri="{FF2B5EF4-FFF2-40B4-BE49-F238E27FC236}">
                  <a16:creationId xmlns:a16="http://schemas.microsoft.com/office/drawing/2014/main" id="{8515CA73-8069-A775-2301-235F91D546A5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56 2810"/>
                <a:gd name="T1" fmla="*/ T0 w 46"/>
                <a:gd name="T2" fmla="+- 0 532 495"/>
                <a:gd name="T3" fmla="*/ 532 h 106"/>
                <a:gd name="T4" fmla="+- 0 2810 2810"/>
                <a:gd name="T5" fmla="*/ T4 w 46"/>
                <a:gd name="T6" fmla="+- 0 532 495"/>
                <a:gd name="T7" fmla="*/ 532 h 106"/>
                <a:gd name="T8" fmla="+- 0 2810 2810"/>
                <a:gd name="T9" fmla="*/ T8 w 46"/>
                <a:gd name="T10" fmla="+- 0 522 495"/>
                <a:gd name="T11" fmla="*/ 522 h 106"/>
                <a:gd name="T12" fmla="+- 0 2856 2810"/>
                <a:gd name="T13" fmla="*/ T12 w 46"/>
                <a:gd name="T14" fmla="+- 0 522 495"/>
                <a:gd name="T15" fmla="*/ 522 h 106"/>
                <a:gd name="T16" fmla="+- 0 2856 2810"/>
                <a:gd name="T17" fmla="*/ T16 w 46"/>
                <a:gd name="T18" fmla="+- 0 532 495"/>
                <a:gd name="T19" fmla="*/ 53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46" y="37"/>
                  </a:moveTo>
                  <a:lnTo>
                    <a:pt x="0" y="37"/>
                  </a:lnTo>
                  <a:lnTo>
                    <a:pt x="0" y="27"/>
                  </a:lnTo>
                  <a:lnTo>
                    <a:pt x="46" y="27"/>
                  </a:lnTo>
                  <a:lnTo>
                    <a:pt x="46" y="3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1" name="Freeform 4829">
              <a:extLst>
                <a:ext uri="{FF2B5EF4-FFF2-40B4-BE49-F238E27FC236}">
                  <a16:creationId xmlns:a16="http://schemas.microsoft.com/office/drawing/2014/main" id="{83650C25-3A88-959F-E32B-22D45AB8A0CA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37 2810"/>
                <a:gd name="T1" fmla="*/ T0 w 46"/>
                <a:gd name="T2" fmla="+- 0 601 495"/>
                <a:gd name="T3" fmla="*/ 601 h 106"/>
                <a:gd name="T4" fmla="+- 0 2826 2810"/>
                <a:gd name="T5" fmla="*/ T4 w 46"/>
                <a:gd name="T6" fmla="+- 0 601 495"/>
                <a:gd name="T7" fmla="*/ 601 h 106"/>
                <a:gd name="T8" fmla="+- 0 2826 2810"/>
                <a:gd name="T9" fmla="*/ T8 w 46"/>
                <a:gd name="T10" fmla="+- 0 532 495"/>
                <a:gd name="T11" fmla="*/ 532 h 106"/>
                <a:gd name="T12" fmla="+- 0 2837 2810"/>
                <a:gd name="T13" fmla="*/ T12 w 46"/>
                <a:gd name="T14" fmla="+- 0 532 495"/>
                <a:gd name="T15" fmla="*/ 532 h 106"/>
                <a:gd name="T16" fmla="+- 0 2837 2810"/>
                <a:gd name="T17" fmla="*/ T16 w 46"/>
                <a:gd name="T18" fmla="+- 0 601 495"/>
                <a:gd name="T19" fmla="*/ 601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27" y="106"/>
                  </a:moveTo>
                  <a:lnTo>
                    <a:pt x="16" y="106"/>
                  </a:lnTo>
                  <a:lnTo>
                    <a:pt x="16" y="37"/>
                  </a:lnTo>
                  <a:lnTo>
                    <a:pt x="27" y="37"/>
                  </a:lnTo>
                  <a:lnTo>
                    <a:pt x="27" y="10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7A9F58BE-FF5F-1CC0-B2FD-98F634E11C08}"/>
              </a:ext>
            </a:extLst>
          </xdr:cNvPr>
          <xdr:cNvGrpSpPr>
            <a:grpSpLocks/>
          </xdr:cNvGrpSpPr>
        </xdr:nvGrpSpPr>
        <xdr:grpSpPr bwMode="auto">
          <a:xfrm>
            <a:off x="2867" y="520"/>
            <a:ext cx="78" cy="80"/>
            <a:chOff x="2867" y="520"/>
            <a:chExt cx="78" cy="80"/>
          </a:xfrm>
        </xdr:grpSpPr>
        <xdr:sp macro="" textlink="">
          <xdr:nvSpPr>
            <xdr:cNvPr id="26" name="Freeform 4827">
              <a:extLst>
                <a:ext uri="{FF2B5EF4-FFF2-40B4-BE49-F238E27FC236}">
                  <a16:creationId xmlns:a16="http://schemas.microsoft.com/office/drawing/2014/main" id="{598C480A-14F4-5688-813E-DAA8FA9EE74B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890 2867"/>
                <a:gd name="T1" fmla="*/ T0 w 78"/>
                <a:gd name="T2" fmla="+- 0 600 520"/>
                <a:gd name="T3" fmla="*/ 600 h 80"/>
                <a:gd name="T4" fmla="+- 0 2876 2867"/>
                <a:gd name="T5" fmla="*/ T4 w 78"/>
                <a:gd name="T6" fmla="+- 0 590 520"/>
                <a:gd name="T7" fmla="*/ 590 h 80"/>
                <a:gd name="T8" fmla="+- 0 2867 2867"/>
                <a:gd name="T9" fmla="*/ T8 w 78"/>
                <a:gd name="T10" fmla="+- 0 571 520"/>
                <a:gd name="T11" fmla="*/ 571 h 80"/>
                <a:gd name="T12" fmla="+- 0 2867 2867"/>
                <a:gd name="T13" fmla="*/ T12 w 78"/>
                <a:gd name="T14" fmla="+- 0 542 520"/>
                <a:gd name="T15" fmla="*/ 542 h 80"/>
                <a:gd name="T16" fmla="+- 0 2881 2867"/>
                <a:gd name="T17" fmla="*/ T16 w 78"/>
                <a:gd name="T18" fmla="+- 0 527 520"/>
                <a:gd name="T19" fmla="*/ 527 h 80"/>
                <a:gd name="T20" fmla="+- 0 2902 2867"/>
                <a:gd name="T21" fmla="*/ T20 w 78"/>
                <a:gd name="T22" fmla="+- 0 520 520"/>
                <a:gd name="T23" fmla="*/ 520 h 80"/>
                <a:gd name="T24" fmla="+- 0 2924 2867"/>
                <a:gd name="T25" fmla="*/ T24 w 78"/>
                <a:gd name="T26" fmla="+- 0 527 520"/>
                <a:gd name="T27" fmla="*/ 527 h 80"/>
                <a:gd name="T28" fmla="+- 0 2928 2867"/>
                <a:gd name="T29" fmla="*/ T28 w 78"/>
                <a:gd name="T30" fmla="+- 0 530 520"/>
                <a:gd name="T31" fmla="*/ 530 h 80"/>
                <a:gd name="T32" fmla="+- 0 2890 2867"/>
                <a:gd name="T33" fmla="*/ T32 w 78"/>
                <a:gd name="T34" fmla="+- 0 530 520"/>
                <a:gd name="T35" fmla="*/ 530 h 80"/>
                <a:gd name="T36" fmla="+- 0 2876 2867"/>
                <a:gd name="T37" fmla="*/ T36 w 78"/>
                <a:gd name="T38" fmla="+- 0 539 520"/>
                <a:gd name="T39" fmla="*/ 539 h 80"/>
                <a:gd name="T40" fmla="+- 0 2873 2867"/>
                <a:gd name="T41" fmla="*/ T40 w 78"/>
                <a:gd name="T42" fmla="+- 0 555 520"/>
                <a:gd name="T43" fmla="*/ 555 h 80"/>
                <a:gd name="T44" fmla="+- 0 2944 2867"/>
                <a:gd name="T45" fmla="*/ T44 w 78"/>
                <a:gd name="T46" fmla="+- 0 555 520"/>
                <a:gd name="T47" fmla="*/ 555 h 80"/>
                <a:gd name="T48" fmla="+- 0 2943 2867"/>
                <a:gd name="T49" fmla="*/ T48 w 78"/>
                <a:gd name="T50" fmla="+- 0 565 520"/>
                <a:gd name="T51" fmla="*/ 565 h 80"/>
                <a:gd name="T52" fmla="+- 0 2943 2867"/>
                <a:gd name="T53" fmla="*/ T52 w 78"/>
                <a:gd name="T54" fmla="+- 0 565 520"/>
                <a:gd name="T55" fmla="*/ 565 h 80"/>
                <a:gd name="T56" fmla="+- 0 2873 2867"/>
                <a:gd name="T57" fmla="*/ T56 w 78"/>
                <a:gd name="T58" fmla="+- 0 565 520"/>
                <a:gd name="T59" fmla="*/ 565 h 80"/>
                <a:gd name="T60" fmla="+- 0 2874 2867"/>
                <a:gd name="T61" fmla="*/ T60 w 78"/>
                <a:gd name="T62" fmla="+- 0 580 520"/>
                <a:gd name="T63" fmla="*/ 580 h 80"/>
                <a:gd name="T64" fmla="+- 0 2888 2867"/>
                <a:gd name="T65" fmla="*/ T64 w 78"/>
                <a:gd name="T66" fmla="+- 0 592 520"/>
                <a:gd name="T67" fmla="*/ 592 h 80"/>
                <a:gd name="T68" fmla="+- 0 2926 2867"/>
                <a:gd name="T69" fmla="*/ T68 w 78"/>
                <a:gd name="T70" fmla="+- 0 592 520"/>
                <a:gd name="T71" fmla="*/ 592 h 80"/>
                <a:gd name="T72" fmla="+- 0 2915 2867"/>
                <a:gd name="T73" fmla="*/ T72 w 78"/>
                <a:gd name="T74" fmla="+- 0 598 520"/>
                <a:gd name="T75" fmla="*/ 598 h 80"/>
                <a:gd name="T76" fmla="+- 0 2890 2867"/>
                <a:gd name="T77" fmla="*/ T76 w 78"/>
                <a:gd name="T78" fmla="+- 0 600 520"/>
                <a:gd name="T7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8" h="80">
                  <a:moveTo>
                    <a:pt x="23" y="80"/>
                  </a:moveTo>
                  <a:lnTo>
                    <a:pt x="9" y="70"/>
                  </a:lnTo>
                  <a:lnTo>
                    <a:pt x="0" y="51"/>
                  </a:lnTo>
                  <a:lnTo>
                    <a:pt x="0" y="22"/>
                  </a:lnTo>
                  <a:lnTo>
                    <a:pt x="14" y="7"/>
                  </a:lnTo>
                  <a:lnTo>
                    <a:pt x="35" y="0"/>
                  </a:lnTo>
                  <a:lnTo>
                    <a:pt x="57" y="7"/>
                  </a:lnTo>
                  <a:lnTo>
                    <a:pt x="61" y="10"/>
                  </a:lnTo>
                  <a:lnTo>
                    <a:pt x="23" y="10"/>
                  </a:lnTo>
                  <a:lnTo>
                    <a:pt x="9" y="19"/>
                  </a:lnTo>
                  <a:lnTo>
                    <a:pt x="6" y="35"/>
                  </a:lnTo>
                  <a:lnTo>
                    <a:pt x="77" y="35"/>
                  </a:lnTo>
                  <a:lnTo>
                    <a:pt x="76" y="45"/>
                  </a:lnTo>
                  <a:lnTo>
                    <a:pt x="6" y="45"/>
                  </a:lnTo>
                  <a:lnTo>
                    <a:pt x="7" y="60"/>
                  </a:lnTo>
                  <a:lnTo>
                    <a:pt x="21" y="72"/>
                  </a:lnTo>
                  <a:lnTo>
                    <a:pt x="59" y="72"/>
                  </a:lnTo>
                  <a:lnTo>
                    <a:pt x="48" y="78"/>
                  </a:lnTo>
                  <a:lnTo>
                    <a:pt x="23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7" name="Freeform 4826">
              <a:extLst>
                <a:ext uri="{FF2B5EF4-FFF2-40B4-BE49-F238E27FC236}">
                  <a16:creationId xmlns:a16="http://schemas.microsoft.com/office/drawing/2014/main" id="{D90206CE-CEB8-2C93-E21F-E772023386B5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944 2867"/>
                <a:gd name="T1" fmla="*/ T0 w 78"/>
                <a:gd name="T2" fmla="+- 0 555 520"/>
                <a:gd name="T3" fmla="*/ 555 h 80"/>
                <a:gd name="T4" fmla="+- 0 2932 2867"/>
                <a:gd name="T5" fmla="*/ T4 w 78"/>
                <a:gd name="T6" fmla="+- 0 555 520"/>
                <a:gd name="T7" fmla="*/ 555 h 80"/>
                <a:gd name="T8" fmla="+- 0 2929 2867"/>
                <a:gd name="T9" fmla="*/ T8 w 78"/>
                <a:gd name="T10" fmla="+- 0 538 520"/>
                <a:gd name="T11" fmla="*/ 538 h 80"/>
                <a:gd name="T12" fmla="+- 0 2914 2867"/>
                <a:gd name="T13" fmla="*/ T12 w 78"/>
                <a:gd name="T14" fmla="+- 0 530 520"/>
                <a:gd name="T15" fmla="*/ 530 h 80"/>
                <a:gd name="T16" fmla="+- 0 2928 2867"/>
                <a:gd name="T17" fmla="*/ T16 w 78"/>
                <a:gd name="T18" fmla="+- 0 530 520"/>
                <a:gd name="T19" fmla="*/ 530 h 80"/>
                <a:gd name="T20" fmla="+- 0 2937 2867"/>
                <a:gd name="T21" fmla="*/ T20 w 78"/>
                <a:gd name="T22" fmla="+- 0 540 520"/>
                <a:gd name="T23" fmla="*/ 540 h 80"/>
                <a:gd name="T24" fmla="+- 0 2942 2867"/>
                <a:gd name="T25" fmla="*/ T24 w 78"/>
                <a:gd name="T26" fmla="+- 0 547 520"/>
                <a:gd name="T27" fmla="*/ 547 h 80"/>
                <a:gd name="T28" fmla="+- 0 2944 2867"/>
                <a:gd name="T29" fmla="*/ T28 w 78"/>
                <a:gd name="T30" fmla="+- 0 555 520"/>
                <a:gd name="T31" fmla="*/ 555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77" y="35"/>
                  </a:moveTo>
                  <a:lnTo>
                    <a:pt x="65" y="35"/>
                  </a:lnTo>
                  <a:lnTo>
                    <a:pt x="62" y="18"/>
                  </a:lnTo>
                  <a:lnTo>
                    <a:pt x="47" y="10"/>
                  </a:lnTo>
                  <a:lnTo>
                    <a:pt x="61" y="10"/>
                  </a:lnTo>
                  <a:lnTo>
                    <a:pt x="70" y="20"/>
                  </a:lnTo>
                  <a:lnTo>
                    <a:pt x="75" y="27"/>
                  </a:lnTo>
                  <a:lnTo>
                    <a:pt x="77" y="3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8" name="Freeform 4825">
              <a:extLst>
                <a:ext uri="{FF2B5EF4-FFF2-40B4-BE49-F238E27FC236}">
                  <a16:creationId xmlns:a16="http://schemas.microsoft.com/office/drawing/2014/main" id="{538A3461-A436-2FE2-AD4D-615106E3DA47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926 2867"/>
                <a:gd name="T1" fmla="*/ T0 w 78"/>
                <a:gd name="T2" fmla="+- 0 592 520"/>
                <a:gd name="T3" fmla="*/ 592 h 80"/>
                <a:gd name="T4" fmla="+- 0 2902 2867"/>
                <a:gd name="T5" fmla="*/ T4 w 78"/>
                <a:gd name="T6" fmla="+- 0 592 520"/>
                <a:gd name="T7" fmla="*/ 592 h 80"/>
                <a:gd name="T8" fmla="+- 0 2918 2867"/>
                <a:gd name="T9" fmla="*/ T8 w 78"/>
                <a:gd name="T10" fmla="+- 0 592 520"/>
                <a:gd name="T11" fmla="*/ 592 h 80"/>
                <a:gd name="T12" fmla="+- 0 2926 2867"/>
                <a:gd name="T13" fmla="*/ T12 w 78"/>
                <a:gd name="T14" fmla="+- 0 582 520"/>
                <a:gd name="T15" fmla="*/ 582 h 80"/>
                <a:gd name="T16" fmla="+- 0 2930 2867"/>
                <a:gd name="T17" fmla="*/ T16 w 78"/>
                <a:gd name="T18" fmla="+- 0 574 520"/>
                <a:gd name="T19" fmla="*/ 574 h 80"/>
                <a:gd name="T20" fmla="+- 0 2941 2867"/>
                <a:gd name="T21" fmla="*/ T20 w 78"/>
                <a:gd name="T22" fmla="+- 0 574 520"/>
                <a:gd name="T23" fmla="*/ 574 h 80"/>
                <a:gd name="T24" fmla="+- 0 2932 2867"/>
                <a:gd name="T25" fmla="*/ T24 w 78"/>
                <a:gd name="T26" fmla="+- 0 589 520"/>
                <a:gd name="T27" fmla="*/ 589 h 80"/>
                <a:gd name="T28" fmla="+- 0 2926 2867"/>
                <a:gd name="T29" fmla="*/ T28 w 78"/>
                <a:gd name="T30" fmla="+- 0 592 520"/>
                <a:gd name="T31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59" y="72"/>
                  </a:moveTo>
                  <a:lnTo>
                    <a:pt x="35" y="72"/>
                  </a:lnTo>
                  <a:lnTo>
                    <a:pt x="51" y="72"/>
                  </a:lnTo>
                  <a:lnTo>
                    <a:pt x="59" y="62"/>
                  </a:lnTo>
                  <a:lnTo>
                    <a:pt x="63" y="54"/>
                  </a:lnTo>
                  <a:lnTo>
                    <a:pt x="74" y="54"/>
                  </a:lnTo>
                  <a:lnTo>
                    <a:pt x="65" y="69"/>
                  </a:lnTo>
                  <a:lnTo>
                    <a:pt x="59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A3472656-94EC-5674-D408-2FEE7E9918B6}"/>
              </a:ext>
            </a:extLst>
          </xdr:cNvPr>
          <xdr:cNvGrpSpPr>
            <a:grpSpLocks/>
          </xdr:cNvGrpSpPr>
        </xdr:nvGrpSpPr>
        <xdr:grpSpPr bwMode="auto">
          <a:xfrm>
            <a:off x="2958" y="495"/>
            <a:ext cx="78" cy="106"/>
            <a:chOff x="2958" y="495"/>
            <a:chExt cx="78" cy="106"/>
          </a:xfrm>
        </xdr:grpSpPr>
        <xdr:sp macro="" textlink="">
          <xdr:nvSpPr>
            <xdr:cNvPr id="22" name="Freeform 4823">
              <a:extLst>
                <a:ext uri="{FF2B5EF4-FFF2-40B4-BE49-F238E27FC236}">
                  <a16:creationId xmlns:a16="http://schemas.microsoft.com/office/drawing/2014/main" id="{70F57F2A-D46D-639A-670D-A7C631772BCE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36 2958"/>
                <a:gd name="T1" fmla="*/ T0 w 78"/>
                <a:gd name="T2" fmla="+- 0 535 495"/>
                <a:gd name="T3" fmla="*/ 535 h 106"/>
                <a:gd name="T4" fmla="+- 0 3025 2958"/>
                <a:gd name="T5" fmla="*/ T4 w 78"/>
                <a:gd name="T6" fmla="+- 0 535 495"/>
                <a:gd name="T7" fmla="*/ 535 h 106"/>
                <a:gd name="T8" fmla="+- 0 3025 2958"/>
                <a:gd name="T9" fmla="*/ T8 w 78"/>
                <a:gd name="T10" fmla="+- 0 495 495"/>
                <a:gd name="T11" fmla="*/ 495 h 106"/>
                <a:gd name="T12" fmla="+- 0 3036 2958"/>
                <a:gd name="T13" fmla="*/ T12 w 78"/>
                <a:gd name="T14" fmla="+- 0 495 495"/>
                <a:gd name="T15" fmla="*/ 495 h 106"/>
                <a:gd name="T16" fmla="+- 0 3036 2958"/>
                <a:gd name="T17" fmla="*/ T16 w 78"/>
                <a:gd name="T18" fmla="+- 0 535 495"/>
                <a:gd name="T19" fmla="*/ 535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106">
                  <a:moveTo>
                    <a:pt x="78" y="40"/>
                  </a:moveTo>
                  <a:lnTo>
                    <a:pt x="67" y="40"/>
                  </a:lnTo>
                  <a:lnTo>
                    <a:pt x="67" y="0"/>
                  </a:lnTo>
                  <a:lnTo>
                    <a:pt x="78" y="0"/>
                  </a:lnTo>
                  <a:lnTo>
                    <a:pt x="78" y="4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3" name="Freeform 4822">
              <a:extLst>
                <a:ext uri="{FF2B5EF4-FFF2-40B4-BE49-F238E27FC236}">
                  <a16:creationId xmlns:a16="http://schemas.microsoft.com/office/drawing/2014/main" id="{C4663B56-5C1E-7CD0-220B-E44194AEC914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2982 2958"/>
                <a:gd name="T1" fmla="*/ T0 w 78"/>
                <a:gd name="T2" fmla="+- 0 600 495"/>
                <a:gd name="T3" fmla="*/ 600 h 106"/>
                <a:gd name="T4" fmla="+- 0 2968 2958"/>
                <a:gd name="T5" fmla="*/ T4 w 78"/>
                <a:gd name="T6" fmla="+- 0 590 495"/>
                <a:gd name="T7" fmla="*/ 590 h 106"/>
                <a:gd name="T8" fmla="+- 0 2959 2958"/>
                <a:gd name="T9" fmla="*/ T8 w 78"/>
                <a:gd name="T10" fmla="+- 0 571 495"/>
                <a:gd name="T11" fmla="*/ 571 h 106"/>
                <a:gd name="T12" fmla="+- 0 2958 2958"/>
                <a:gd name="T13" fmla="*/ T12 w 78"/>
                <a:gd name="T14" fmla="+- 0 543 495"/>
                <a:gd name="T15" fmla="*/ 543 h 106"/>
                <a:gd name="T16" fmla="+- 0 2973 2958"/>
                <a:gd name="T17" fmla="*/ T16 w 78"/>
                <a:gd name="T18" fmla="+- 0 527 495"/>
                <a:gd name="T19" fmla="*/ 527 h 106"/>
                <a:gd name="T20" fmla="+- 0 2996 2958"/>
                <a:gd name="T21" fmla="*/ T20 w 78"/>
                <a:gd name="T22" fmla="+- 0 520 495"/>
                <a:gd name="T23" fmla="*/ 520 h 106"/>
                <a:gd name="T24" fmla="+- 0 3000 2958"/>
                <a:gd name="T25" fmla="*/ T24 w 78"/>
                <a:gd name="T26" fmla="+- 0 520 495"/>
                <a:gd name="T27" fmla="*/ 520 h 106"/>
                <a:gd name="T28" fmla="+- 0 3016 2958"/>
                <a:gd name="T29" fmla="*/ T28 w 78"/>
                <a:gd name="T30" fmla="+- 0 521 495"/>
                <a:gd name="T31" fmla="*/ 521 h 106"/>
                <a:gd name="T32" fmla="+- 0 3023 2958"/>
                <a:gd name="T33" fmla="*/ T32 w 78"/>
                <a:gd name="T34" fmla="+- 0 531 495"/>
                <a:gd name="T35" fmla="*/ 531 h 106"/>
                <a:gd name="T36" fmla="+- 0 2989 2958"/>
                <a:gd name="T37" fmla="*/ T36 w 78"/>
                <a:gd name="T38" fmla="+- 0 531 495"/>
                <a:gd name="T39" fmla="*/ 531 h 106"/>
                <a:gd name="T40" fmla="+- 0 2972 2958"/>
                <a:gd name="T41" fmla="*/ T40 w 78"/>
                <a:gd name="T42" fmla="+- 0 542 495"/>
                <a:gd name="T43" fmla="*/ 542 h 106"/>
                <a:gd name="T44" fmla="+- 0 2965 2958"/>
                <a:gd name="T45" fmla="*/ T44 w 78"/>
                <a:gd name="T46" fmla="+- 0 566 495"/>
                <a:gd name="T47" fmla="*/ 566 h 106"/>
                <a:gd name="T48" fmla="+- 0 2975 2958"/>
                <a:gd name="T49" fmla="*/ T48 w 78"/>
                <a:gd name="T50" fmla="+- 0 585 495"/>
                <a:gd name="T51" fmla="*/ 585 h 106"/>
                <a:gd name="T52" fmla="+- 0 2996 2958"/>
                <a:gd name="T53" fmla="*/ T52 w 78"/>
                <a:gd name="T54" fmla="+- 0 592 495"/>
                <a:gd name="T55" fmla="*/ 592 h 106"/>
                <a:gd name="T56" fmla="+- 0 3021 2958"/>
                <a:gd name="T57" fmla="*/ T56 w 78"/>
                <a:gd name="T58" fmla="+- 0 592 495"/>
                <a:gd name="T59" fmla="*/ 592 h 106"/>
                <a:gd name="T60" fmla="+- 0 3007 2958"/>
                <a:gd name="T61" fmla="*/ T60 w 78"/>
                <a:gd name="T62" fmla="+- 0 599 495"/>
                <a:gd name="T63" fmla="*/ 599 h 106"/>
                <a:gd name="T64" fmla="+- 0 2982 2958"/>
                <a:gd name="T65" fmla="*/ T64 w 78"/>
                <a:gd name="T66" fmla="+- 0 600 495"/>
                <a:gd name="T67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8" h="106">
                  <a:moveTo>
                    <a:pt x="24" y="105"/>
                  </a:moveTo>
                  <a:lnTo>
                    <a:pt x="10" y="95"/>
                  </a:lnTo>
                  <a:lnTo>
                    <a:pt x="1" y="76"/>
                  </a:lnTo>
                  <a:lnTo>
                    <a:pt x="0" y="48"/>
                  </a:lnTo>
                  <a:lnTo>
                    <a:pt x="15" y="32"/>
                  </a:lnTo>
                  <a:lnTo>
                    <a:pt x="38" y="25"/>
                  </a:lnTo>
                  <a:lnTo>
                    <a:pt x="42" y="25"/>
                  </a:lnTo>
                  <a:lnTo>
                    <a:pt x="58" y="26"/>
                  </a:lnTo>
                  <a:lnTo>
                    <a:pt x="65" y="36"/>
                  </a:lnTo>
                  <a:lnTo>
                    <a:pt x="31" y="36"/>
                  </a:lnTo>
                  <a:lnTo>
                    <a:pt x="14" y="47"/>
                  </a:lnTo>
                  <a:lnTo>
                    <a:pt x="7" y="71"/>
                  </a:lnTo>
                  <a:lnTo>
                    <a:pt x="17" y="90"/>
                  </a:lnTo>
                  <a:lnTo>
                    <a:pt x="38" y="97"/>
                  </a:lnTo>
                  <a:lnTo>
                    <a:pt x="63" y="97"/>
                  </a:lnTo>
                  <a:lnTo>
                    <a:pt x="49" y="104"/>
                  </a:lnTo>
                  <a:lnTo>
                    <a:pt x="24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4" name="Freeform 4821">
              <a:extLst>
                <a:ext uri="{FF2B5EF4-FFF2-40B4-BE49-F238E27FC236}">
                  <a16:creationId xmlns:a16="http://schemas.microsoft.com/office/drawing/2014/main" id="{A2921A0E-22DD-6EC6-E1CC-1E95CC0DECBE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21 2958"/>
                <a:gd name="T1" fmla="*/ T0 w 78"/>
                <a:gd name="T2" fmla="+- 0 592 495"/>
                <a:gd name="T3" fmla="*/ 592 h 106"/>
                <a:gd name="T4" fmla="+- 0 2996 2958"/>
                <a:gd name="T5" fmla="*/ T4 w 78"/>
                <a:gd name="T6" fmla="+- 0 592 495"/>
                <a:gd name="T7" fmla="*/ 592 h 106"/>
                <a:gd name="T8" fmla="+- 0 3006 2958"/>
                <a:gd name="T9" fmla="*/ T8 w 78"/>
                <a:gd name="T10" fmla="+- 0 590 495"/>
                <a:gd name="T11" fmla="*/ 590 h 106"/>
                <a:gd name="T12" fmla="+- 0 3020 2958"/>
                <a:gd name="T13" fmla="*/ T12 w 78"/>
                <a:gd name="T14" fmla="+- 0 578 495"/>
                <a:gd name="T15" fmla="*/ 578 h 106"/>
                <a:gd name="T16" fmla="+- 0 3025 2958"/>
                <a:gd name="T17" fmla="*/ T16 w 78"/>
                <a:gd name="T18" fmla="+- 0 552 495"/>
                <a:gd name="T19" fmla="*/ 552 h 106"/>
                <a:gd name="T20" fmla="+- 0 3013 2958"/>
                <a:gd name="T21" fmla="*/ T20 w 78"/>
                <a:gd name="T22" fmla="+- 0 537 495"/>
                <a:gd name="T23" fmla="*/ 537 h 106"/>
                <a:gd name="T24" fmla="+- 0 2989 2958"/>
                <a:gd name="T25" fmla="*/ T24 w 78"/>
                <a:gd name="T26" fmla="+- 0 531 495"/>
                <a:gd name="T27" fmla="*/ 531 h 106"/>
                <a:gd name="T28" fmla="+- 0 3023 2958"/>
                <a:gd name="T29" fmla="*/ T28 w 78"/>
                <a:gd name="T30" fmla="+- 0 531 495"/>
                <a:gd name="T31" fmla="*/ 531 h 106"/>
                <a:gd name="T32" fmla="+- 0 3025 2958"/>
                <a:gd name="T33" fmla="*/ T32 w 78"/>
                <a:gd name="T34" fmla="+- 0 535 495"/>
                <a:gd name="T35" fmla="*/ 535 h 106"/>
                <a:gd name="T36" fmla="+- 0 3036 2958"/>
                <a:gd name="T37" fmla="*/ T36 w 78"/>
                <a:gd name="T38" fmla="+- 0 535 495"/>
                <a:gd name="T39" fmla="*/ 535 h 106"/>
                <a:gd name="T40" fmla="+- 0 3036 2958"/>
                <a:gd name="T41" fmla="*/ T40 w 78"/>
                <a:gd name="T42" fmla="+- 0 592 495"/>
                <a:gd name="T43" fmla="*/ 592 h 106"/>
                <a:gd name="T44" fmla="+- 0 3022 2958"/>
                <a:gd name="T45" fmla="*/ T44 w 78"/>
                <a:gd name="T46" fmla="+- 0 592 495"/>
                <a:gd name="T47" fmla="*/ 592 h 106"/>
                <a:gd name="T48" fmla="+- 0 3021 2958"/>
                <a:gd name="T49" fmla="*/ T48 w 78"/>
                <a:gd name="T50" fmla="+- 0 592 495"/>
                <a:gd name="T51" fmla="*/ 59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78" h="106">
                  <a:moveTo>
                    <a:pt x="63" y="97"/>
                  </a:moveTo>
                  <a:lnTo>
                    <a:pt x="38" y="97"/>
                  </a:lnTo>
                  <a:lnTo>
                    <a:pt x="48" y="95"/>
                  </a:lnTo>
                  <a:lnTo>
                    <a:pt x="62" y="83"/>
                  </a:lnTo>
                  <a:lnTo>
                    <a:pt x="67" y="57"/>
                  </a:lnTo>
                  <a:lnTo>
                    <a:pt x="55" y="42"/>
                  </a:lnTo>
                  <a:lnTo>
                    <a:pt x="31" y="36"/>
                  </a:lnTo>
                  <a:lnTo>
                    <a:pt x="65" y="36"/>
                  </a:lnTo>
                  <a:lnTo>
                    <a:pt x="67" y="40"/>
                  </a:lnTo>
                  <a:lnTo>
                    <a:pt x="78" y="40"/>
                  </a:lnTo>
                  <a:lnTo>
                    <a:pt x="78" y="97"/>
                  </a:lnTo>
                  <a:lnTo>
                    <a:pt x="64" y="97"/>
                  </a:lnTo>
                  <a:lnTo>
                    <a:pt x="63" y="9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5" name="Freeform 4820">
              <a:extLst>
                <a:ext uri="{FF2B5EF4-FFF2-40B4-BE49-F238E27FC236}">
                  <a16:creationId xmlns:a16="http://schemas.microsoft.com/office/drawing/2014/main" id="{46FE82CC-D152-2C1B-5B62-5CD7594BFFCB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36 2958"/>
                <a:gd name="T1" fmla="*/ T0 w 78"/>
                <a:gd name="T2" fmla="+- 0 600 495"/>
                <a:gd name="T3" fmla="*/ 600 h 106"/>
                <a:gd name="T4" fmla="+- 0 3025 2958"/>
                <a:gd name="T5" fmla="*/ T4 w 78"/>
                <a:gd name="T6" fmla="+- 0 600 495"/>
                <a:gd name="T7" fmla="*/ 600 h 106"/>
                <a:gd name="T8" fmla="+- 0 3022 2958"/>
                <a:gd name="T9" fmla="*/ T8 w 78"/>
                <a:gd name="T10" fmla="+- 0 592 495"/>
                <a:gd name="T11" fmla="*/ 592 h 106"/>
                <a:gd name="T12" fmla="+- 0 3036 2958"/>
                <a:gd name="T13" fmla="*/ T12 w 78"/>
                <a:gd name="T14" fmla="+- 0 592 495"/>
                <a:gd name="T15" fmla="*/ 592 h 106"/>
                <a:gd name="T16" fmla="+- 0 3036 2958"/>
                <a:gd name="T17" fmla="*/ T16 w 78"/>
                <a:gd name="T18" fmla="+- 0 600 495"/>
                <a:gd name="T19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106">
                  <a:moveTo>
                    <a:pt x="78" y="105"/>
                  </a:moveTo>
                  <a:lnTo>
                    <a:pt x="67" y="105"/>
                  </a:lnTo>
                  <a:lnTo>
                    <a:pt x="64" y="97"/>
                  </a:lnTo>
                  <a:lnTo>
                    <a:pt x="78" y="97"/>
                  </a:lnTo>
                  <a:lnTo>
                    <a:pt x="78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CBF09680-501D-85E5-A34D-0C8FB395D008}"/>
              </a:ext>
            </a:extLst>
          </xdr:cNvPr>
          <xdr:cNvGrpSpPr>
            <a:grpSpLocks/>
          </xdr:cNvGrpSpPr>
        </xdr:nvGrpSpPr>
        <xdr:grpSpPr bwMode="auto">
          <a:xfrm>
            <a:off x="2174" y="575"/>
            <a:ext cx="28" cy="28"/>
            <a:chOff x="2174" y="575"/>
            <a:chExt cx="28" cy="28"/>
          </a:xfrm>
        </xdr:grpSpPr>
        <xdr:sp macro="" textlink="">
          <xdr:nvSpPr>
            <xdr:cNvPr id="21" name="Freeform 4818">
              <a:extLst>
                <a:ext uri="{FF2B5EF4-FFF2-40B4-BE49-F238E27FC236}">
                  <a16:creationId xmlns:a16="http://schemas.microsoft.com/office/drawing/2014/main" id="{C4E35E0B-E25E-E7CB-4DDA-2E9907709109}"/>
                </a:ext>
              </a:extLst>
            </xdr:cNvPr>
            <xdr:cNvSpPr>
              <a:spLocks/>
            </xdr:cNvSpPr>
          </xdr:nvSpPr>
          <xdr:spPr bwMode="auto">
            <a:xfrm>
              <a:off x="2174" y="575"/>
              <a:ext cx="28" cy="28"/>
            </a:xfrm>
            <a:custGeom>
              <a:avLst/>
              <a:gdLst>
                <a:gd name="T0" fmla="+- 0 2195 2174"/>
                <a:gd name="T1" fmla="*/ T0 w 28"/>
                <a:gd name="T2" fmla="+- 0 603 575"/>
                <a:gd name="T3" fmla="*/ 603 h 28"/>
                <a:gd name="T4" fmla="+- 0 2180 2174"/>
                <a:gd name="T5" fmla="*/ T4 w 28"/>
                <a:gd name="T6" fmla="+- 0 603 575"/>
                <a:gd name="T7" fmla="*/ 603 h 28"/>
                <a:gd name="T8" fmla="+- 0 2174 2174"/>
                <a:gd name="T9" fmla="*/ T8 w 28"/>
                <a:gd name="T10" fmla="+- 0 596 575"/>
                <a:gd name="T11" fmla="*/ 596 h 28"/>
                <a:gd name="T12" fmla="+- 0 2174 2174"/>
                <a:gd name="T13" fmla="*/ T12 w 28"/>
                <a:gd name="T14" fmla="+- 0 581 575"/>
                <a:gd name="T15" fmla="*/ 581 h 28"/>
                <a:gd name="T16" fmla="+- 0 2180 2174"/>
                <a:gd name="T17" fmla="*/ T16 w 28"/>
                <a:gd name="T18" fmla="+- 0 575 575"/>
                <a:gd name="T19" fmla="*/ 575 h 28"/>
                <a:gd name="T20" fmla="+- 0 2195 2174"/>
                <a:gd name="T21" fmla="*/ T20 w 28"/>
                <a:gd name="T22" fmla="+- 0 575 575"/>
                <a:gd name="T23" fmla="*/ 575 h 28"/>
                <a:gd name="T24" fmla="+- 0 2201 2174"/>
                <a:gd name="T25" fmla="*/ T24 w 28"/>
                <a:gd name="T26" fmla="+- 0 581 575"/>
                <a:gd name="T27" fmla="*/ 581 h 28"/>
                <a:gd name="T28" fmla="+- 0 2201 2174"/>
                <a:gd name="T29" fmla="*/ T28 w 28"/>
                <a:gd name="T30" fmla="+- 0 596 575"/>
                <a:gd name="T31" fmla="*/ 596 h 28"/>
                <a:gd name="T32" fmla="+- 0 2195 2174"/>
                <a:gd name="T33" fmla="*/ T32 w 28"/>
                <a:gd name="T34" fmla="+- 0 603 575"/>
                <a:gd name="T35" fmla="*/ 603 h 2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8" h="28">
                  <a:moveTo>
                    <a:pt x="21" y="28"/>
                  </a:moveTo>
                  <a:lnTo>
                    <a:pt x="6" y="28"/>
                  </a:lnTo>
                  <a:lnTo>
                    <a:pt x="0" y="21"/>
                  </a:lnTo>
                  <a:lnTo>
                    <a:pt x="0" y="6"/>
                  </a:lnTo>
                  <a:lnTo>
                    <a:pt x="6" y="0"/>
                  </a:lnTo>
                  <a:lnTo>
                    <a:pt x="21" y="0"/>
                  </a:lnTo>
                  <a:lnTo>
                    <a:pt x="27" y="6"/>
                  </a:lnTo>
                  <a:lnTo>
                    <a:pt x="27" y="21"/>
                  </a:lnTo>
                  <a:lnTo>
                    <a:pt x="21" y="2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twoCellAnchor>
    <xdr:from>
      <xdr:col>7</xdr:col>
      <xdr:colOff>314395</xdr:colOff>
      <xdr:row>7</xdr:row>
      <xdr:rowOff>997</xdr:rowOff>
    </xdr:from>
    <xdr:to>
      <xdr:col>17</xdr:col>
      <xdr:colOff>369813</xdr:colOff>
      <xdr:row>40</xdr:row>
      <xdr:rowOff>52259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A5506B73-8D71-44C1-B4DF-D7621B0FD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314395</xdr:colOff>
      <xdr:row>40</xdr:row>
      <xdr:rowOff>78870</xdr:rowOff>
    </xdr:from>
    <xdr:to>
      <xdr:col>17</xdr:col>
      <xdr:colOff>369813</xdr:colOff>
      <xdr:row>70</xdr:row>
      <xdr:rowOff>112814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BC949839-3A91-4E2B-AA95-B39AC90580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381426</xdr:colOff>
      <xdr:row>40</xdr:row>
      <xdr:rowOff>80908</xdr:rowOff>
    </xdr:from>
    <xdr:to>
      <xdr:col>27</xdr:col>
      <xdr:colOff>436844</xdr:colOff>
      <xdr:row>70</xdr:row>
      <xdr:rowOff>114852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35FDF185-9498-4350-8E2A-C665E4569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314395</xdr:colOff>
      <xdr:row>70</xdr:row>
      <xdr:rowOff>148319</xdr:rowOff>
    </xdr:from>
    <xdr:to>
      <xdr:col>17</xdr:col>
      <xdr:colOff>369813</xdr:colOff>
      <xdr:row>100</xdr:row>
      <xdr:rowOff>164945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0B6E337A-2515-4757-B7BE-888A13FF10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381426</xdr:colOff>
      <xdr:row>70</xdr:row>
      <xdr:rowOff>161835</xdr:rowOff>
    </xdr:from>
    <xdr:to>
      <xdr:col>27</xdr:col>
      <xdr:colOff>436844</xdr:colOff>
      <xdr:row>101</xdr:row>
      <xdr:rowOff>5279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C2A03EE4-8DED-80A0-2EFF-6287BE1D5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444393</xdr:colOff>
      <xdr:row>7</xdr:row>
      <xdr:rowOff>997</xdr:rowOff>
    </xdr:from>
    <xdr:to>
      <xdr:col>37</xdr:col>
      <xdr:colOff>499811</xdr:colOff>
      <xdr:row>40</xdr:row>
      <xdr:rowOff>52259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CFDA195B-48BF-4988-8C77-0E5457C5EB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381426</xdr:colOff>
      <xdr:row>7</xdr:row>
      <xdr:rowOff>997</xdr:rowOff>
    </xdr:from>
    <xdr:to>
      <xdr:col>27</xdr:col>
      <xdr:colOff>436844</xdr:colOff>
      <xdr:row>40</xdr:row>
      <xdr:rowOff>52259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BEBCFB5A-BD21-4E5C-B861-C98A70320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95250</xdr:rowOff>
    </xdr:from>
    <xdr:to>
      <xdr:col>1</xdr:col>
      <xdr:colOff>751840</xdr:colOff>
      <xdr:row>2</xdr:row>
      <xdr:rowOff>74295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109C1719-738F-49C8-A298-8D84ABD956BA}"/>
            </a:ext>
          </a:extLst>
        </xdr:cNvPr>
        <xdr:cNvGrpSpPr>
          <a:grpSpLocks/>
        </xdr:cNvGrpSpPr>
      </xdr:nvGrpSpPr>
      <xdr:grpSpPr bwMode="auto">
        <a:xfrm>
          <a:off x="0" y="95250"/>
          <a:ext cx="1332865" cy="340995"/>
          <a:chOff x="892" y="153"/>
          <a:chExt cx="2144" cy="552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AB461499-2597-E699-A3B3-CBAD3AC24B97}"/>
              </a:ext>
            </a:extLst>
          </xdr:cNvPr>
          <xdr:cNvGrpSpPr>
            <a:grpSpLocks/>
          </xdr:cNvGrpSpPr>
        </xdr:nvGrpSpPr>
        <xdr:grpSpPr bwMode="auto">
          <a:xfrm>
            <a:off x="892" y="153"/>
            <a:ext cx="1036" cy="452"/>
            <a:chOff x="892" y="153"/>
            <a:chExt cx="1036" cy="452"/>
          </a:xfrm>
        </xdr:grpSpPr>
        <xdr:sp macro="" textlink="">
          <xdr:nvSpPr>
            <xdr:cNvPr id="73" name="Freeform 4884">
              <a:extLst>
                <a:ext uri="{FF2B5EF4-FFF2-40B4-BE49-F238E27FC236}">
                  <a16:creationId xmlns:a16="http://schemas.microsoft.com/office/drawing/2014/main" id="{BE58ED79-9F99-3D78-50A3-531D0D74A85D}"/>
                </a:ext>
              </a:extLst>
            </xdr:cNvPr>
            <xdr:cNvSpPr>
              <a:spLocks/>
            </xdr:cNvSpPr>
          </xdr:nvSpPr>
          <xdr:spPr bwMode="auto">
            <a:xfrm>
              <a:off x="892" y="153"/>
              <a:ext cx="1036" cy="452"/>
            </a:xfrm>
            <a:custGeom>
              <a:avLst/>
              <a:gdLst>
                <a:gd name="T0" fmla="+- 0 1239 892"/>
                <a:gd name="T1" fmla="*/ T0 w 1036"/>
                <a:gd name="T2" fmla="+- 0 604 153"/>
                <a:gd name="T3" fmla="*/ 604 h 452"/>
                <a:gd name="T4" fmla="+- 0 895 892"/>
                <a:gd name="T5" fmla="*/ T4 w 1036"/>
                <a:gd name="T6" fmla="+- 0 604 153"/>
                <a:gd name="T7" fmla="*/ 604 h 452"/>
                <a:gd name="T8" fmla="+- 0 892 892"/>
                <a:gd name="T9" fmla="*/ T8 w 1036"/>
                <a:gd name="T10" fmla="+- 0 601 153"/>
                <a:gd name="T11" fmla="*/ 601 h 452"/>
                <a:gd name="T12" fmla="+- 0 892 892"/>
                <a:gd name="T13" fmla="*/ T12 w 1036"/>
                <a:gd name="T14" fmla="+- 0 595 153"/>
                <a:gd name="T15" fmla="*/ 595 h 452"/>
                <a:gd name="T16" fmla="+- 0 892 892"/>
                <a:gd name="T17" fmla="*/ T16 w 1036"/>
                <a:gd name="T18" fmla="+- 0 594 153"/>
                <a:gd name="T19" fmla="*/ 594 h 452"/>
                <a:gd name="T20" fmla="+- 0 1046 892"/>
                <a:gd name="T21" fmla="*/ T20 w 1036"/>
                <a:gd name="T22" fmla="+- 0 225 153"/>
                <a:gd name="T23" fmla="*/ 225 h 452"/>
                <a:gd name="T24" fmla="+- 0 1087 892"/>
                <a:gd name="T25" fmla="*/ T24 w 1036"/>
                <a:gd name="T26" fmla="+- 0 178 153"/>
                <a:gd name="T27" fmla="*/ 178 h 452"/>
                <a:gd name="T28" fmla="+- 0 1146 892"/>
                <a:gd name="T29" fmla="*/ T28 w 1036"/>
                <a:gd name="T30" fmla="+- 0 155 153"/>
                <a:gd name="T31" fmla="*/ 155 h 452"/>
                <a:gd name="T32" fmla="+- 0 1919 892"/>
                <a:gd name="T33" fmla="*/ T32 w 1036"/>
                <a:gd name="T34" fmla="+- 0 153 153"/>
                <a:gd name="T35" fmla="*/ 153 h 452"/>
                <a:gd name="T36" fmla="+- 0 1923 892"/>
                <a:gd name="T37" fmla="*/ T36 w 1036"/>
                <a:gd name="T38" fmla="+- 0 153 153"/>
                <a:gd name="T39" fmla="*/ 153 h 452"/>
                <a:gd name="T40" fmla="+- 0 1927 892"/>
                <a:gd name="T41" fmla="*/ T40 w 1036"/>
                <a:gd name="T42" fmla="+- 0 156 153"/>
                <a:gd name="T43" fmla="*/ 156 h 452"/>
                <a:gd name="T44" fmla="+- 0 1927 892"/>
                <a:gd name="T45" fmla="*/ T44 w 1036"/>
                <a:gd name="T46" fmla="+- 0 162 153"/>
                <a:gd name="T47" fmla="*/ 162 h 452"/>
                <a:gd name="T48" fmla="+- 0 1927 892"/>
                <a:gd name="T49" fmla="*/ T48 w 1036"/>
                <a:gd name="T50" fmla="+- 0 163 153"/>
                <a:gd name="T51" fmla="*/ 163 h 452"/>
                <a:gd name="T52" fmla="+- 0 1900 892"/>
                <a:gd name="T53" fmla="*/ T52 w 1036"/>
                <a:gd name="T54" fmla="+- 0 227 153"/>
                <a:gd name="T55" fmla="*/ 227 h 452"/>
                <a:gd name="T56" fmla="+- 0 1899 892"/>
                <a:gd name="T57" fmla="*/ T56 w 1036"/>
                <a:gd name="T58" fmla="+- 0 230 153"/>
                <a:gd name="T59" fmla="*/ 230 h 452"/>
                <a:gd name="T60" fmla="+- 0 1896 892"/>
                <a:gd name="T61" fmla="*/ T60 w 1036"/>
                <a:gd name="T62" fmla="+- 0 232 153"/>
                <a:gd name="T63" fmla="*/ 232 h 452"/>
                <a:gd name="T64" fmla="+- 0 1212 892"/>
                <a:gd name="T65" fmla="*/ T64 w 1036"/>
                <a:gd name="T66" fmla="+- 0 233 153"/>
                <a:gd name="T67" fmla="*/ 233 h 452"/>
                <a:gd name="T68" fmla="+- 0 1189 892"/>
                <a:gd name="T69" fmla="*/ T68 w 1036"/>
                <a:gd name="T70" fmla="+- 0 237 153"/>
                <a:gd name="T71" fmla="*/ 237 h 452"/>
                <a:gd name="T72" fmla="+- 0 1135 892"/>
                <a:gd name="T73" fmla="*/ T72 w 1036"/>
                <a:gd name="T74" fmla="+- 0 266 153"/>
                <a:gd name="T75" fmla="*/ 266 h 452"/>
                <a:gd name="T76" fmla="+- 0 1100 892"/>
                <a:gd name="T77" fmla="*/ T76 w 1036"/>
                <a:gd name="T78" fmla="+- 0 330 153"/>
                <a:gd name="T79" fmla="*/ 330 h 452"/>
                <a:gd name="T80" fmla="+- 0 1096 892"/>
                <a:gd name="T81" fmla="*/ T80 w 1036"/>
                <a:gd name="T82" fmla="+- 0 366 153"/>
                <a:gd name="T83" fmla="*/ 366 h 452"/>
                <a:gd name="T84" fmla="+- 0 1098 892"/>
                <a:gd name="T85" fmla="*/ T84 w 1036"/>
                <a:gd name="T86" fmla="+- 0 384 153"/>
                <a:gd name="T87" fmla="*/ 384 h 452"/>
                <a:gd name="T88" fmla="+- 0 1130 892"/>
                <a:gd name="T89" fmla="*/ T88 w 1036"/>
                <a:gd name="T90" fmla="+- 0 446 153"/>
                <a:gd name="T91" fmla="*/ 446 h 452"/>
                <a:gd name="T92" fmla="+- 0 1260 892"/>
                <a:gd name="T93" fmla="*/ T92 w 1036"/>
                <a:gd name="T94" fmla="+- 0 569 153"/>
                <a:gd name="T95" fmla="*/ 569 h 452"/>
                <a:gd name="T96" fmla="+- 0 1264 892"/>
                <a:gd name="T97" fmla="*/ T96 w 1036"/>
                <a:gd name="T98" fmla="+- 0 586 153"/>
                <a:gd name="T99" fmla="*/ 586 h 452"/>
                <a:gd name="T100" fmla="+- 0 1256 892"/>
                <a:gd name="T101" fmla="*/ T100 w 1036"/>
                <a:gd name="T102" fmla="+- 0 599 153"/>
                <a:gd name="T103" fmla="*/ 599 h 452"/>
                <a:gd name="T104" fmla="+- 0 1239 892"/>
                <a:gd name="T105" fmla="*/ T104 w 1036"/>
                <a:gd name="T106" fmla="+- 0 604 153"/>
                <a:gd name="T107" fmla="*/ 604 h 45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  <a:cxn ang="0">
                  <a:pos x="T105" y="T107"/>
                </a:cxn>
              </a:cxnLst>
              <a:rect l="0" t="0" r="r" b="b"/>
              <a:pathLst>
                <a:path w="1036" h="452">
                  <a:moveTo>
                    <a:pt x="347" y="451"/>
                  </a:moveTo>
                  <a:lnTo>
                    <a:pt x="3" y="451"/>
                  </a:lnTo>
                  <a:lnTo>
                    <a:pt x="0" y="448"/>
                  </a:lnTo>
                  <a:lnTo>
                    <a:pt x="0" y="442"/>
                  </a:lnTo>
                  <a:lnTo>
                    <a:pt x="0" y="441"/>
                  </a:lnTo>
                  <a:lnTo>
                    <a:pt x="154" y="72"/>
                  </a:lnTo>
                  <a:lnTo>
                    <a:pt x="195" y="25"/>
                  </a:lnTo>
                  <a:lnTo>
                    <a:pt x="254" y="2"/>
                  </a:lnTo>
                  <a:lnTo>
                    <a:pt x="1027" y="0"/>
                  </a:lnTo>
                  <a:lnTo>
                    <a:pt x="1031" y="0"/>
                  </a:lnTo>
                  <a:lnTo>
                    <a:pt x="1035" y="3"/>
                  </a:lnTo>
                  <a:lnTo>
                    <a:pt x="1035" y="9"/>
                  </a:lnTo>
                  <a:lnTo>
                    <a:pt x="1035" y="10"/>
                  </a:lnTo>
                  <a:lnTo>
                    <a:pt x="1008" y="74"/>
                  </a:lnTo>
                  <a:lnTo>
                    <a:pt x="1007" y="77"/>
                  </a:lnTo>
                  <a:lnTo>
                    <a:pt x="1004" y="79"/>
                  </a:lnTo>
                  <a:lnTo>
                    <a:pt x="320" y="80"/>
                  </a:lnTo>
                  <a:lnTo>
                    <a:pt x="297" y="84"/>
                  </a:lnTo>
                  <a:lnTo>
                    <a:pt x="243" y="113"/>
                  </a:lnTo>
                  <a:lnTo>
                    <a:pt x="208" y="177"/>
                  </a:lnTo>
                  <a:lnTo>
                    <a:pt x="204" y="213"/>
                  </a:lnTo>
                  <a:lnTo>
                    <a:pt x="206" y="231"/>
                  </a:lnTo>
                  <a:lnTo>
                    <a:pt x="238" y="293"/>
                  </a:lnTo>
                  <a:lnTo>
                    <a:pt x="368" y="416"/>
                  </a:lnTo>
                  <a:lnTo>
                    <a:pt x="372" y="433"/>
                  </a:lnTo>
                  <a:lnTo>
                    <a:pt x="364" y="446"/>
                  </a:lnTo>
                  <a:lnTo>
                    <a:pt x="347" y="45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0CD03098-F99F-F920-850C-B8FDC8D7E4E8}"/>
              </a:ext>
            </a:extLst>
          </xdr:cNvPr>
          <xdr:cNvGrpSpPr>
            <a:grpSpLocks/>
          </xdr:cNvGrpSpPr>
        </xdr:nvGrpSpPr>
        <xdr:grpSpPr bwMode="auto">
          <a:xfrm>
            <a:off x="1554" y="335"/>
            <a:ext cx="299" cy="370"/>
            <a:chOff x="1554" y="335"/>
            <a:chExt cx="299" cy="370"/>
          </a:xfrm>
        </xdr:grpSpPr>
        <xdr:sp macro="" textlink="">
          <xdr:nvSpPr>
            <xdr:cNvPr id="71" name="Freeform 4882">
              <a:extLst>
                <a:ext uri="{FF2B5EF4-FFF2-40B4-BE49-F238E27FC236}">
                  <a16:creationId xmlns:a16="http://schemas.microsoft.com/office/drawing/2014/main" id="{6A513721-FFD0-3DA6-E561-231EB43CFE76}"/>
                </a:ext>
              </a:extLst>
            </xdr:cNvPr>
            <xdr:cNvSpPr>
              <a:spLocks/>
            </xdr:cNvSpPr>
          </xdr:nvSpPr>
          <xdr:spPr bwMode="auto">
            <a:xfrm>
              <a:off x="1554" y="335"/>
              <a:ext cx="299" cy="370"/>
            </a:xfrm>
            <a:custGeom>
              <a:avLst/>
              <a:gdLst>
                <a:gd name="T0" fmla="+- 0 1557 1554"/>
                <a:gd name="T1" fmla="*/ T0 w 299"/>
                <a:gd name="T2" fmla="+- 0 705 335"/>
                <a:gd name="T3" fmla="*/ 705 h 370"/>
                <a:gd name="T4" fmla="+- 0 1554 1554"/>
                <a:gd name="T5" fmla="*/ T4 w 299"/>
                <a:gd name="T6" fmla="+- 0 701 335"/>
                <a:gd name="T7" fmla="*/ 701 h 370"/>
                <a:gd name="T8" fmla="+- 0 1554 1554"/>
                <a:gd name="T9" fmla="*/ T8 w 299"/>
                <a:gd name="T10" fmla="+- 0 696 335"/>
                <a:gd name="T11" fmla="*/ 696 h 370"/>
                <a:gd name="T12" fmla="+- 0 1554 1554"/>
                <a:gd name="T13" fmla="*/ T12 w 299"/>
                <a:gd name="T14" fmla="+- 0 694 335"/>
                <a:gd name="T15" fmla="*/ 694 h 370"/>
                <a:gd name="T16" fmla="+- 0 1555 1554"/>
                <a:gd name="T17" fmla="*/ T16 w 299"/>
                <a:gd name="T18" fmla="+- 0 693 335"/>
                <a:gd name="T19" fmla="*/ 693 h 370"/>
                <a:gd name="T20" fmla="+- 0 1701 1554"/>
                <a:gd name="T21" fmla="*/ T20 w 299"/>
                <a:gd name="T22" fmla="+- 0 340 335"/>
                <a:gd name="T23" fmla="*/ 340 h 370"/>
                <a:gd name="T24" fmla="+- 0 1708 1554"/>
                <a:gd name="T25" fmla="*/ T24 w 299"/>
                <a:gd name="T26" fmla="+- 0 335 335"/>
                <a:gd name="T27" fmla="*/ 335 h 370"/>
                <a:gd name="T28" fmla="+- 0 1848 1554"/>
                <a:gd name="T29" fmla="*/ T28 w 299"/>
                <a:gd name="T30" fmla="+- 0 335 335"/>
                <a:gd name="T31" fmla="*/ 335 h 370"/>
                <a:gd name="T32" fmla="+- 0 1852 1554"/>
                <a:gd name="T33" fmla="*/ T32 w 299"/>
                <a:gd name="T34" fmla="+- 0 338 335"/>
                <a:gd name="T35" fmla="*/ 338 h 370"/>
                <a:gd name="T36" fmla="+- 0 1852 1554"/>
                <a:gd name="T37" fmla="*/ T36 w 299"/>
                <a:gd name="T38" fmla="+- 0 340 335"/>
                <a:gd name="T39" fmla="*/ 340 h 370"/>
                <a:gd name="T40" fmla="+- 0 1852 1554"/>
                <a:gd name="T41" fmla="*/ T40 w 299"/>
                <a:gd name="T42" fmla="+- 0 344 335"/>
                <a:gd name="T43" fmla="*/ 344 h 370"/>
                <a:gd name="T44" fmla="+- 0 1852 1554"/>
                <a:gd name="T45" fmla="*/ T44 w 299"/>
                <a:gd name="T46" fmla="+- 0 345 335"/>
                <a:gd name="T47" fmla="*/ 345 h 370"/>
                <a:gd name="T48" fmla="+- 0 1851 1554"/>
                <a:gd name="T49" fmla="*/ T48 w 299"/>
                <a:gd name="T50" fmla="+- 0 345 335"/>
                <a:gd name="T51" fmla="*/ 345 h 370"/>
                <a:gd name="T52" fmla="+- 0 1738 1554"/>
                <a:gd name="T53" fmla="*/ T52 w 299"/>
                <a:gd name="T54" fmla="+- 0 620 335"/>
                <a:gd name="T55" fmla="*/ 620 h 370"/>
                <a:gd name="T56" fmla="+- 0 1731 1554"/>
                <a:gd name="T57" fmla="*/ T56 w 299"/>
                <a:gd name="T58" fmla="+- 0 633 335"/>
                <a:gd name="T59" fmla="*/ 633 h 370"/>
                <a:gd name="T60" fmla="+- 0 1690 1554"/>
                <a:gd name="T61" fmla="*/ T60 w 299"/>
                <a:gd name="T62" fmla="+- 0 679 335"/>
                <a:gd name="T63" fmla="*/ 679 h 370"/>
                <a:gd name="T64" fmla="+- 0 1631 1554"/>
                <a:gd name="T65" fmla="*/ T64 w 299"/>
                <a:gd name="T66" fmla="+- 0 703 335"/>
                <a:gd name="T67" fmla="*/ 703 h 370"/>
                <a:gd name="T68" fmla="+- 0 1609 1554"/>
                <a:gd name="T69" fmla="*/ T68 w 299"/>
                <a:gd name="T70" fmla="+- 0 705 335"/>
                <a:gd name="T71" fmla="*/ 705 h 370"/>
                <a:gd name="T72" fmla="+- 0 1557 1554"/>
                <a:gd name="T73" fmla="*/ T72 w 299"/>
                <a:gd name="T74" fmla="+- 0 705 335"/>
                <a:gd name="T75" fmla="*/ 705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</a:cxnLst>
              <a:rect l="0" t="0" r="r" b="b"/>
              <a:pathLst>
                <a:path w="299" h="370">
                  <a:moveTo>
                    <a:pt x="3" y="370"/>
                  </a:moveTo>
                  <a:lnTo>
                    <a:pt x="0" y="366"/>
                  </a:lnTo>
                  <a:lnTo>
                    <a:pt x="0" y="361"/>
                  </a:lnTo>
                  <a:lnTo>
                    <a:pt x="0" y="359"/>
                  </a:lnTo>
                  <a:lnTo>
                    <a:pt x="1" y="358"/>
                  </a:lnTo>
                  <a:lnTo>
                    <a:pt x="147" y="5"/>
                  </a:lnTo>
                  <a:lnTo>
                    <a:pt x="154" y="0"/>
                  </a:lnTo>
                  <a:lnTo>
                    <a:pt x="294" y="0"/>
                  </a:lnTo>
                  <a:lnTo>
                    <a:pt x="298" y="3"/>
                  </a:lnTo>
                  <a:lnTo>
                    <a:pt x="298" y="5"/>
                  </a:lnTo>
                  <a:lnTo>
                    <a:pt x="298" y="9"/>
                  </a:lnTo>
                  <a:lnTo>
                    <a:pt x="298" y="10"/>
                  </a:lnTo>
                  <a:lnTo>
                    <a:pt x="297" y="10"/>
                  </a:lnTo>
                  <a:lnTo>
                    <a:pt x="184" y="285"/>
                  </a:lnTo>
                  <a:lnTo>
                    <a:pt x="177" y="298"/>
                  </a:lnTo>
                  <a:lnTo>
                    <a:pt x="136" y="344"/>
                  </a:lnTo>
                  <a:lnTo>
                    <a:pt x="77" y="368"/>
                  </a:lnTo>
                  <a:lnTo>
                    <a:pt x="55" y="370"/>
                  </a:lnTo>
                  <a:lnTo>
                    <a:pt x="3" y="3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2" name="Freeform 4881">
              <a:extLst>
                <a:ext uri="{FF2B5EF4-FFF2-40B4-BE49-F238E27FC236}">
                  <a16:creationId xmlns:a16="http://schemas.microsoft.com/office/drawing/2014/main" id="{A31F0A43-B1C6-EF48-7986-4638ACAEDF64}"/>
                </a:ext>
              </a:extLst>
            </xdr:cNvPr>
            <xdr:cNvSpPr>
              <a:spLocks/>
            </xdr:cNvSpPr>
          </xdr:nvSpPr>
          <xdr:spPr bwMode="auto">
            <a:xfrm>
              <a:off x="1554" y="335"/>
              <a:ext cx="299" cy="370"/>
            </a:xfrm>
            <a:custGeom>
              <a:avLst/>
              <a:gdLst>
                <a:gd name="T0" fmla="+- 0 1738 1554"/>
                <a:gd name="T1" fmla="*/ T0 w 299"/>
                <a:gd name="T2" fmla="+- 0 620 335"/>
                <a:gd name="T3" fmla="*/ 620 h 370"/>
                <a:gd name="T4" fmla="+- 0 1738 1554"/>
                <a:gd name="T5" fmla="*/ T4 w 299"/>
                <a:gd name="T6" fmla="+- 0 620 335"/>
                <a:gd name="T7" fmla="*/ 620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299" h="370">
                  <a:moveTo>
                    <a:pt x="184" y="285"/>
                  </a:moveTo>
                  <a:lnTo>
                    <a:pt x="184" y="28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4E4EA2AF-D469-BA32-C25C-618AF0C2C614}"/>
              </a:ext>
            </a:extLst>
          </xdr:cNvPr>
          <xdr:cNvGrpSpPr>
            <a:grpSpLocks/>
          </xdr:cNvGrpSpPr>
        </xdr:nvGrpSpPr>
        <xdr:grpSpPr bwMode="auto">
          <a:xfrm>
            <a:off x="1200" y="335"/>
            <a:ext cx="394" cy="370"/>
            <a:chOff x="1200" y="335"/>
            <a:chExt cx="394" cy="370"/>
          </a:xfrm>
        </xdr:grpSpPr>
        <xdr:sp macro="" textlink="">
          <xdr:nvSpPr>
            <xdr:cNvPr id="70" name="Freeform 4879">
              <a:extLst>
                <a:ext uri="{FF2B5EF4-FFF2-40B4-BE49-F238E27FC236}">
                  <a16:creationId xmlns:a16="http://schemas.microsoft.com/office/drawing/2014/main" id="{8666031E-68DF-67DB-4C89-78B27BD1AC3A}"/>
                </a:ext>
              </a:extLst>
            </xdr:cNvPr>
            <xdr:cNvSpPr>
              <a:spLocks/>
            </xdr:cNvSpPr>
          </xdr:nvSpPr>
          <xdr:spPr bwMode="auto">
            <a:xfrm>
              <a:off x="1200" y="335"/>
              <a:ext cx="394" cy="370"/>
            </a:xfrm>
            <a:custGeom>
              <a:avLst/>
              <a:gdLst>
                <a:gd name="T0" fmla="+- 0 1439 1200"/>
                <a:gd name="T1" fmla="*/ T0 w 394"/>
                <a:gd name="T2" fmla="+- 0 705 335"/>
                <a:gd name="T3" fmla="*/ 705 h 370"/>
                <a:gd name="T4" fmla="+- 0 1290 1200"/>
                <a:gd name="T5" fmla="*/ T4 w 394"/>
                <a:gd name="T6" fmla="+- 0 705 335"/>
                <a:gd name="T7" fmla="*/ 705 h 370"/>
                <a:gd name="T8" fmla="+- 0 1289 1200"/>
                <a:gd name="T9" fmla="*/ T8 w 394"/>
                <a:gd name="T10" fmla="+- 0 704 335"/>
                <a:gd name="T11" fmla="*/ 704 h 370"/>
                <a:gd name="T12" fmla="+- 0 1289 1200"/>
                <a:gd name="T13" fmla="*/ T12 w 394"/>
                <a:gd name="T14" fmla="+- 0 702 335"/>
                <a:gd name="T15" fmla="*/ 702 h 370"/>
                <a:gd name="T16" fmla="+- 0 1290 1200"/>
                <a:gd name="T17" fmla="*/ T16 w 394"/>
                <a:gd name="T18" fmla="+- 0 701 335"/>
                <a:gd name="T19" fmla="*/ 701 h 370"/>
                <a:gd name="T20" fmla="+- 0 1298 1200"/>
                <a:gd name="T21" fmla="*/ T20 w 394"/>
                <a:gd name="T22" fmla="+- 0 697 335"/>
                <a:gd name="T23" fmla="*/ 697 h 370"/>
                <a:gd name="T24" fmla="+- 0 1312 1200"/>
                <a:gd name="T25" fmla="*/ T24 w 394"/>
                <a:gd name="T26" fmla="+- 0 688 335"/>
                <a:gd name="T27" fmla="*/ 688 h 370"/>
                <a:gd name="T28" fmla="+- 0 1351 1200"/>
                <a:gd name="T29" fmla="*/ T28 w 394"/>
                <a:gd name="T30" fmla="+- 0 641 335"/>
                <a:gd name="T31" fmla="*/ 641 h 370"/>
                <a:gd name="T32" fmla="+- 0 1366 1200"/>
                <a:gd name="T33" fmla="*/ T32 w 394"/>
                <a:gd name="T34" fmla="+- 0 593 335"/>
                <a:gd name="T35" fmla="*/ 593 h 370"/>
                <a:gd name="T36" fmla="+- 0 1366 1200"/>
                <a:gd name="T37" fmla="*/ T36 w 394"/>
                <a:gd name="T38" fmla="+- 0 564 335"/>
                <a:gd name="T39" fmla="*/ 564 h 370"/>
                <a:gd name="T40" fmla="+- 0 1339 1200"/>
                <a:gd name="T41" fmla="*/ T40 w 394"/>
                <a:gd name="T42" fmla="+- 0 503 335"/>
                <a:gd name="T43" fmla="*/ 503 h 370"/>
                <a:gd name="T44" fmla="+- 0 1201 1200"/>
                <a:gd name="T45" fmla="*/ T44 w 394"/>
                <a:gd name="T46" fmla="+- 0 368 335"/>
                <a:gd name="T47" fmla="*/ 368 h 370"/>
                <a:gd name="T48" fmla="+- 0 1200 1200"/>
                <a:gd name="T49" fmla="*/ T48 w 394"/>
                <a:gd name="T50" fmla="+- 0 352 335"/>
                <a:gd name="T51" fmla="*/ 352 h 370"/>
                <a:gd name="T52" fmla="+- 0 1209 1200"/>
                <a:gd name="T53" fmla="*/ T52 w 394"/>
                <a:gd name="T54" fmla="+- 0 340 335"/>
                <a:gd name="T55" fmla="*/ 340 h 370"/>
                <a:gd name="T56" fmla="+- 0 1224 1200"/>
                <a:gd name="T57" fmla="*/ T56 w 394"/>
                <a:gd name="T58" fmla="+- 0 335 335"/>
                <a:gd name="T59" fmla="*/ 335 h 370"/>
                <a:gd name="T60" fmla="+- 0 1590 1200"/>
                <a:gd name="T61" fmla="*/ T60 w 394"/>
                <a:gd name="T62" fmla="+- 0 335 335"/>
                <a:gd name="T63" fmla="*/ 335 h 370"/>
                <a:gd name="T64" fmla="+- 0 1593 1200"/>
                <a:gd name="T65" fmla="*/ T64 w 394"/>
                <a:gd name="T66" fmla="+- 0 338 335"/>
                <a:gd name="T67" fmla="*/ 338 h 370"/>
                <a:gd name="T68" fmla="+- 0 1593 1200"/>
                <a:gd name="T69" fmla="*/ T68 w 394"/>
                <a:gd name="T70" fmla="+- 0 344 335"/>
                <a:gd name="T71" fmla="*/ 344 h 370"/>
                <a:gd name="T72" fmla="+- 0 1593 1200"/>
                <a:gd name="T73" fmla="*/ T72 w 394"/>
                <a:gd name="T74" fmla="+- 0 345 335"/>
                <a:gd name="T75" fmla="*/ 345 h 370"/>
                <a:gd name="T76" fmla="+- 0 1593 1200"/>
                <a:gd name="T77" fmla="*/ T76 w 394"/>
                <a:gd name="T78" fmla="+- 0 345 335"/>
                <a:gd name="T79" fmla="*/ 345 h 370"/>
                <a:gd name="T80" fmla="+- 0 1446 1200"/>
                <a:gd name="T81" fmla="*/ T80 w 394"/>
                <a:gd name="T82" fmla="+- 0 700 335"/>
                <a:gd name="T83" fmla="*/ 700 h 370"/>
                <a:gd name="T84" fmla="+- 0 1439 1200"/>
                <a:gd name="T85" fmla="*/ T84 w 394"/>
                <a:gd name="T86" fmla="+- 0 705 335"/>
                <a:gd name="T87" fmla="*/ 705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</a:cxnLst>
              <a:rect l="0" t="0" r="r" b="b"/>
              <a:pathLst>
                <a:path w="394" h="370">
                  <a:moveTo>
                    <a:pt x="239" y="370"/>
                  </a:moveTo>
                  <a:lnTo>
                    <a:pt x="90" y="370"/>
                  </a:lnTo>
                  <a:lnTo>
                    <a:pt x="89" y="369"/>
                  </a:lnTo>
                  <a:lnTo>
                    <a:pt x="89" y="367"/>
                  </a:lnTo>
                  <a:lnTo>
                    <a:pt x="90" y="366"/>
                  </a:lnTo>
                  <a:lnTo>
                    <a:pt x="98" y="362"/>
                  </a:lnTo>
                  <a:lnTo>
                    <a:pt x="112" y="353"/>
                  </a:lnTo>
                  <a:lnTo>
                    <a:pt x="151" y="306"/>
                  </a:lnTo>
                  <a:lnTo>
                    <a:pt x="166" y="258"/>
                  </a:lnTo>
                  <a:lnTo>
                    <a:pt x="166" y="229"/>
                  </a:lnTo>
                  <a:lnTo>
                    <a:pt x="139" y="168"/>
                  </a:lnTo>
                  <a:lnTo>
                    <a:pt x="1" y="33"/>
                  </a:lnTo>
                  <a:lnTo>
                    <a:pt x="0" y="17"/>
                  </a:lnTo>
                  <a:lnTo>
                    <a:pt x="9" y="5"/>
                  </a:lnTo>
                  <a:lnTo>
                    <a:pt x="24" y="0"/>
                  </a:lnTo>
                  <a:lnTo>
                    <a:pt x="390" y="0"/>
                  </a:lnTo>
                  <a:lnTo>
                    <a:pt x="393" y="3"/>
                  </a:lnTo>
                  <a:lnTo>
                    <a:pt x="393" y="9"/>
                  </a:lnTo>
                  <a:lnTo>
                    <a:pt x="393" y="10"/>
                  </a:lnTo>
                  <a:lnTo>
                    <a:pt x="246" y="365"/>
                  </a:lnTo>
                  <a:lnTo>
                    <a:pt x="239" y="3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42F93EFC-A0F5-0606-5DED-8AE0AC60BE34}"/>
              </a:ext>
            </a:extLst>
          </xdr:cNvPr>
          <xdr:cNvGrpSpPr>
            <a:grpSpLocks/>
          </xdr:cNvGrpSpPr>
        </xdr:nvGrpSpPr>
        <xdr:grpSpPr bwMode="auto">
          <a:xfrm>
            <a:off x="1986" y="492"/>
            <a:ext cx="11" cy="16"/>
            <a:chOff x="1986" y="492"/>
            <a:chExt cx="11" cy="16"/>
          </a:xfrm>
        </xdr:grpSpPr>
        <xdr:sp macro="" textlink="">
          <xdr:nvSpPr>
            <xdr:cNvPr id="69" name="Freeform 4877">
              <a:extLst>
                <a:ext uri="{FF2B5EF4-FFF2-40B4-BE49-F238E27FC236}">
                  <a16:creationId xmlns:a16="http://schemas.microsoft.com/office/drawing/2014/main" id="{AFD09F3F-FEFB-02C0-E23F-223BC57432C2}"/>
                </a:ext>
              </a:extLst>
            </xdr:cNvPr>
            <xdr:cNvSpPr>
              <a:spLocks/>
            </xdr:cNvSpPr>
          </xdr:nvSpPr>
          <xdr:spPr bwMode="auto">
            <a:xfrm>
              <a:off x="1986" y="492"/>
              <a:ext cx="11" cy="16"/>
            </a:xfrm>
            <a:custGeom>
              <a:avLst/>
              <a:gdLst>
                <a:gd name="T0" fmla="+- 0 1986 1986"/>
                <a:gd name="T1" fmla="*/ T0 w 11"/>
                <a:gd name="T2" fmla="+- 0 500 492"/>
                <a:gd name="T3" fmla="*/ 500 h 16"/>
                <a:gd name="T4" fmla="+- 0 1997 1986"/>
                <a:gd name="T5" fmla="*/ T4 w 11"/>
                <a:gd name="T6" fmla="+- 0 500 492"/>
                <a:gd name="T7" fmla="*/ 500 h 1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11" h="16">
                  <a:moveTo>
                    <a:pt x="0" y="8"/>
                  </a:moveTo>
                  <a:lnTo>
                    <a:pt x="11" y="8"/>
                  </a:lnTo>
                </a:path>
              </a:pathLst>
            </a:custGeom>
            <a:noFill/>
            <a:ln w="11238">
              <a:solidFill>
                <a:srgbClr val="001E4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D20FC711-2A6F-ED6F-E256-D81AB8E7F1E1}"/>
              </a:ext>
            </a:extLst>
          </xdr:cNvPr>
          <xdr:cNvGrpSpPr>
            <a:grpSpLocks/>
          </xdr:cNvGrpSpPr>
        </xdr:nvGrpSpPr>
        <xdr:grpSpPr bwMode="auto">
          <a:xfrm>
            <a:off x="1927" y="495"/>
            <a:ext cx="36" cy="106"/>
            <a:chOff x="1927" y="495"/>
            <a:chExt cx="36" cy="106"/>
          </a:xfrm>
        </xdr:grpSpPr>
        <xdr:sp macro="" textlink="">
          <xdr:nvSpPr>
            <xdr:cNvPr id="67" name="Freeform 4875">
              <a:extLst>
                <a:ext uri="{FF2B5EF4-FFF2-40B4-BE49-F238E27FC236}">
                  <a16:creationId xmlns:a16="http://schemas.microsoft.com/office/drawing/2014/main" id="{8B269F17-E09E-F296-3A21-4DD3253ABC88}"/>
                </a:ext>
              </a:extLst>
            </xdr:cNvPr>
            <xdr:cNvSpPr>
              <a:spLocks/>
            </xdr:cNvSpPr>
          </xdr:nvSpPr>
          <xdr:spPr bwMode="auto">
            <a:xfrm>
              <a:off x="1927" y="495"/>
              <a:ext cx="36" cy="106"/>
            </a:xfrm>
            <a:custGeom>
              <a:avLst/>
              <a:gdLst>
                <a:gd name="T0" fmla="+- 0 1951 1927"/>
                <a:gd name="T1" fmla="*/ T0 w 36"/>
                <a:gd name="T2" fmla="+- 0 591 495"/>
                <a:gd name="T3" fmla="*/ 591 h 106"/>
                <a:gd name="T4" fmla="+- 0 1940 1927"/>
                <a:gd name="T5" fmla="*/ T4 w 36"/>
                <a:gd name="T6" fmla="+- 0 591 495"/>
                <a:gd name="T7" fmla="*/ 591 h 106"/>
                <a:gd name="T8" fmla="+- 0 1940 1927"/>
                <a:gd name="T9" fmla="*/ T8 w 36"/>
                <a:gd name="T10" fmla="+- 0 505 495"/>
                <a:gd name="T11" fmla="*/ 505 h 106"/>
                <a:gd name="T12" fmla="+- 0 1928 1927"/>
                <a:gd name="T13" fmla="*/ T12 w 36"/>
                <a:gd name="T14" fmla="+- 0 505 495"/>
                <a:gd name="T15" fmla="*/ 505 h 106"/>
                <a:gd name="T16" fmla="+- 0 1928 1927"/>
                <a:gd name="T17" fmla="*/ T16 w 36"/>
                <a:gd name="T18" fmla="+- 0 495 495"/>
                <a:gd name="T19" fmla="*/ 495 h 106"/>
                <a:gd name="T20" fmla="+- 0 1951 1927"/>
                <a:gd name="T21" fmla="*/ T20 w 36"/>
                <a:gd name="T22" fmla="+- 0 495 495"/>
                <a:gd name="T23" fmla="*/ 495 h 106"/>
                <a:gd name="T24" fmla="+- 0 1951 1927"/>
                <a:gd name="T25" fmla="*/ T24 w 36"/>
                <a:gd name="T26" fmla="+- 0 591 495"/>
                <a:gd name="T27" fmla="*/ 591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6" h="106">
                  <a:moveTo>
                    <a:pt x="24" y="96"/>
                  </a:moveTo>
                  <a:lnTo>
                    <a:pt x="13" y="96"/>
                  </a:lnTo>
                  <a:lnTo>
                    <a:pt x="13" y="10"/>
                  </a:lnTo>
                  <a:lnTo>
                    <a:pt x="1" y="10"/>
                  </a:lnTo>
                  <a:lnTo>
                    <a:pt x="1" y="0"/>
                  </a:lnTo>
                  <a:lnTo>
                    <a:pt x="24" y="0"/>
                  </a:lnTo>
                  <a:lnTo>
                    <a:pt x="24" y="9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8" name="Freeform 4874">
              <a:extLst>
                <a:ext uri="{FF2B5EF4-FFF2-40B4-BE49-F238E27FC236}">
                  <a16:creationId xmlns:a16="http://schemas.microsoft.com/office/drawing/2014/main" id="{B902B813-9464-FA10-CB20-15DE1ED546AD}"/>
                </a:ext>
              </a:extLst>
            </xdr:cNvPr>
            <xdr:cNvSpPr>
              <a:spLocks/>
            </xdr:cNvSpPr>
          </xdr:nvSpPr>
          <xdr:spPr bwMode="auto">
            <a:xfrm>
              <a:off x="1927" y="495"/>
              <a:ext cx="36" cy="106"/>
            </a:xfrm>
            <a:custGeom>
              <a:avLst/>
              <a:gdLst>
                <a:gd name="T0" fmla="+- 0 1963 1927"/>
                <a:gd name="T1" fmla="*/ T0 w 36"/>
                <a:gd name="T2" fmla="+- 0 600 495"/>
                <a:gd name="T3" fmla="*/ 600 h 106"/>
                <a:gd name="T4" fmla="+- 0 1927 1927"/>
                <a:gd name="T5" fmla="*/ T4 w 36"/>
                <a:gd name="T6" fmla="+- 0 600 495"/>
                <a:gd name="T7" fmla="*/ 600 h 106"/>
                <a:gd name="T8" fmla="+- 0 1927 1927"/>
                <a:gd name="T9" fmla="*/ T8 w 36"/>
                <a:gd name="T10" fmla="+- 0 591 495"/>
                <a:gd name="T11" fmla="*/ 591 h 106"/>
                <a:gd name="T12" fmla="+- 0 1963 1927"/>
                <a:gd name="T13" fmla="*/ T12 w 36"/>
                <a:gd name="T14" fmla="+- 0 591 495"/>
                <a:gd name="T15" fmla="*/ 591 h 106"/>
                <a:gd name="T16" fmla="+- 0 1963 1927"/>
                <a:gd name="T17" fmla="*/ T16 w 36"/>
                <a:gd name="T18" fmla="+- 0 600 495"/>
                <a:gd name="T19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6" h="106">
                  <a:moveTo>
                    <a:pt x="36" y="105"/>
                  </a:moveTo>
                  <a:lnTo>
                    <a:pt x="0" y="105"/>
                  </a:lnTo>
                  <a:lnTo>
                    <a:pt x="0" y="96"/>
                  </a:lnTo>
                  <a:lnTo>
                    <a:pt x="36" y="96"/>
                  </a:lnTo>
                  <a:lnTo>
                    <a:pt x="36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D590B168-1CB9-B860-D5F3-162EB59AA37B}"/>
              </a:ext>
            </a:extLst>
          </xdr:cNvPr>
          <xdr:cNvGrpSpPr>
            <a:grpSpLocks/>
          </xdr:cNvGrpSpPr>
        </xdr:nvGrpSpPr>
        <xdr:grpSpPr bwMode="auto">
          <a:xfrm>
            <a:off x="1976" y="522"/>
            <a:ext cx="36" cy="79"/>
            <a:chOff x="1976" y="522"/>
            <a:chExt cx="36" cy="79"/>
          </a:xfrm>
        </xdr:grpSpPr>
        <xdr:sp macro="" textlink="">
          <xdr:nvSpPr>
            <xdr:cNvPr id="65" name="Freeform 4872">
              <a:extLst>
                <a:ext uri="{FF2B5EF4-FFF2-40B4-BE49-F238E27FC236}">
                  <a16:creationId xmlns:a16="http://schemas.microsoft.com/office/drawing/2014/main" id="{D6C7E106-F84E-62E0-4394-8242CE019490}"/>
                </a:ext>
              </a:extLst>
            </xdr:cNvPr>
            <xdr:cNvSpPr>
              <a:spLocks/>
            </xdr:cNvSpPr>
          </xdr:nvSpPr>
          <xdr:spPr bwMode="auto">
            <a:xfrm>
              <a:off x="1976" y="522"/>
              <a:ext cx="36" cy="79"/>
            </a:xfrm>
            <a:custGeom>
              <a:avLst/>
              <a:gdLst>
                <a:gd name="T0" fmla="+- 0 1999 1976"/>
                <a:gd name="T1" fmla="*/ T0 w 36"/>
                <a:gd name="T2" fmla="+- 0 591 522"/>
                <a:gd name="T3" fmla="*/ 591 h 79"/>
                <a:gd name="T4" fmla="+- 0 1989 1976"/>
                <a:gd name="T5" fmla="*/ T4 w 36"/>
                <a:gd name="T6" fmla="+- 0 591 522"/>
                <a:gd name="T7" fmla="*/ 591 h 79"/>
                <a:gd name="T8" fmla="+- 0 1989 1976"/>
                <a:gd name="T9" fmla="*/ T8 w 36"/>
                <a:gd name="T10" fmla="+- 0 532 522"/>
                <a:gd name="T11" fmla="*/ 532 h 79"/>
                <a:gd name="T12" fmla="+- 0 1976 1976"/>
                <a:gd name="T13" fmla="*/ T12 w 36"/>
                <a:gd name="T14" fmla="+- 0 532 522"/>
                <a:gd name="T15" fmla="*/ 532 h 79"/>
                <a:gd name="T16" fmla="+- 0 1976 1976"/>
                <a:gd name="T17" fmla="*/ T16 w 36"/>
                <a:gd name="T18" fmla="+- 0 522 522"/>
                <a:gd name="T19" fmla="*/ 522 h 79"/>
                <a:gd name="T20" fmla="+- 0 1999 1976"/>
                <a:gd name="T21" fmla="*/ T20 w 36"/>
                <a:gd name="T22" fmla="+- 0 522 522"/>
                <a:gd name="T23" fmla="*/ 522 h 79"/>
                <a:gd name="T24" fmla="+- 0 1999 1976"/>
                <a:gd name="T25" fmla="*/ T24 w 36"/>
                <a:gd name="T26" fmla="+- 0 591 522"/>
                <a:gd name="T27" fmla="*/ 591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6" h="79">
                  <a:moveTo>
                    <a:pt x="23" y="69"/>
                  </a:moveTo>
                  <a:lnTo>
                    <a:pt x="13" y="69"/>
                  </a:lnTo>
                  <a:lnTo>
                    <a:pt x="13" y="10"/>
                  </a:lnTo>
                  <a:lnTo>
                    <a:pt x="0" y="10"/>
                  </a:lnTo>
                  <a:lnTo>
                    <a:pt x="0" y="0"/>
                  </a:lnTo>
                  <a:lnTo>
                    <a:pt x="23" y="0"/>
                  </a:lnTo>
                  <a:lnTo>
                    <a:pt x="23" y="6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6" name="Freeform 4871">
              <a:extLst>
                <a:ext uri="{FF2B5EF4-FFF2-40B4-BE49-F238E27FC236}">
                  <a16:creationId xmlns:a16="http://schemas.microsoft.com/office/drawing/2014/main" id="{7B0E8285-BFE4-AD83-CCE7-BE9EFA4DB569}"/>
                </a:ext>
              </a:extLst>
            </xdr:cNvPr>
            <xdr:cNvSpPr>
              <a:spLocks/>
            </xdr:cNvSpPr>
          </xdr:nvSpPr>
          <xdr:spPr bwMode="auto">
            <a:xfrm>
              <a:off x="1976" y="522"/>
              <a:ext cx="36" cy="79"/>
            </a:xfrm>
            <a:custGeom>
              <a:avLst/>
              <a:gdLst>
                <a:gd name="T0" fmla="+- 0 2011 1976"/>
                <a:gd name="T1" fmla="*/ T0 w 36"/>
                <a:gd name="T2" fmla="+- 0 600 522"/>
                <a:gd name="T3" fmla="*/ 600 h 79"/>
                <a:gd name="T4" fmla="+- 0 1976 1976"/>
                <a:gd name="T5" fmla="*/ T4 w 36"/>
                <a:gd name="T6" fmla="+- 0 600 522"/>
                <a:gd name="T7" fmla="*/ 600 h 79"/>
                <a:gd name="T8" fmla="+- 0 1976 1976"/>
                <a:gd name="T9" fmla="*/ T8 w 36"/>
                <a:gd name="T10" fmla="+- 0 591 522"/>
                <a:gd name="T11" fmla="*/ 591 h 79"/>
                <a:gd name="T12" fmla="+- 0 2011 1976"/>
                <a:gd name="T13" fmla="*/ T12 w 36"/>
                <a:gd name="T14" fmla="+- 0 591 522"/>
                <a:gd name="T15" fmla="*/ 591 h 79"/>
                <a:gd name="T16" fmla="+- 0 2011 1976"/>
                <a:gd name="T17" fmla="*/ T16 w 36"/>
                <a:gd name="T18" fmla="+- 0 600 522"/>
                <a:gd name="T19" fmla="*/ 600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6" h="79">
                  <a:moveTo>
                    <a:pt x="35" y="78"/>
                  </a:moveTo>
                  <a:lnTo>
                    <a:pt x="0" y="78"/>
                  </a:lnTo>
                  <a:lnTo>
                    <a:pt x="0" y="69"/>
                  </a:lnTo>
                  <a:lnTo>
                    <a:pt x="35" y="69"/>
                  </a:lnTo>
                  <a:lnTo>
                    <a:pt x="35" y="7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AD3B5F4-2B49-460A-8FC3-A477389F1452}"/>
              </a:ext>
            </a:extLst>
          </xdr:cNvPr>
          <xdr:cNvGrpSpPr>
            <a:grpSpLocks/>
          </xdr:cNvGrpSpPr>
        </xdr:nvGrpSpPr>
        <xdr:grpSpPr bwMode="auto">
          <a:xfrm>
            <a:off x="2022" y="494"/>
            <a:ext cx="39" cy="107"/>
            <a:chOff x="2022" y="494"/>
            <a:chExt cx="39" cy="107"/>
          </a:xfrm>
        </xdr:grpSpPr>
        <xdr:sp macro="" textlink="">
          <xdr:nvSpPr>
            <xdr:cNvPr id="61" name="Freeform 4869">
              <a:extLst>
                <a:ext uri="{FF2B5EF4-FFF2-40B4-BE49-F238E27FC236}">
                  <a16:creationId xmlns:a16="http://schemas.microsoft.com/office/drawing/2014/main" id="{C231B0FA-59E6-2BA5-FE8A-993B1A2B4F95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45 2022"/>
                <a:gd name="T1" fmla="*/ T0 w 39"/>
                <a:gd name="T2" fmla="+- 0 522 494"/>
                <a:gd name="T3" fmla="*/ 522 h 107"/>
                <a:gd name="T4" fmla="+- 0 2035 2022"/>
                <a:gd name="T5" fmla="*/ T4 w 39"/>
                <a:gd name="T6" fmla="+- 0 522 494"/>
                <a:gd name="T7" fmla="*/ 522 h 107"/>
                <a:gd name="T8" fmla="+- 0 2035 2022"/>
                <a:gd name="T9" fmla="*/ T8 w 39"/>
                <a:gd name="T10" fmla="+- 0 521 494"/>
                <a:gd name="T11" fmla="*/ 521 h 107"/>
                <a:gd name="T12" fmla="+- 0 2035 2022"/>
                <a:gd name="T13" fmla="*/ T12 w 39"/>
                <a:gd name="T14" fmla="+- 0 513 494"/>
                <a:gd name="T15" fmla="*/ 513 h 107"/>
                <a:gd name="T16" fmla="+- 0 2035 2022"/>
                <a:gd name="T17" fmla="*/ T16 w 39"/>
                <a:gd name="T18" fmla="+- 0 506 494"/>
                <a:gd name="T19" fmla="*/ 506 h 107"/>
                <a:gd name="T20" fmla="+- 0 2042 2022"/>
                <a:gd name="T21" fmla="*/ T20 w 39"/>
                <a:gd name="T22" fmla="+- 0 500 494"/>
                <a:gd name="T23" fmla="*/ 500 h 107"/>
                <a:gd name="T24" fmla="+- 0 2046 2022"/>
                <a:gd name="T25" fmla="*/ T24 w 39"/>
                <a:gd name="T26" fmla="+- 0 496 494"/>
                <a:gd name="T27" fmla="*/ 496 h 107"/>
                <a:gd name="T28" fmla="+- 0 2052 2022"/>
                <a:gd name="T29" fmla="*/ T28 w 39"/>
                <a:gd name="T30" fmla="+- 0 494 494"/>
                <a:gd name="T31" fmla="*/ 494 h 107"/>
                <a:gd name="T32" fmla="+- 0 2061 2022"/>
                <a:gd name="T33" fmla="*/ T32 w 39"/>
                <a:gd name="T34" fmla="+- 0 494 494"/>
                <a:gd name="T35" fmla="*/ 494 h 107"/>
                <a:gd name="T36" fmla="+- 0 2061 2022"/>
                <a:gd name="T37" fmla="*/ T36 w 39"/>
                <a:gd name="T38" fmla="+- 0 503 494"/>
                <a:gd name="T39" fmla="*/ 503 h 107"/>
                <a:gd name="T40" fmla="+- 0 2056 2022"/>
                <a:gd name="T41" fmla="*/ T40 w 39"/>
                <a:gd name="T42" fmla="+- 0 503 494"/>
                <a:gd name="T43" fmla="*/ 503 h 107"/>
                <a:gd name="T44" fmla="+- 0 2053 2022"/>
                <a:gd name="T45" fmla="*/ T44 w 39"/>
                <a:gd name="T46" fmla="+- 0 505 494"/>
                <a:gd name="T47" fmla="*/ 505 h 107"/>
                <a:gd name="T48" fmla="+- 0 2050 2022"/>
                <a:gd name="T49" fmla="*/ T48 w 39"/>
                <a:gd name="T50" fmla="+- 0 507 494"/>
                <a:gd name="T51" fmla="*/ 507 h 107"/>
                <a:gd name="T52" fmla="+- 0 2045 2022"/>
                <a:gd name="T53" fmla="*/ T52 w 39"/>
                <a:gd name="T54" fmla="+- 0 510 494"/>
                <a:gd name="T55" fmla="*/ 510 h 107"/>
                <a:gd name="T56" fmla="+- 0 2045 2022"/>
                <a:gd name="T57" fmla="*/ T56 w 39"/>
                <a:gd name="T58" fmla="+- 0 515 494"/>
                <a:gd name="T59" fmla="*/ 515 h 107"/>
                <a:gd name="T60" fmla="+- 0 2045 2022"/>
                <a:gd name="T61" fmla="*/ T60 w 39"/>
                <a:gd name="T62" fmla="+- 0 521 494"/>
                <a:gd name="T63" fmla="*/ 521 h 107"/>
                <a:gd name="T64" fmla="+- 0 2045 2022"/>
                <a:gd name="T65" fmla="*/ T64 w 39"/>
                <a:gd name="T66" fmla="+- 0 522 494"/>
                <a:gd name="T67" fmla="*/ 522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39" h="107">
                  <a:moveTo>
                    <a:pt x="23" y="28"/>
                  </a:moveTo>
                  <a:lnTo>
                    <a:pt x="13" y="28"/>
                  </a:lnTo>
                  <a:lnTo>
                    <a:pt x="13" y="27"/>
                  </a:lnTo>
                  <a:lnTo>
                    <a:pt x="13" y="19"/>
                  </a:lnTo>
                  <a:lnTo>
                    <a:pt x="13" y="12"/>
                  </a:lnTo>
                  <a:lnTo>
                    <a:pt x="20" y="6"/>
                  </a:lnTo>
                  <a:lnTo>
                    <a:pt x="24" y="2"/>
                  </a:lnTo>
                  <a:lnTo>
                    <a:pt x="30" y="0"/>
                  </a:lnTo>
                  <a:lnTo>
                    <a:pt x="39" y="0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31" y="11"/>
                  </a:lnTo>
                  <a:lnTo>
                    <a:pt x="28" y="13"/>
                  </a:lnTo>
                  <a:lnTo>
                    <a:pt x="23" y="16"/>
                  </a:lnTo>
                  <a:lnTo>
                    <a:pt x="23" y="21"/>
                  </a:lnTo>
                  <a:lnTo>
                    <a:pt x="23" y="27"/>
                  </a:lnTo>
                  <a:lnTo>
                    <a:pt x="23" y="2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2" name="Freeform 4868">
              <a:extLst>
                <a:ext uri="{FF2B5EF4-FFF2-40B4-BE49-F238E27FC236}">
                  <a16:creationId xmlns:a16="http://schemas.microsoft.com/office/drawing/2014/main" id="{4F55DBE4-3D5A-AE1B-2AC9-B2BA20B9C82F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58 2022"/>
                <a:gd name="T1" fmla="*/ T0 w 39"/>
                <a:gd name="T2" fmla="+- 0 533 494"/>
                <a:gd name="T3" fmla="*/ 533 h 107"/>
                <a:gd name="T4" fmla="+- 0 2022 2022"/>
                <a:gd name="T5" fmla="*/ T4 w 39"/>
                <a:gd name="T6" fmla="+- 0 533 494"/>
                <a:gd name="T7" fmla="*/ 533 h 107"/>
                <a:gd name="T8" fmla="+- 0 2022 2022"/>
                <a:gd name="T9" fmla="*/ T8 w 39"/>
                <a:gd name="T10" fmla="+- 0 522 494"/>
                <a:gd name="T11" fmla="*/ 522 h 107"/>
                <a:gd name="T12" fmla="+- 0 2058 2022"/>
                <a:gd name="T13" fmla="*/ T12 w 39"/>
                <a:gd name="T14" fmla="+- 0 522 494"/>
                <a:gd name="T15" fmla="*/ 522 h 107"/>
                <a:gd name="T16" fmla="+- 0 2058 2022"/>
                <a:gd name="T17" fmla="*/ T16 w 39"/>
                <a:gd name="T18" fmla="+- 0 533 494"/>
                <a:gd name="T19" fmla="*/ 533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36" y="39"/>
                  </a:moveTo>
                  <a:lnTo>
                    <a:pt x="0" y="39"/>
                  </a:lnTo>
                  <a:lnTo>
                    <a:pt x="0" y="28"/>
                  </a:lnTo>
                  <a:lnTo>
                    <a:pt x="36" y="28"/>
                  </a:lnTo>
                  <a:lnTo>
                    <a:pt x="36" y="3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3" name="Freeform 4867">
              <a:extLst>
                <a:ext uri="{FF2B5EF4-FFF2-40B4-BE49-F238E27FC236}">
                  <a16:creationId xmlns:a16="http://schemas.microsoft.com/office/drawing/2014/main" id="{A17DF0EB-D382-0572-88A2-531073C101B5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45 2022"/>
                <a:gd name="T1" fmla="*/ T0 w 39"/>
                <a:gd name="T2" fmla="+- 0 591 494"/>
                <a:gd name="T3" fmla="*/ 591 h 107"/>
                <a:gd name="T4" fmla="+- 0 2035 2022"/>
                <a:gd name="T5" fmla="*/ T4 w 39"/>
                <a:gd name="T6" fmla="+- 0 591 494"/>
                <a:gd name="T7" fmla="*/ 591 h 107"/>
                <a:gd name="T8" fmla="+- 0 2035 2022"/>
                <a:gd name="T9" fmla="*/ T8 w 39"/>
                <a:gd name="T10" fmla="+- 0 533 494"/>
                <a:gd name="T11" fmla="*/ 533 h 107"/>
                <a:gd name="T12" fmla="+- 0 2045 2022"/>
                <a:gd name="T13" fmla="*/ T12 w 39"/>
                <a:gd name="T14" fmla="+- 0 533 494"/>
                <a:gd name="T15" fmla="*/ 533 h 107"/>
                <a:gd name="T16" fmla="+- 0 2045 2022"/>
                <a:gd name="T17" fmla="*/ T16 w 39"/>
                <a:gd name="T18" fmla="+- 0 591 494"/>
                <a:gd name="T19" fmla="*/ 591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23" y="97"/>
                  </a:moveTo>
                  <a:lnTo>
                    <a:pt x="13" y="97"/>
                  </a:lnTo>
                  <a:lnTo>
                    <a:pt x="13" y="39"/>
                  </a:lnTo>
                  <a:lnTo>
                    <a:pt x="23" y="39"/>
                  </a:lnTo>
                  <a:lnTo>
                    <a:pt x="23" y="9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4" name="Freeform 4866">
              <a:extLst>
                <a:ext uri="{FF2B5EF4-FFF2-40B4-BE49-F238E27FC236}">
                  <a16:creationId xmlns:a16="http://schemas.microsoft.com/office/drawing/2014/main" id="{C2D13FD7-6445-AE1C-9ADD-C1B5F2B47BD1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58 2022"/>
                <a:gd name="T1" fmla="*/ T0 w 39"/>
                <a:gd name="T2" fmla="+- 0 601 494"/>
                <a:gd name="T3" fmla="*/ 601 h 107"/>
                <a:gd name="T4" fmla="+- 0 2022 2022"/>
                <a:gd name="T5" fmla="*/ T4 w 39"/>
                <a:gd name="T6" fmla="+- 0 601 494"/>
                <a:gd name="T7" fmla="*/ 601 h 107"/>
                <a:gd name="T8" fmla="+- 0 2022 2022"/>
                <a:gd name="T9" fmla="*/ T8 w 39"/>
                <a:gd name="T10" fmla="+- 0 591 494"/>
                <a:gd name="T11" fmla="*/ 591 h 107"/>
                <a:gd name="T12" fmla="+- 0 2058 2022"/>
                <a:gd name="T13" fmla="*/ T12 w 39"/>
                <a:gd name="T14" fmla="+- 0 591 494"/>
                <a:gd name="T15" fmla="*/ 591 h 107"/>
                <a:gd name="T16" fmla="+- 0 2058 2022"/>
                <a:gd name="T17" fmla="*/ T16 w 39"/>
                <a:gd name="T18" fmla="+- 0 601 494"/>
                <a:gd name="T19" fmla="*/ 601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36" y="107"/>
                  </a:moveTo>
                  <a:lnTo>
                    <a:pt x="0" y="107"/>
                  </a:lnTo>
                  <a:lnTo>
                    <a:pt x="0" y="97"/>
                  </a:lnTo>
                  <a:lnTo>
                    <a:pt x="36" y="97"/>
                  </a:lnTo>
                  <a:lnTo>
                    <a:pt x="36" y="10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DAD2587D-6590-6256-AE7B-73C3F60349AB}"/>
              </a:ext>
            </a:extLst>
          </xdr:cNvPr>
          <xdr:cNvGrpSpPr>
            <a:grpSpLocks/>
          </xdr:cNvGrpSpPr>
        </xdr:nvGrpSpPr>
        <xdr:grpSpPr bwMode="auto">
          <a:xfrm>
            <a:off x="2076" y="522"/>
            <a:ext cx="76" cy="79"/>
            <a:chOff x="2076" y="522"/>
            <a:chExt cx="76" cy="79"/>
          </a:xfrm>
        </xdr:grpSpPr>
        <xdr:sp macro="" textlink="">
          <xdr:nvSpPr>
            <xdr:cNvPr id="58" name="Freeform 4864">
              <a:extLst>
                <a:ext uri="{FF2B5EF4-FFF2-40B4-BE49-F238E27FC236}">
                  <a16:creationId xmlns:a16="http://schemas.microsoft.com/office/drawing/2014/main" id="{21D73FF4-26EC-E26A-80D7-BA04DC01561B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01 2076"/>
                <a:gd name="T1" fmla="*/ T0 w 76"/>
                <a:gd name="T2" fmla="+- 0 601 522"/>
                <a:gd name="T3" fmla="*/ 601 h 79"/>
                <a:gd name="T4" fmla="+- 0 2087 2076"/>
                <a:gd name="T5" fmla="*/ T4 w 76"/>
                <a:gd name="T6" fmla="+- 0 591 522"/>
                <a:gd name="T7" fmla="*/ 591 h 79"/>
                <a:gd name="T8" fmla="+- 0 2078 2076"/>
                <a:gd name="T9" fmla="*/ T8 w 76"/>
                <a:gd name="T10" fmla="+- 0 573 522"/>
                <a:gd name="T11" fmla="*/ 573 h 79"/>
                <a:gd name="T12" fmla="+- 0 2076 2076"/>
                <a:gd name="T13" fmla="*/ T12 w 76"/>
                <a:gd name="T14" fmla="+- 0 545 522"/>
                <a:gd name="T15" fmla="*/ 545 h 79"/>
                <a:gd name="T16" fmla="+- 0 2091 2076"/>
                <a:gd name="T17" fmla="*/ T16 w 76"/>
                <a:gd name="T18" fmla="+- 0 529 522"/>
                <a:gd name="T19" fmla="*/ 529 h 79"/>
                <a:gd name="T20" fmla="+- 0 2112 2076"/>
                <a:gd name="T21" fmla="*/ T20 w 76"/>
                <a:gd name="T22" fmla="+- 0 522 522"/>
                <a:gd name="T23" fmla="*/ 522 h 79"/>
                <a:gd name="T24" fmla="+- 0 2130 2076"/>
                <a:gd name="T25" fmla="*/ T24 w 76"/>
                <a:gd name="T26" fmla="+- 0 527 522"/>
                <a:gd name="T27" fmla="*/ 527 h 79"/>
                <a:gd name="T28" fmla="+- 0 2136 2076"/>
                <a:gd name="T29" fmla="*/ T28 w 76"/>
                <a:gd name="T30" fmla="+- 0 532 522"/>
                <a:gd name="T31" fmla="*/ 532 h 79"/>
                <a:gd name="T32" fmla="+- 0 2098 2076"/>
                <a:gd name="T33" fmla="*/ T32 w 76"/>
                <a:gd name="T34" fmla="+- 0 532 522"/>
                <a:gd name="T35" fmla="*/ 532 h 79"/>
                <a:gd name="T36" fmla="+- 0 2085 2076"/>
                <a:gd name="T37" fmla="*/ T36 w 76"/>
                <a:gd name="T38" fmla="+- 0 543 522"/>
                <a:gd name="T39" fmla="*/ 543 h 79"/>
                <a:gd name="T40" fmla="+- 0 2083 2076"/>
                <a:gd name="T41" fmla="*/ T40 w 76"/>
                <a:gd name="T42" fmla="+- 0 557 522"/>
                <a:gd name="T43" fmla="*/ 557 h 79"/>
                <a:gd name="T44" fmla="+- 0 2150 2076"/>
                <a:gd name="T45" fmla="*/ T44 w 76"/>
                <a:gd name="T46" fmla="+- 0 557 522"/>
                <a:gd name="T47" fmla="*/ 557 h 79"/>
                <a:gd name="T48" fmla="+- 0 2152 2076"/>
                <a:gd name="T49" fmla="*/ T48 w 76"/>
                <a:gd name="T50" fmla="+- 0 563 522"/>
                <a:gd name="T51" fmla="*/ 563 h 79"/>
                <a:gd name="T52" fmla="+- 0 2152 2076"/>
                <a:gd name="T53" fmla="*/ T52 w 76"/>
                <a:gd name="T54" fmla="+- 0 566 522"/>
                <a:gd name="T55" fmla="*/ 566 h 79"/>
                <a:gd name="T56" fmla="+- 0 2083 2076"/>
                <a:gd name="T57" fmla="*/ T56 w 76"/>
                <a:gd name="T58" fmla="+- 0 566 522"/>
                <a:gd name="T59" fmla="*/ 566 h 79"/>
                <a:gd name="T60" fmla="+- 0 2084 2076"/>
                <a:gd name="T61" fmla="*/ T60 w 76"/>
                <a:gd name="T62" fmla="+- 0 581 522"/>
                <a:gd name="T63" fmla="*/ 581 h 79"/>
                <a:gd name="T64" fmla="+- 0 2097 2076"/>
                <a:gd name="T65" fmla="*/ T64 w 76"/>
                <a:gd name="T66" fmla="+- 0 593 522"/>
                <a:gd name="T67" fmla="*/ 593 h 79"/>
                <a:gd name="T68" fmla="+- 0 2135 2076"/>
                <a:gd name="T69" fmla="*/ T68 w 76"/>
                <a:gd name="T70" fmla="+- 0 593 522"/>
                <a:gd name="T71" fmla="*/ 593 h 79"/>
                <a:gd name="T72" fmla="+- 0 2126 2076"/>
                <a:gd name="T73" fmla="*/ T72 w 76"/>
                <a:gd name="T74" fmla="+- 0 598 522"/>
                <a:gd name="T75" fmla="*/ 598 h 79"/>
                <a:gd name="T76" fmla="+- 0 2101 2076"/>
                <a:gd name="T77" fmla="*/ T76 w 76"/>
                <a:gd name="T78" fmla="+- 0 601 522"/>
                <a:gd name="T79" fmla="*/ 601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6" h="79">
                  <a:moveTo>
                    <a:pt x="25" y="79"/>
                  </a:moveTo>
                  <a:lnTo>
                    <a:pt x="11" y="69"/>
                  </a:lnTo>
                  <a:lnTo>
                    <a:pt x="2" y="51"/>
                  </a:lnTo>
                  <a:lnTo>
                    <a:pt x="0" y="23"/>
                  </a:lnTo>
                  <a:lnTo>
                    <a:pt x="15" y="7"/>
                  </a:lnTo>
                  <a:lnTo>
                    <a:pt x="36" y="0"/>
                  </a:lnTo>
                  <a:lnTo>
                    <a:pt x="54" y="5"/>
                  </a:lnTo>
                  <a:lnTo>
                    <a:pt x="60" y="10"/>
                  </a:lnTo>
                  <a:lnTo>
                    <a:pt x="22" y="10"/>
                  </a:lnTo>
                  <a:lnTo>
                    <a:pt x="9" y="21"/>
                  </a:lnTo>
                  <a:lnTo>
                    <a:pt x="7" y="35"/>
                  </a:lnTo>
                  <a:lnTo>
                    <a:pt x="74" y="35"/>
                  </a:lnTo>
                  <a:lnTo>
                    <a:pt x="76" y="41"/>
                  </a:lnTo>
                  <a:lnTo>
                    <a:pt x="76" y="44"/>
                  </a:lnTo>
                  <a:lnTo>
                    <a:pt x="7" y="44"/>
                  </a:lnTo>
                  <a:lnTo>
                    <a:pt x="8" y="59"/>
                  </a:lnTo>
                  <a:lnTo>
                    <a:pt x="21" y="71"/>
                  </a:lnTo>
                  <a:lnTo>
                    <a:pt x="59" y="71"/>
                  </a:lnTo>
                  <a:lnTo>
                    <a:pt x="50" y="76"/>
                  </a:lnTo>
                  <a:lnTo>
                    <a:pt x="25" y="7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9" name="Freeform 4863">
              <a:extLst>
                <a:ext uri="{FF2B5EF4-FFF2-40B4-BE49-F238E27FC236}">
                  <a16:creationId xmlns:a16="http://schemas.microsoft.com/office/drawing/2014/main" id="{69C8F5D1-7C39-8764-E500-A5D703762908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50 2076"/>
                <a:gd name="T1" fmla="*/ T0 w 76"/>
                <a:gd name="T2" fmla="+- 0 557 522"/>
                <a:gd name="T3" fmla="*/ 557 h 79"/>
                <a:gd name="T4" fmla="+- 0 2142 2076"/>
                <a:gd name="T5" fmla="*/ T4 w 76"/>
                <a:gd name="T6" fmla="+- 0 557 522"/>
                <a:gd name="T7" fmla="*/ 557 h 79"/>
                <a:gd name="T8" fmla="+- 0 2139 2076"/>
                <a:gd name="T9" fmla="*/ T8 w 76"/>
                <a:gd name="T10" fmla="+- 0 543 522"/>
                <a:gd name="T11" fmla="*/ 543 h 79"/>
                <a:gd name="T12" fmla="+- 0 2127 2076"/>
                <a:gd name="T13" fmla="*/ T12 w 76"/>
                <a:gd name="T14" fmla="+- 0 532 522"/>
                <a:gd name="T15" fmla="*/ 532 h 79"/>
                <a:gd name="T16" fmla="+- 0 2136 2076"/>
                <a:gd name="T17" fmla="*/ T16 w 76"/>
                <a:gd name="T18" fmla="+- 0 532 522"/>
                <a:gd name="T19" fmla="*/ 532 h 79"/>
                <a:gd name="T20" fmla="+- 0 2146 2076"/>
                <a:gd name="T21" fmla="*/ T20 w 76"/>
                <a:gd name="T22" fmla="+- 0 541 522"/>
                <a:gd name="T23" fmla="*/ 541 h 79"/>
                <a:gd name="T24" fmla="+- 0 2150 2076"/>
                <a:gd name="T25" fmla="*/ T24 w 76"/>
                <a:gd name="T26" fmla="+- 0 557 522"/>
                <a:gd name="T27" fmla="*/ 557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76" h="79">
                  <a:moveTo>
                    <a:pt x="74" y="35"/>
                  </a:moveTo>
                  <a:lnTo>
                    <a:pt x="66" y="35"/>
                  </a:lnTo>
                  <a:lnTo>
                    <a:pt x="63" y="21"/>
                  </a:lnTo>
                  <a:lnTo>
                    <a:pt x="51" y="10"/>
                  </a:lnTo>
                  <a:lnTo>
                    <a:pt x="60" y="10"/>
                  </a:lnTo>
                  <a:lnTo>
                    <a:pt x="70" y="19"/>
                  </a:lnTo>
                  <a:lnTo>
                    <a:pt x="74" y="3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0" name="Freeform 4862">
              <a:extLst>
                <a:ext uri="{FF2B5EF4-FFF2-40B4-BE49-F238E27FC236}">
                  <a16:creationId xmlns:a16="http://schemas.microsoft.com/office/drawing/2014/main" id="{AAD82DB0-372F-E610-2918-D6A66DA110F0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35 2076"/>
                <a:gd name="T1" fmla="*/ T0 w 76"/>
                <a:gd name="T2" fmla="+- 0 593 522"/>
                <a:gd name="T3" fmla="*/ 593 h 79"/>
                <a:gd name="T4" fmla="+- 0 2123 2076"/>
                <a:gd name="T5" fmla="*/ T4 w 76"/>
                <a:gd name="T6" fmla="+- 0 593 522"/>
                <a:gd name="T7" fmla="*/ 593 h 79"/>
                <a:gd name="T8" fmla="+- 0 2132 2076"/>
                <a:gd name="T9" fmla="*/ T8 w 76"/>
                <a:gd name="T10" fmla="+- 0 587 522"/>
                <a:gd name="T11" fmla="*/ 587 h 79"/>
                <a:gd name="T12" fmla="+- 0 2137 2076"/>
                <a:gd name="T13" fmla="*/ T12 w 76"/>
                <a:gd name="T14" fmla="+- 0 578 522"/>
                <a:gd name="T15" fmla="*/ 578 h 79"/>
                <a:gd name="T16" fmla="+- 0 2138 2076"/>
                <a:gd name="T17" fmla="*/ T16 w 76"/>
                <a:gd name="T18" fmla="+- 0 578 522"/>
                <a:gd name="T19" fmla="*/ 578 h 79"/>
                <a:gd name="T20" fmla="+- 0 2149 2076"/>
                <a:gd name="T21" fmla="*/ T20 w 76"/>
                <a:gd name="T22" fmla="+- 0 578 522"/>
                <a:gd name="T23" fmla="*/ 578 h 79"/>
                <a:gd name="T24" fmla="+- 0 2142 2076"/>
                <a:gd name="T25" fmla="*/ T24 w 76"/>
                <a:gd name="T26" fmla="+- 0 588 522"/>
                <a:gd name="T27" fmla="*/ 588 h 79"/>
                <a:gd name="T28" fmla="+- 0 2135 2076"/>
                <a:gd name="T29" fmla="*/ T28 w 76"/>
                <a:gd name="T30" fmla="+- 0 593 522"/>
                <a:gd name="T31" fmla="*/ 593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6" h="79">
                  <a:moveTo>
                    <a:pt x="59" y="71"/>
                  </a:moveTo>
                  <a:lnTo>
                    <a:pt x="47" y="71"/>
                  </a:lnTo>
                  <a:lnTo>
                    <a:pt x="56" y="65"/>
                  </a:lnTo>
                  <a:lnTo>
                    <a:pt x="61" y="56"/>
                  </a:lnTo>
                  <a:lnTo>
                    <a:pt x="62" y="56"/>
                  </a:lnTo>
                  <a:lnTo>
                    <a:pt x="73" y="56"/>
                  </a:lnTo>
                  <a:lnTo>
                    <a:pt x="66" y="66"/>
                  </a:lnTo>
                  <a:lnTo>
                    <a:pt x="59" y="7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99EA972E-EE03-9F11-7203-08809EA52627}"/>
              </a:ext>
            </a:extLst>
          </xdr:cNvPr>
          <xdr:cNvGrpSpPr>
            <a:grpSpLocks/>
          </xdr:cNvGrpSpPr>
        </xdr:nvGrpSpPr>
        <xdr:grpSpPr bwMode="auto">
          <a:xfrm>
            <a:off x="2228" y="520"/>
            <a:ext cx="78" cy="81"/>
            <a:chOff x="2228" y="520"/>
            <a:chExt cx="78" cy="81"/>
          </a:xfrm>
        </xdr:grpSpPr>
        <xdr:sp macro="" textlink="">
          <xdr:nvSpPr>
            <xdr:cNvPr id="54" name="Freeform 4860">
              <a:extLst>
                <a:ext uri="{FF2B5EF4-FFF2-40B4-BE49-F238E27FC236}">
                  <a16:creationId xmlns:a16="http://schemas.microsoft.com/office/drawing/2014/main" id="{8264CA9C-9065-000D-7D0E-E4A2338A8970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274 2228"/>
                <a:gd name="T1" fmla="*/ T0 w 78"/>
                <a:gd name="T2" fmla="+- 0 600 520"/>
                <a:gd name="T3" fmla="*/ 600 h 81"/>
                <a:gd name="T4" fmla="+- 0 2252 2228"/>
                <a:gd name="T5" fmla="*/ T4 w 78"/>
                <a:gd name="T6" fmla="+- 0 600 520"/>
                <a:gd name="T7" fmla="*/ 600 h 81"/>
                <a:gd name="T8" fmla="+- 0 2238 2228"/>
                <a:gd name="T9" fmla="*/ T8 w 78"/>
                <a:gd name="T10" fmla="+- 0 590 520"/>
                <a:gd name="T11" fmla="*/ 590 h 81"/>
                <a:gd name="T12" fmla="+- 0 2229 2228"/>
                <a:gd name="T13" fmla="*/ T12 w 78"/>
                <a:gd name="T14" fmla="+- 0 571 520"/>
                <a:gd name="T15" fmla="*/ 571 h 81"/>
                <a:gd name="T16" fmla="+- 0 2228 2228"/>
                <a:gd name="T17" fmla="*/ T16 w 78"/>
                <a:gd name="T18" fmla="+- 0 543 520"/>
                <a:gd name="T19" fmla="*/ 543 h 81"/>
                <a:gd name="T20" fmla="+- 0 2243 2228"/>
                <a:gd name="T21" fmla="*/ T20 w 78"/>
                <a:gd name="T22" fmla="+- 0 527 520"/>
                <a:gd name="T23" fmla="*/ 527 h 81"/>
                <a:gd name="T24" fmla="+- 0 2266 2228"/>
                <a:gd name="T25" fmla="*/ T24 w 78"/>
                <a:gd name="T26" fmla="+- 0 520 520"/>
                <a:gd name="T27" fmla="*/ 520 h 81"/>
                <a:gd name="T28" fmla="+- 0 2272 2228"/>
                <a:gd name="T29" fmla="*/ T28 w 78"/>
                <a:gd name="T30" fmla="+- 0 520 520"/>
                <a:gd name="T31" fmla="*/ 520 h 81"/>
                <a:gd name="T32" fmla="+- 0 2286 2228"/>
                <a:gd name="T33" fmla="*/ T32 w 78"/>
                <a:gd name="T34" fmla="+- 0 522 520"/>
                <a:gd name="T35" fmla="*/ 522 h 81"/>
                <a:gd name="T36" fmla="+- 0 2293 2228"/>
                <a:gd name="T37" fmla="*/ T36 w 78"/>
                <a:gd name="T38" fmla="+- 0 531 520"/>
                <a:gd name="T39" fmla="*/ 531 h 81"/>
                <a:gd name="T40" fmla="+- 0 2259 2228"/>
                <a:gd name="T41" fmla="*/ T40 w 78"/>
                <a:gd name="T42" fmla="+- 0 531 520"/>
                <a:gd name="T43" fmla="*/ 531 h 81"/>
                <a:gd name="T44" fmla="+- 0 2242 2228"/>
                <a:gd name="T45" fmla="*/ T44 w 78"/>
                <a:gd name="T46" fmla="+- 0 542 520"/>
                <a:gd name="T47" fmla="*/ 542 h 81"/>
                <a:gd name="T48" fmla="+- 0 2235 2228"/>
                <a:gd name="T49" fmla="*/ T48 w 78"/>
                <a:gd name="T50" fmla="+- 0 566 520"/>
                <a:gd name="T51" fmla="*/ 566 h 81"/>
                <a:gd name="T52" fmla="+- 0 2245 2228"/>
                <a:gd name="T53" fmla="*/ T52 w 78"/>
                <a:gd name="T54" fmla="+- 0 585 520"/>
                <a:gd name="T55" fmla="*/ 585 h 81"/>
                <a:gd name="T56" fmla="+- 0 2266 2228"/>
                <a:gd name="T57" fmla="*/ T56 w 78"/>
                <a:gd name="T58" fmla="+- 0 592 520"/>
                <a:gd name="T59" fmla="*/ 592 h 81"/>
                <a:gd name="T60" fmla="+- 0 2306 2228"/>
                <a:gd name="T61" fmla="*/ T60 w 78"/>
                <a:gd name="T62" fmla="+- 0 592 520"/>
                <a:gd name="T63" fmla="*/ 592 h 81"/>
                <a:gd name="T64" fmla="+- 0 2306 2228"/>
                <a:gd name="T65" fmla="*/ T64 w 78"/>
                <a:gd name="T66" fmla="+- 0 593 520"/>
                <a:gd name="T67" fmla="*/ 593 h 81"/>
                <a:gd name="T68" fmla="+- 0 2291 2228"/>
                <a:gd name="T69" fmla="*/ T68 w 78"/>
                <a:gd name="T70" fmla="+- 0 593 520"/>
                <a:gd name="T71" fmla="*/ 593 h 81"/>
                <a:gd name="T72" fmla="+- 0 2274 2228"/>
                <a:gd name="T73" fmla="*/ T72 w 78"/>
                <a:gd name="T74" fmla="+- 0 600 520"/>
                <a:gd name="T75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</a:cxnLst>
              <a:rect l="0" t="0" r="r" b="b"/>
              <a:pathLst>
                <a:path w="78" h="81">
                  <a:moveTo>
                    <a:pt x="46" y="80"/>
                  </a:moveTo>
                  <a:lnTo>
                    <a:pt x="24" y="80"/>
                  </a:lnTo>
                  <a:lnTo>
                    <a:pt x="10" y="70"/>
                  </a:lnTo>
                  <a:lnTo>
                    <a:pt x="1" y="51"/>
                  </a:lnTo>
                  <a:lnTo>
                    <a:pt x="0" y="23"/>
                  </a:lnTo>
                  <a:lnTo>
                    <a:pt x="15" y="7"/>
                  </a:lnTo>
                  <a:lnTo>
                    <a:pt x="38" y="0"/>
                  </a:lnTo>
                  <a:lnTo>
                    <a:pt x="44" y="0"/>
                  </a:lnTo>
                  <a:lnTo>
                    <a:pt x="58" y="2"/>
                  </a:lnTo>
                  <a:lnTo>
                    <a:pt x="65" y="11"/>
                  </a:lnTo>
                  <a:lnTo>
                    <a:pt x="31" y="11"/>
                  </a:lnTo>
                  <a:lnTo>
                    <a:pt x="14" y="22"/>
                  </a:lnTo>
                  <a:lnTo>
                    <a:pt x="7" y="46"/>
                  </a:lnTo>
                  <a:lnTo>
                    <a:pt x="17" y="65"/>
                  </a:lnTo>
                  <a:lnTo>
                    <a:pt x="38" y="72"/>
                  </a:lnTo>
                  <a:lnTo>
                    <a:pt x="78" y="72"/>
                  </a:lnTo>
                  <a:lnTo>
                    <a:pt x="78" y="73"/>
                  </a:lnTo>
                  <a:lnTo>
                    <a:pt x="63" y="73"/>
                  </a:lnTo>
                  <a:lnTo>
                    <a:pt x="46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5" name="Freeform 4859">
              <a:extLst>
                <a:ext uri="{FF2B5EF4-FFF2-40B4-BE49-F238E27FC236}">
                  <a16:creationId xmlns:a16="http://schemas.microsoft.com/office/drawing/2014/main" id="{B07610AD-7302-4264-FCAA-68729E21738F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535 520"/>
                <a:gd name="T3" fmla="*/ 535 h 81"/>
                <a:gd name="T4" fmla="+- 0 2295 2228"/>
                <a:gd name="T5" fmla="*/ T4 w 78"/>
                <a:gd name="T6" fmla="+- 0 535 520"/>
                <a:gd name="T7" fmla="*/ 535 h 81"/>
                <a:gd name="T8" fmla="+- 0 2295 2228"/>
                <a:gd name="T9" fmla="*/ T8 w 78"/>
                <a:gd name="T10" fmla="+- 0 522 520"/>
                <a:gd name="T11" fmla="*/ 522 h 81"/>
                <a:gd name="T12" fmla="+- 0 2306 2228"/>
                <a:gd name="T13" fmla="*/ T12 w 78"/>
                <a:gd name="T14" fmla="+- 0 522 520"/>
                <a:gd name="T15" fmla="*/ 522 h 81"/>
                <a:gd name="T16" fmla="+- 0 2306 2228"/>
                <a:gd name="T17" fmla="*/ T16 w 78"/>
                <a:gd name="T18" fmla="+- 0 535 520"/>
                <a:gd name="T19" fmla="*/ 535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81">
                  <a:moveTo>
                    <a:pt x="78" y="15"/>
                  </a:moveTo>
                  <a:lnTo>
                    <a:pt x="67" y="15"/>
                  </a:lnTo>
                  <a:lnTo>
                    <a:pt x="67" y="2"/>
                  </a:lnTo>
                  <a:lnTo>
                    <a:pt x="78" y="2"/>
                  </a:lnTo>
                  <a:lnTo>
                    <a:pt x="78" y="1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6" name="Freeform 4858">
              <a:extLst>
                <a:ext uri="{FF2B5EF4-FFF2-40B4-BE49-F238E27FC236}">
                  <a16:creationId xmlns:a16="http://schemas.microsoft.com/office/drawing/2014/main" id="{106FC2C4-34B3-C2F7-F9D2-E411E59285F9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592 520"/>
                <a:gd name="T3" fmla="*/ 592 h 81"/>
                <a:gd name="T4" fmla="+- 0 2266 2228"/>
                <a:gd name="T5" fmla="*/ T4 w 78"/>
                <a:gd name="T6" fmla="+- 0 592 520"/>
                <a:gd name="T7" fmla="*/ 592 h 81"/>
                <a:gd name="T8" fmla="+- 0 2276 2228"/>
                <a:gd name="T9" fmla="*/ T8 w 78"/>
                <a:gd name="T10" fmla="+- 0 590 520"/>
                <a:gd name="T11" fmla="*/ 590 h 81"/>
                <a:gd name="T12" fmla="+- 0 2290 2228"/>
                <a:gd name="T13" fmla="*/ T12 w 78"/>
                <a:gd name="T14" fmla="+- 0 577 520"/>
                <a:gd name="T15" fmla="*/ 577 h 81"/>
                <a:gd name="T16" fmla="+- 0 2295 2228"/>
                <a:gd name="T17" fmla="*/ T16 w 78"/>
                <a:gd name="T18" fmla="+- 0 552 520"/>
                <a:gd name="T19" fmla="*/ 552 h 81"/>
                <a:gd name="T20" fmla="+- 0 2282 2228"/>
                <a:gd name="T21" fmla="*/ T20 w 78"/>
                <a:gd name="T22" fmla="+- 0 537 520"/>
                <a:gd name="T23" fmla="*/ 537 h 81"/>
                <a:gd name="T24" fmla="+- 0 2259 2228"/>
                <a:gd name="T25" fmla="*/ T24 w 78"/>
                <a:gd name="T26" fmla="+- 0 531 520"/>
                <a:gd name="T27" fmla="*/ 531 h 81"/>
                <a:gd name="T28" fmla="+- 0 2293 2228"/>
                <a:gd name="T29" fmla="*/ T28 w 78"/>
                <a:gd name="T30" fmla="+- 0 531 520"/>
                <a:gd name="T31" fmla="*/ 531 h 81"/>
                <a:gd name="T32" fmla="+- 0 2295 2228"/>
                <a:gd name="T33" fmla="*/ T32 w 78"/>
                <a:gd name="T34" fmla="+- 0 535 520"/>
                <a:gd name="T35" fmla="*/ 535 h 81"/>
                <a:gd name="T36" fmla="+- 0 2306 2228"/>
                <a:gd name="T37" fmla="*/ T36 w 78"/>
                <a:gd name="T38" fmla="+- 0 535 520"/>
                <a:gd name="T39" fmla="*/ 535 h 81"/>
                <a:gd name="T40" fmla="+- 0 2306 2228"/>
                <a:gd name="T41" fmla="*/ T40 w 78"/>
                <a:gd name="T42" fmla="+- 0 592 520"/>
                <a:gd name="T43" fmla="*/ 592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78" h="81">
                  <a:moveTo>
                    <a:pt x="78" y="72"/>
                  </a:moveTo>
                  <a:lnTo>
                    <a:pt x="38" y="72"/>
                  </a:lnTo>
                  <a:lnTo>
                    <a:pt x="48" y="70"/>
                  </a:lnTo>
                  <a:lnTo>
                    <a:pt x="62" y="57"/>
                  </a:lnTo>
                  <a:lnTo>
                    <a:pt x="67" y="32"/>
                  </a:lnTo>
                  <a:lnTo>
                    <a:pt x="54" y="17"/>
                  </a:lnTo>
                  <a:lnTo>
                    <a:pt x="31" y="11"/>
                  </a:lnTo>
                  <a:lnTo>
                    <a:pt x="65" y="11"/>
                  </a:lnTo>
                  <a:lnTo>
                    <a:pt x="67" y="15"/>
                  </a:lnTo>
                  <a:lnTo>
                    <a:pt x="78" y="15"/>
                  </a:lnTo>
                  <a:lnTo>
                    <a:pt x="78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7" name="Freeform 4857">
              <a:extLst>
                <a:ext uri="{FF2B5EF4-FFF2-40B4-BE49-F238E27FC236}">
                  <a16:creationId xmlns:a16="http://schemas.microsoft.com/office/drawing/2014/main" id="{2A3E6237-689C-3D28-47EB-5D8194312FC4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600 520"/>
                <a:gd name="T3" fmla="*/ 600 h 81"/>
                <a:gd name="T4" fmla="+- 0 2295 2228"/>
                <a:gd name="T5" fmla="*/ T4 w 78"/>
                <a:gd name="T6" fmla="+- 0 600 520"/>
                <a:gd name="T7" fmla="*/ 600 h 81"/>
                <a:gd name="T8" fmla="+- 0 2291 2228"/>
                <a:gd name="T9" fmla="*/ T8 w 78"/>
                <a:gd name="T10" fmla="+- 0 593 520"/>
                <a:gd name="T11" fmla="*/ 593 h 81"/>
                <a:gd name="T12" fmla="+- 0 2306 2228"/>
                <a:gd name="T13" fmla="*/ T12 w 78"/>
                <a:gd name="T14" fmla="+- 0 593 520"/>
                <a:gd name="T15" fmla="*/ 593 h 81"/>
                <a:gd name="T16" fmla="+- 0 2306 2228"/>
                <a:gd name="T17" fmla="*/ T16 w 78"/>
                <a:gd name="T18" fmla="+- 0 600 520"/>
                <a:gd name="T19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81">
                  <a:moveTo>
                    <a:pt x="78" y="80"/>
                  </a:moveTo>
                  <a:lnTo>
                    <a:pt x="67" y="80"/>
                  </a:lnTo>
                  <a:lnTo>
                    <a:pt x="63" y="73"/>
                  </a:lnTo>
                  <a:lnTo>
                    <a:pt x="78" y="73"/>
                  </a:lnTo>
                  <a:lnTo>
                    <a:pt x="78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B9F91FFB-4FFB-D695-110C-F066D159F909}"/>
              </a:ext>
            </a:extLst>
          </xdr:cNvPr>
          <xdr:cNvGrpSpPr>
            <a:grpSpLocks/>
          </xdr:cNvGrpSpPr>
        </xdr:nvGrpSpPr>
        <xdr:grpSpPr bwMode="auto">
          <a:xfrm>
            <a:off x="2328" y="522"/>
            <a:ext cx="69" cy="80"/>
            <a:chOff x="2328" y="522"/>
            <a:chExt cx="69" cy="80"/>
          </a:xfrm>
        </xdr:grpSpPr>
        <xdr:sp macro="" textlink="">
          <xdr:nvSpPr>
            <xdr:cNvPr id="51" name="Freeform 4855">
              <a:extLst>
                <a:ext uri="{FF2B5EF4-FFF2-40B4-BE49-F238E27FC236}">
                  <a16:creationId xmlns:a16="http://schemas.microsoft.com/office/drawing/2014/main" id="{E46D9AA4-98D9-7DB2-AF8B-0122CD113C0C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77 2328"/>
                <a:gd name="T1" fmla="*/ T0 w 69"/>
                <a:gd name="T2" fmla="+- 0 602 522"/>
                <a:gd name="T3" fmla="*/ 602 h 80"/>
                <a:gd name="T4" fmla="+- 0 2346 2328"/>
                <a:gd name="T5" fmla="*/ T4 w 69"/>
                <a:gd name="T6" fmla="+- 0 602 522"/>
                <a:gd name="T7" fmla="*/ 602 h 80"/>
                <a:gd name="T8" fmla="+- 0 2338 2328"/>
                <a:gd name="T9" fmla="*/ T8 w 69"/>
                <a:gd name="T10" fmla="+- 0 595 522"/>
                <a:gd name="T11" fmla="*/ 595 h 80"/>
                <a:gd name="T12" fmla="+- 0 2334 2328"/>
                <a:gd name="T13" fmla="*/ T12 w 69"/>
                <a:gd name="T14" fmla="+- 0 591 522"/>
                <a:gd name="T15" fmla="*/ 591 h 80"/>
                <a:gd name="T16" fmla="+- 0 2330 2328"/>
                <a:gd name="T17" fmla="*/ T16 w 69"/>
                <a:gd name="T18" fmla="+- 0 585 522"/>
                <a:gd name="T19" fmla="*/ 585 h 80"/>
                <a:gd name="T20" fmla="+- 0 2328 2328"/>
                <a:gd name="T21" fmla="*/ T20 w 69"/>
                <a:gd name="T22" fmla="+- 0 576 522"/>
                <a:gd name="T23" fmla="*/ 576 h 80"/>
                <a:gd name="T24" fmla="+- 0 2328 2328"/>
                <a:gd name="T25" fmla="*/ T24 w 69"/>
                <a:gd name="T26" fmla="+- 0 522 522"/>
                <a:gd name="T27" fmla="*/ 522 h 80"/>
                <a:gd name="T28" fmla="+- 0 2339 2328"/>
                <a:gd name="T29" fmla="*/ T28 w 69"/>
                <a:gd name="T30" fmla="+- 0 522 522"/>
                <a:gd name="T31" fmla="*/ 522 h 80"/>
                <a:gd name="T32" fmla="+- 0 2339 2328"/>
                <a:gd name="T33" fmla="*/ T32 w 69"/>
                <a:gd name="T34" fmla="+- 0 574 522"/>
                <a:gd name="T35" fmla="*/ 574 h 80"/>
                <a:gd name="T36" fmla="+- 0 2340 2328"/>
                <a:gd name="T37" fmla="*/ T36 w 69"/>
                <a:gd name="T38" fmla="+- 0 581 522"/>
                <a:gd name="T39" fmla="*/ 581 h 80"/>
                <a:gd name="T40" fmla="+- 0 2344 2328"/>
                <a:gd name="T41" fmla="*/ T40 w 69"/>
                <a:gd name="T42" fmla="+- 0 585 522"/>
                <a:gd name="T43" fmla="*/ 585 h 80"/>
                <a:gd name="T44" fmla="+- 0 2348 2328"/>
                <a:gd name="T45" fmla="*/ T44 w 69"/>
                <a:gd name="T46" fmla="+- 0 590 522"/>
                <a:gd name="T47" fmla="*/ 590 h 80"/>
                <a:gd name="T48" fmla="+- 0 2354 2328"/>
                <a:gd name="T49" fmla="*/ T48 w 69"/>
                <a:gd name="T50" fmla="+- 0 592 522"/>
                <a:gd name="T51" fmla="*/ 592 h 80"/>
                <a:gd name="T52" fmla="+- 0 2384 2328"/>
                <a:gd name="T53" fmla="*/ T52 w 69"/>
                <a:gd name="T54" fmla="+- 0 592 522"/>
                <a:gd name="T55" fmla="*/ 592 h 80"/>
                <a:gd name="T56" fmla="+- 0 2383 2328"/>
                <a:gd name="T57" fmla="*/ T56 w 69"/>
                <a:gd name="T58" fmla="+- 0 594 522"/>
                <a:gd name="T59" fmla="*/ 594 h 80"/>
                <a:gd name="T60" fmla="+- 0 2377 2328"/>
                <a:gd name="T61" fmla="*/ T60 w 69"/>
                <a:gd name="T62" fmla="+- 0 602 522"/>
                <a:gd name="T63" fmla="*/ 60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</a:cxnLst>
              <a:rect l="0" t="0" r="r" b="b"/>
              <a:pathLst>
                <a:path w="69" h="80">
                  <a:moveTo>
                    <a:pt x="49" y="80"/>
                  </a:moveTo>
                  <a:lnTo>
                    <a:pt x="18" y="80"/>
                  </a:lnTo>
                  <a:lnTo>
                    <a:pt x="10" y="73"/>
                  </a:lnTo>
                  <a:lnTo>
                    <a:pt x="6" y="69"/>
                  </a:lnTo>
                  <a:lnTo>
                    <a:pt x="2" y="63"/>
                  </a:lnTo>
                  <a:lnTo>
                    <a:pt x="0" y="54"/>
                  </a:lnTo>
                  <a:lnTo>
                    <a:pt x="0" y="0"/>
                  </a:lnTo>
                  <a:lnTo>
                    <a:pt x="11" y="0"/>
                  </a:lnTo>
                  <a:lnTo>
                    <a:pt x="11" y="52"/>
                  </a:lnTo>
                  <a:lnTo>
                    <a:pt x="12" y="59"/>
                  </a:lnTo>
                  <a:lnTo>
                    <a:pt x="16" y="63"/>
                  </a:lnTo>
                  <a:lnTo>
                    <a:pt x="20" y="68"/>
                  </a:lnTo>
                  <a:lnTo>
                    <a:pt x="26" y="70"/>
                  </a:lnTo>
                  <a:lnTo>
                    <a:pt x="56" y="70"/>
                  </a:lnTo>
                  <a:lnTo>
                    <a:pt x="55" y="72"/>
                  </a:lnTo>
                  <a:lnTo>
                    <a:pt x="49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2" name="Freeform 4854">
              <a:extLst>
                <a:ext uri="{FF2B5EF4-FFF2-40B4-BE49-F238E27FC236}">
                  <a16:creationId xmlns:a16="http://schemas.microsoft.com/office/drawing/2014/main" id="{1623948C-8015-26AE-7B82-F3E4D56AA038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84 2328"/>
                <a:gd name="T1" fmla="*/ T0 w 69"/>
                <a:gd name="T2" fmla="+- 0 592 522"/>
                <a:gd name="T3" fmla="*/ 592 h 80"/>
                <a:gd name="T4" fmla="+- 0 2368 2328"/>
                <a:gd name="T5" fmla="*/ T4 w 69"/>
                <a:gd name="T6" fmla="+- 0 592 522"/>
                <a:gd name="T7" fmla="*/ 592 h 80"/>
                <a:gd name="T8" fmla="+- 0 2373 2328"/>
                <a:gd name="T9" fmla="*/ T8 w 69"/>
                <a:gd name="T10" fmla="+- 0 590 522"/>
                <a:gd name="T11" fmla="*/ 590 h 80"/>
                <a:gd name="T12" fmla="+- 0 2377 2328"/>
                <a:gd name="T13" fmla="*/ T12 w 69"/>
                <a:gd name="T14" fmla="+- 0 586 522"/>
                <a:gd name="T15" fmla="*/ 586 h 80"/>
                <a:gd name="T16" fmla="+- 0 2381 2328"/>
                <a:gd name="T17" fmla="*/ T16 w 69"/>
                <a:gd name="T18" fmla="+- 0 582 522"/>
                <a:gd name="T19" fmla="*/ 582 h 80"/>
                <a:gd name="T20" fmla="+- 0 2385 2328"/>
                <a:gd name="T21" fmla="*/ T20 w 69"/>
                <a:gd name="T22" fmla="+- 0 577 522"/>
                <a:gd name="T23" fmla="*/ 577 h 80"/>
                <a:gd name="T24" fmla="+- 0 2385 2328"/>
                <a:gd name="T25" fmla="*/ T24 w 69"/>
                <a:gd name="T26" fmla="+- 0 564 522"/>
                <a:gd name="T27" fmla="*/ 564 h 80"/>
                <a:gd name="T28" fmla="+- 0 2385 2328"/>
                <a:gd name="T29" fmla="*/ T28 w 69"/>
                <a:gd name="T30" fmla="+- 0 522 522"/>
                <a:gd name="T31" fmla="*/ 522 h 80"/>
                <a:gd name="T32" fmla="+- 0 2396 2328"/>
                <a:gd name="T33" fmla="*/ T32 w 69"/>
                <a:gd name="T34" fmla="+- 0 522 522"/>
                <a:gd name="T35" fmla="*/ 522 h 80"/>
                <a:gd name="T36" fmla="+- 0 2396 2328"/>
                <a:gd name="T37" fmla="*/ T36 w 69"/>
                <a:gd name="T38" fmla="+- 0 590 522"/>
                <a:gd name="T39" fmla="*/ 590 h 80"/>
                <a:gd name="T40" fmla="+- 0 2386 2328"/>
                <a:gd name="T41" fmla="*/ T40 w 69"/>
                <a:gd name="T42" fmla="+- 0 590 522"/>
                <a:gd name="T43" fmla="*/ 590 h 80"/>
                <a:gd name="T44" fmla="+- 0 2384 2328"/>
                <a:gd name="T45" fmla="*/ T44 w 69"/>
                <a:gd name="T46" fmla="+- 0 592 522"/>
                <a:gd name="T47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69" h="80">
                  <a:moveTo>
                    <a:pt x="56" y="70"/>
                  </a:moveTo>
                  <a:lnTo>
                    <a:pt x="40" y="70"/>
                  </a:lnTo>
                  <a:lnTo>
                    <a:pt x="45" y="68"/>
                  </a:lnTo>
                  <a:lnTo>
                    <a:pt x="49" y="64"/>
                  </a:lnTo>
                  <a:lnTo>
                    <a:pt x="53" y="60"/>
                  </a:lnTo>
                  <a:lnTo>
                    <a:pt x="57" y="55"/>
                  </a:lnTo>
                  <a:lnTo>
                    <a:pt x="57" y="42"/>
                  </a:lnTo>
                  <a:lnTo>
                    <a:pt x="57" y="0"/>
                  </a:lnTo>
                  <a:lnTo>
                    <a:pt x="68" y="0"/>
                  </a:lnTo>
                  <a:lnTo>
                    <a:pt x="68" y="68"/>
                  </a:lnTo>
                  <a:lnTo>
                    <a:pt x="58" y="68"/>
                  </a:lnTo>
                  <a:lnTo>
                    <a:pt x="56" y="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3" name="Freeform 4853">
              <a:extLst>
                <a:ext uri="{FF2B5EF4-FFF2-40B4-BE49-F238E27FC236}">
                  <a16:creationId xmlns:a16="http://schemas.microsoft.com/office/drawing/2014/main" id="{950B36D3-F1E0-F0EA-0FDD-EA07E819D3B6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96 2328"/>
                <a:gd name="T1" fmla="*/ T0 w 69"/>
                <a:gd name="T2" fmla="+- 0 600 522"/>
                <a:gd name="T3" fmla="*/ 600 h 80"/>
                <a:gd name="T4" fmla="+- 0 2386 2328"/>
                <a:gd name="T5" fmla="*/ T4 w 69"/>
                <a:gd name="T6" fmla="+- 0 600 522"/>
                <a:gd name="T7" fmla="*/ 600 h 80"/>
                <a:gd name="T8" fmla="+- 0 2386 2328"/>
                <a:gd name="T9" fmla="*/ T8 w 69"/>
                <a:gd name="T10" fmla="+- 0 590 522"/>
                <a:gd name="T11" fmla="*/ 590 h 80"/>
                <a:gd name="T12" fmla="+- 0 2396 2328"/>
                <a:gd name="T13" fmla="*/ T12 w 69"/>
                <a:gd name="T14" fmla="+- 0 590 522"/>
                <a:gd name="T15" fmla="*/ 590 h 80"/>
                <a:gd name="T16" fmla="+- 0 2396 2328"/>
                <a:gd name="T17" fmla="*/ T16 w 69"/>
                <a:gd name="T18" fmla="+- 0 600 522"/>
                <a:gd name="T1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69" h="80">
                  <a:moveTo>
                    <a:pt x="68" y="78"/>
                  </a:moveTo>
                  <a:lnTo>
                    <a:pt x="58" y="78"/>
                  </a:lnTo>
                  <a:lnTo>
                    <a:pt x="58" y="68"/>
                  </a:lnTo>
                  <a:lnTo>
                    <a:pt x="68" y="68"/>
                  </a:lnTo>
                  <a:lnTo>
                    <a:pt x="68" y="7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F347A2CF-95ED-306A-49FC-936FEC04B6A9}"/>
              </a:ext>
            </a:extLst>
          </xdr:cNvPr>
          <xdr:cNvGrpSpPr>
            <a:grpSpLocks/>
          </xdr:cNvGrpSpPr>
        </xdr:nvGrpSpPr>
        <xdr:grpSpPr bwMode="auto">
          <a:xfrm>
            <a:off x="2411" y="520"/>
            <a:ext cx="79" cy="111"/>
            <a:chOff x="2411" y="520"/>
            <a:chExt cx="79" cy="111"/>
          </a:xfrm>
        </xdr:grpSpPr>
        <xdr:sp macro="" textlink="">
          <xdr:nvSpPr>
            <xdr:cNvPr id="46" name="Freeform 4851">
              <a:extLst>
                <a:ext uri="{FF2B5EF4-FFF2-40B4-BE49-F238E27FC236}">
                  <a16:creationId xmlns:a16="http://schemas.microsoft.com/office/drawing/2014/main" id="{D0C66291-686E-F718-22AC-0E68F459D27F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36 2411"/>
                <a:gd name="T1" fmla="*/ T0 w 79"/>
                <a:gd name="T2" fmla="+- 0 600 520"/>
                <a:gd name="T3" fmla="*/ 600 h 111"/>
                <a:gd name="T4" fmla="+- 0 2423 2411"/>
                <a:gd name="T5" fmla="*/ T4 w 79"/>
                <a:gd name="T6" fmla="+- 0 590 520"/>
                <a:gd name="T7" fmla="*/ 590 h 111"/>
                <a:gd name="T8" fmla="+- 0 2414 2411"/>
                <a:gd name="T9" fmla="*/ T8 w 79"/>
                <a:gd name="T10" fmla="+- 0 571 520"/>
                <a:gd name="T11" fmla="*/ 571 h 111"/>
                <a:gd name="T12" fmla="+- 0 2414 2411"/>
                <a:gd name="T13" fmla="*/ T12 w 79"/>
                <a:gd name="T14" fmla="+- 0 541 520"/>
                <a:gd name="T15" fmla="*/ 541 h 111"/>
                <a:gd name="T16" fmla="+- 0 2429 2411"/>
                <a:gd name="T17" fmla="*/ T16 w 79"/>
                <a:gd name="T18" fmla="+- 0 526 520"/>
                <a:gd name="T19" fmla="*/ 526 h 111"/>
                <a:gd name="T20" fmla="+- 0 2449 2411"/>
                <a:gd name="T21" fmla="*/ T20 w 79"/>
                <a:gd name="T22" fmla="+- 0 520 520"/>
                <a:gd name="T23" fmla="*/ 520 h 111"/>
                <a:gd name="T24" fmla="+- 0 2455 2411"/>
                <a:gd name="T25" fmla="*/ T24 w 79"/>
                <a:gd name="T26" fmla="+- 0 520 520"/>
                <a:gd name="T27" fmla="*/ 520 h 111"/>
                <a:gd name="T28" fmla="+- 0 2469 2411"/>
                <a:gd name="T29" fmla="*/ T28 w 79"/>
                <a:gd name="T30" fmla="+- 0 522 520"/>
                <a:gd name="T31" fmla="*/ 522 h 111"/>
                <a:gd name="T32" fmla="+- 0 2475 2411"/>
                <a:gd name="T33" fmla="*/ T32 w 79"/>
                <a:gd name="T34" fmla="+- 0 531 520"/>
                <a:gd name="T35" fmla="*/ 531 h 111"/>
                <a:gd name="T36" fmla="+- 0 2443 2411"/>
                <a:gd name="T37" fmla="*/ T36 w 79"/>
                <a:gd name="T38" fmla="+- 0 531 520"/>
                <a:gd name="T39" fmla="*/ 531 h 111"/>
                <a:gd name="T40" fmla="+- 0 2426 2411"/>
                <a:gd name="T41" fmla="*/ T40 w 79"/>
                <a:gd name="T42" fmla="+- 0 542 520"/>
                <a:gd name="T43" fmla="*/ 542 h 111"/>
                <a:gd name="T44" fmla="+- 0 2420 2411"/>
                <a:gd name="T45" fmla="*/ T44 w 79"/>
                <a:gd name="T46" fmla="+- 0 565 520"/>
                <a:gd name="T47" fmla="*/ 565 h 111"/>
                <a:gd name="T48" fmla="+- 0 2429 2411"/>
                <a:gd name="T49" fmla="*/ T48 w 79"/>
                <a:gd name="T50" fmla="+- 0 584 520"/>
                <a:gd name="T51" fmla="*/ 584 h 111"/>
                <a:gd name="T52" fmla="+- 0 2449 2411"/>
                <a:gd name="T53" fmla="*/ T52 w 79"/>
                <a:gd name="T54" fmla="+- 0 592 520"/>
                <a:gd name="T55" fmla="*/ 592 h 111"/>
                <a:gd name="T56" fmla="+- 0 2474 2411"/>
                <a:gd name="T57" fmla="*/ T56 w 79"/>
                <a:gd name="T58" fmla="+- 0 592 520"/>
                <a:gd name="T59" fmla="*/ 592 h 111"/>
                <a:gd name="T60" fmla="+- 0 2461 2411"/>
                <a:gd name="T61" fmla="*/ T60 w 79"/>
                <a:gd name="T62" fmla="+- 0 599 520"/>
                <a:gd name="T63" fmla="*/ 599 h 111"/>
                <a:gd name="T64" fmla="+- 0 2436 2411"/>
                <a:gd name="T65" fmla="*/ T64 w 79"/>
                <a:gd name="T66" fmla="+- 0 600 520"/>
                <a:gd name="T67" fmla="*/ 600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9" h="111">
                  <a:moveTo>
                    <a:pt x="25" y="80"/>
                  </a:moveTo>
                  <a:lnTo>
                    <a:pt x="12" y="70"/>
                  </a:lnTo>
                  <a:lnTo>
                    <a:pt x="3" y="51"/>
                  </a:lnTo>
                  <a:lnTo>
                    <a:pt x="3" y="21"/>
                  </a:lnTo>
                  <a:lnTo>
                    <a:pt x="18" y="6"/>
                  </a:lnTo>
                  <a:lnTo>
                    <a:pt x="38" y="0"/>
                  </a:lnTo>
                  <a:lnTo>
                    <a:pt x="44" y="0"/>
                  </a:lnTo>
                  <a:lnTo>
                    <a:pt x="58" y="2"/>
                  </a:lnTo>
                  <a:lnTo>
                    <a:pt x="64" y="11"/>
                  </a:lnTo>
                  <a:lnTo>
                    <a:pt x="32" y="11"/>
                  </a:lnTo>
                  <a:lnTo>
                    <a:pt x="15" y="22"/>
                  </a:lnTo>
                  <a:lnTo>
                    <a:pt x="9" y="45"/>
                  </a:lnTo>
                  <a:lnTo>
                    <a:pt x="18" y="64"/>
                  </a:lnTo>
                  <a:lnTo>
                    <a:pt x="38" y="72"/>
                  </a:lnTo>
                  <a:lnTo>
                    <a:pt x="63" y="72"/>
                  </a:lnTo>
                  <a:lnTo>
                    <a:pt x="50" y="79"/>
                  </a:lnTo>
                  <a:lnTo>
                    <a:pt x="25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7" name="Freeform 4850">
              <a:extLst>
                <a:ext uri="{FF2B5EF4-FFF2-40B4-BE49-F238E27FC236}">
                  <a16:creationId xmlns:a16="http://schemas.microsoft.com/office/drawing/2014/main" id="{BFBA4282-8839-B254-6BA8-A0D158194B62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89 2411"/>
                <a:gd name="T1" fmla="*/ T0 w 79"/>
                <a:gd name="T2" fmla="+- 0 535 520"/>
                <a:gd name="T3" fmla="*/ 535 h 111"/>
                <a:gd name="T4" fmla="+- 0 2478 2411"/>
                <a:gd name="T5" fmla="*/ T4 w 79"/>
                <a:gd name="T6" fmla="+- 0 535 520"/>
                <a:gd name="T7" fmla="*/ 535 h 111"/>
                <a:gd name="T8" fmla="+- 0 2478 2411"/>
                <a:gd name="T9" fmla="*/ T8 w 79"/>
                <a:gd name="T10" fmla="+- 0 522 520"/>
                <a:gd name="T11" fmla="*/ 522 h 111"/>
                <a:gd name="T12" fmla="+- 0 2489 2411"/>
                <a:gd name="T13" fmla="*/ T12 w 79"/>
                <a:gd name="T14" fmla="+- 0 522 520"/>
                <a:gd name="T15" fmla="*/ 522 h 111"/>
                <a:gd name="T16" fmla="+- 0 2489 2411"/>
                <a:gd name="T17" fmla="*/ T16 w 79"/>
                <a:gd name="T18" fmla="+- 0 535 520"/>
                <a:gd name="T19" fmla="*/ 535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9" h="111">
                  <a:moveTo>
                    <a:pt x="78" y="15"/>
                  </a:moveTo>
                  <a:lnTo>
                    <a:pt x="67" y="15"/>
                  </a:lnTo>
                  <a:lnTo>
                    <a:pt x="67" y="2"/>
                  </a:lnTo>
                  <a:lnTo>
                    <a:pt x="78" y="2"/>
                  </a:lnTo>
                  <a:lnTo>
                    <a:pt x="78" y="1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8" name="Freeform 4849">
              <a:extLst>
                <a:ext uri="{FF2B5EF4-FFF2-40B4-BE49-F238E27FC236}">
                  <a16:creationId xmlns:a16="http://schemas.microsoft.com/office/drawing/2014/main" id="{01BB36F9-CE08-6E16-812A-91AB20AD2DDD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74 2411"/>
                <a:gd name="T1" fmla="*/ T0 w 79"/>
                <a:gd name="T2" fmla="+- 0 592 520"/>
                <a:gd name="T3" fmla="*/ 592 h 111"/>
                <a:gd name="T4" fmla="+- 0 2449 2411"/>
                <a:gd name="T5" fmla="*/ T4 w 79"/>
                <a:gd name="T6" fmla="+- 0 592 520"/>
                <a:gd name="T7" fmla="*/ 592 h 111"/>
                <a:gd name="T8" fmla="+- 0 2460 2411"/>
                <a:gd name="T9" fmla="*/ T8 w 79"/>
                <a:gd name="T10" fmla="+- 0 590 520"/>
                <a:gd name="T11" fmla="*/ 590 h 111"/>
                <a:gd name="T12" fmla="+- 0 2474 2411"/>
                <a:gd name="T13" fmla="*/ T12 w 79"/>
                <a:gd name="T14" fmla="+- 0 576 520"/>
                <a:gd name="T15" fmla="*/ 576 h 111"/>
                <a:gd name="T16" fmla="+- 0 2478 2411"/>
                <a:gd name="T17" fmla="*/ T16 w 79"/>
                <a:gd name="T18" fmla="+- 0 553 520"/>
                <a:gd name="T19" fmla="*/ 553 h 111"/>
                <a:gd name="T20" fmla="+- 0 2466 2411"/>
                <a:gd name="T21" fmla="*/ T20 w 79"/>
                <a:gd name="T22" fmla="+- 0 537 520"/>
                <a:gd name="T23" fmla="*/ 537 h 111"/>
                <a:gd name="T24" fmla="+- 0 2443 2411"/>
                <a:gd name="T25" fmla="*/ T24 w 79"/>
                <a:gd name="T26" fmla="+- 0 531 520"/>
                <a:gd name="T27" fmla="*/ 531 h 111"/>
                <a:gd name="T28" fmla="+- 0 2475 2411"/>
                <a:gd name="T29" fmla="*/ T28 w 79"/>
                <a:gd name="T30" fmla="+- 0 531 520"/>
                <a:gd name="T31" fmla="*/ 531 h 111"/>
                <a:gd name="T32" fmla="+- 0 2478 2411"/>
                <a:gd name="T33" fmla="*/ T32 w 79"/>
                <a:gd name="T34" fmla="+- 0 535 520"/>
                <a:gd name="T35" fmla="*/ 535 h 111"/>
                <a:gd name="T36" fmla="+- 0 2489 2411"/>
                <a:gd name="T37" fmla="*/ T36 w 79"/>
                <a:gd name="T38" fmla="+- 0 535 520"/>
                <a:gd name="T39" fmla="*/ 535 h 111"/>
                <a:gd name="T40" fmla="+- 0 2489 2411"/>
                <a:gd name="T41" fmla="*/ T40 w 79"/>
                <a:gd name="T42" fmla="+- 0 591 520"/>
                <a:gd name="T43" fmla="*/ 591 h 111"/>
                <a:gd name="T44" fmla="+- 0 2476 2411"/>
                <a:gd name="T45" fmla="*/ T44 w 79"/>
                <a:gd name="T46" fmla="+- 0 591 520"/>
                <a:gd name="T47" fmla="*/ 591 h 111"/>
                <a:gd name="T48" fmla="+- 0 2474 2411"/>
                <a:gd name="T49" fmla="*/ T48 w 79"/>
                <a:gd name="T50" fmla="+- 0 592 520"/>
                <a:gd name="T51" fmla="*/ 592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79" h="111">
                  <a:moveTo>
                    <a:pt x="63" y="72"/>
                  </a:moveTo>
                  <a:lnTo>
                    <a:pt x="38" y="72"/>
                  </a:lnTo>
                  <a:lnTo>
                    <a:pt x="49" y="70"/>
                  </a:lnTo>
                  <a:lnTo>
                    <a:pt x="63" y="56"/>
                  </a:lnTo>
                  <a:lnTo>
                    <a:pt x="67" y="33"/>
                  </a:lnTo>
                  <a:lnTo>
                    <a:pt x="55" y="17"/>
                  </a:lnTo>
                  <a:lnTo>
                    <a:pt x="32" y="11"/>
                  </a:lnTo>
                  <a:lnTo>
                    <a:pt x="64" y="11"/>
                  </a:lnTo>
                  <a:lnTo>
                    <a:pt x="67" y="15"/>
                  </a:lnTo>
                  <a:lnTo>
                    <a:pt x="78" y="15"/>
                  </a:lnTo>
                  <a:lnTo>
                    <a:pt x="78" y="71"/>
                  </a:lnTo>
                  <a:lnTo>
                    <a:pt x="65" y="71"/>
                  </a:lnTo>
                  <a:lnTo>
                    <a:pt x="63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9" name="Freeform 4848">
              <a:extLst>
                <a:ext uri="{FF2B5EF4-FFF2-40B4-BE49-F238E27FC236}">
                  <a16:creationId xmlns:a16="http://schemas.microsoft.com/office/drawing/2014/main" id="{F525F9AE-059F-0BF5-32FF-FEFA0EB9CE16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79 2411"/>
                <a:gd name="T1" fmla="*/ T0 w 79"/>
                <a:gd name="T2" fmla="+- 0 621 520"/>
                <a:gd name="T3" fmla="*/ 621 h 111"/>
                <a:gd name="T4" fmla="+- 0 2464 2411"/>
                <a:gd name="T5" fmla="*/ T4 w 79"/>
                <a:gd name="T6" fmla="+- 0 621 520"/>
                <a:gd name="T7" fmla="*/ 621 h 111"/>
                <a:gd name="T8" fmla="+- 0 2478 2411"/>
                <a:gd name="T9" fmla="*/ T8 w 79"/>
                <a:gd name="T10" fmla="+- 0 613 520"/>
                <a:gd name="T11" fmla="*/ 613 h 111"/>
                <a:gd name="T12" fmla="+- 0 2478 2411"/>
                <a:gd name="T13" fmla="*/ T12 w 79"/>
                <a:gd name="T14" fmla="+- 0 592 520"/>
                <a:gd name="T15" fmla="*/ 592 h 111"/>
                <a:gd name="T16" fmla="+- 0 2476 2411"/>
                <a:gd name="T17" fmla="*/ T16 w 79"/>
                <a:gd name="T18" fmla="+- 0 591 520"/>
                <a:gd name="T19" fmla="*/ 591 h 111"/>
                <a:gd name="T20" fmla="+- 0 2489 2411"/>
                <a:gd name="T21" fmla="*/ T20 w 79"/>
                <a:gd name="T22" fmla="+- 0 591 520"/>
                <a:gd name="T23" fmla="*/ 591 h 111"/>
                <a:gd name="T24" fmla="+- 0 2489 2411"/>
                <a:gd name="T25" fmla="*/ T24 w 79"/>
                <a:gd name="T26" fmla="+- 0 607 520"/>
                <a:gd name="T27" fmla="*/ 607 h 111"/>
                <a:gd name="T28" fmla="+- 0 2482 2411"/>
                <a:gd name="T29" fmla="*/ T28 w 79"/>
                <a:gd name="T30" fmla="+- 0 616 520"/>
                <a:gd name="T31" fmla="*/ 616 h 111"/>
                <a:gd name="T32" fmla="+- 0 2479 2411"/>
                <a:gd name="T33" fmla="*/ T32 w 79"/>
                <a:gd name="T34" fmla="+- 0 621 520"/>
                <a:gd name="T35" fmla="*/ 621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79" h="111">
                  <a:moveTo>
                    <a:pt x="68" y="101"/>
                  </a:moveTo>
                  <a:lnTo>
                    <a:pt x="53" y="101"/>
                  </a:lnTo>
                  <a:lnTo>
                    <a:pt x="67" y="93"/>
                  </a:lnTo>
                  <a:lnTo>
                    <a:pt x="67" y="72"/>
                  </a:lnTo>
                  <a:lnTo>
                    <a:pt x="65" y="71"/>
                  </a:lnTo>
                  <a:lnTo>
                    <a:pt x="78" y="71"/>
                  </a:lnTo>
                  <a:lnTo>
                    <a:pt x="78" y="87"/>
                  </a:lnTo>
                  <a:lnTo>
                    <a:pt x="71" y="96"/>
                  </a:lnTo>
                  <a:lnTo>
                    <a:pt x="68" y="10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0" name="Freeform 4847">
              <a:extLst>
                <a:ext uri="{FF2B5EF4-FFF2-40B4-BE49-F238E27FC236}">
                  <a16:creationId xmlns:a16="http://schemas.microsoft.com/office/drawing/2014/main" id="{B2873429-76ED-A22F-E36D-8CD4D47F2C48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53 2411"/>
                <a:gd name="T1" fmla="*/ T0 w 79"/>
                <a:gd name="T2" fmla="+- 0 631 520"/>
                <a:gd name="T3" fmla="*/ 631 h 111"/>
                <a:gd name="T4" fmla="+- 0 2446 2411"/>
                <a:gd name="T5" fmla="*/ T4 w 79"/>
                <a:gd name="T6" fmla="+- 0 630 520"/>
                <a:gd name="T7" fmla="*/ 630 h 111"/>
                <a:gd name="T8" fmla="+- 0 2427 2411"/>
                <a:gd name="T9" fmla="*/ T8 w 79"/>
                <a:gd name="T10" fmla="+- 0 624 520"/>
                <a:gd name="T11" fmla="*/ 624 h 111"/>
                <a:gd name="T12" fmla="+- 0 2411 2411"/>
                <a:gd name="T13" fmla="*/ T12 w 79"/>
                <a:gd name="T14" fmla="+- 0 602 520"/>
                <a:gd name="T15" fmla="*/ 602 h 111"/>
                <a:gd name="T16" fmla="+- 0 2411 2411"/>
                <a:gd name="T17" fmla="*/ T16 w 79"/>
                <a:gd name="T18" fmla="+- 0 601 520"/>
                <a:gd name="T19" fmla="*/ 601 h 111"/>
                <a:gd name="T20" fmla="+- 0 2423 2411"/>
                <a:gd name="T21" fmla="*/ T20 w 79"/>
                <a:gd name="T22" fmla="+- 0 601 520"/>
                <a:gd name="T23" fmla="*/ 601 h 111"/>
                <a:gd name="T24" fmla="+- 0 2423 2411"/>
                <a:gd name="T25" fmla="*/ T24 w 79"/>
                <a:gd name="T26" fmla="+- 0 602 520"/>
                <a:gd name="T27" fmla="*/ 602 h 111"/>
                <a:gd name="T28" fmla="+- 0 2425 2411"/>
                <a:gd name="T29" fmla="*/ T28 w 79"/>
                <a:gd name="T30" fmla="+- 0 607 520"/>
                <a:gd name="T31" fmla="*/ 607 h 111"/>
                <a:gd name="T32" fmla="+- 0 2433 2411"/>
                <a:gd name="T33" fmla="*/ T32 w 79"/>
                <a:gd name="T34" fmla="+- 0 621 520"/>
                <a:gd name="T35" fmla="*/ 621 h 111"/>
                <a:gd name="T36" fmla="+- 0 2479 2411"/>
                <a:gd name="T37" fmla="*/ T36 w 79"/>
                <a:gd name="T38" fmla="+- 0 621 520"/>
                <a:gd name="T39" fmla="*/ 621 h 111"/>
                <a:gd name="T40" fmla="+- 0 2472 2411"/>
                <a:gd name="T41" fmla="*/ T40 w 79"/>
                <a:gd name="T42" fmla="+- 0 630 520"/>
                <a:gd name="T43" fmla="*/ 630 h 111"/>
                <a:gd name="T44" fmla="+- 0 2453 2411"/>
                <a:gd name="T45" fmla="*/ T44 w 79"/>
                <a:gd name="T46" fmla="+- 0 631 520"/>
                <a:gd name="T47" fmla="*/ 631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79" h="111">
                  <a:moveTo>
                    <a:pt x="42" y="111"/>
                  </a:moveTo>
                  <a:lnTo>
                    <a:pt x="35" y="110"/>
                  </a:lnTo>
                  <a:lnTo>
                    <a:pt x="16" y="104"/>
                  </a:lnTo>
                  <a:lnTo>
                    <a:pt x="0" y="82"/>
                  </a:lnTo>
                  <a:lnTo>
                    <a:pt x="0" y="81"/>
                  </a:lnTo>
                  <a:lnTo>
                    <a:pt x="12" y="81"/>
                  </a:lnTo>
                  <a:lnTo>
                    <a:pt x="12" y="82"/>
                  </a:lnTo>
                  <a:lnTo>
                    <a:pt x="14" y="87"/>
                  </a:lnTo>
                  <a:lnTo>
                    <a:pt x="22" y="101"/>
                  </a:lnTo>
                  <a:lnTo>
                    <a:pt x="68" y="101"/>
                  </a:lnTo>
                  <a:lnTo>
                    <a:pt x="61" y="110"/>
                  </a:lnTo>
                  <a:lnTo>
                    <a:pt x="42" y="11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50EE6B45-DD20-4432-B432-CACFF594AAC4}"/>
              </a:ext>
            </a:extLst>
          </xdr:cNvPr>
          <xdr:cNvGrpSpPr>
            <a:grpSpLocks/>
          </xdr:cNvGrpSpPr>
        </xdr:nvGrpSpPr>
        <xdr:grpSpPr bwMode="auto">
          <a:xfrm>
            <a:off x="2506" y="520"/>
            <a:ext cx="115" cy="81"/>
            <a:chOff x="2506" y="520"/>
            <a:chExt cx="115" cy="81"/>
          </a:xfrm>
        </xdr:grpSpPr>
        <xdr:sp macro="" textlink="">
          <xdr:nvSpPr>
            <xdr:cNvPr id="41" name="Freeform 4845">
              <a:extLst>
                <a:ext uri="{FF2B5EF4-FFF2-40B4-BE49-F238E27FC236}">
                  <a16:creationId xmlns:a16="http://schemas.microsoft.com/office/drawing/2014/main" id="{85FCE22A-7B67-3454-4873-9C63E5FB541D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61 2506"/>
                <a:gd name="T1" fmla="*/ T0 w 115"/>
                <a:gd name="T2" fmla="+- 0 530 520"/>
                <a:gd name="T3" fmla="*/ 530 h 81"/>
                <a:gd name="T4" fmla="+- 0 2517 2506"/>
                <a:gd name="T5" fmla="*/ T4 w 115"/>
                <a:gd name="T6" fmla="+- 0 530 520"/>
                <a:gd name="T7" fmla="*/ 530 h 81"/>
                <a:gd name="T8" fmla="+- 0 2522 2506"/>
                <a:gd name="T9" fmla="*/ T8 w 115"/>
                <a:gd name="T10" fmla="+- 0 523 520"/>
                <a:gd name="T11" fmla="*/ 523 h 81"/>
                <a:gd name="T12" fmla="+- 0 2530 2506"/>
                <a:gd name="T13" fmla="*/ T12 w 115"/>
                <a:gd name="T14" fmla="+- 0 520 520"/>
                <a:gd name="T15" fmla="*/ 520 h 81"/>
                <a:gd name="T16" fmla="+- 0 2544 2506"/>
                <a:gd name="T17" fmla="*/ T16 w 115"/>
                <a:gd name="T18" fmla="+- 0 520 520"/>
                <a:gd name="T19" fmla="*/ 520 h 81"/>
                <a:gd name="T20" fmla="+- 0 2557 2506"/>
                <a:gd name="T21" fmla="*/ T20 w 115"/>
                <a:gd name="T22" fmla="+- 0 523 520"/>
                <a:gd name="T23" fmla="*/ 523 h 81"/>
                <a:gd name="T24" fmla="+- 0 2561 2506"/>
                <a:gd name="T25" fmla="*/ T24 w 115"/>
                <a:gd name="T26" fmla="+- 0 530 520"/>
                <a:gd name="T27" fmla="*/ 53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15" h="81">
                  <a:moveTo>
                    <a:pt x="55" y="10"/>
                  </a:moveTo>
                  <a:lnTo>
                    <a:pt x="11" y="10"/>
                  </a:lnTo>
                  <a:lnTo>
                    <a:pt x="16" y="3"/>
                  </a:lnTo>
                  <a:lnTo>
                    <a:pt x="24" y="0"/>
                  </a:lnTo>
                  <a:lnTo>
                    <a:pt x="38" y="0"/>
                  </a:lnTo>
                  <a:lnTo>
                    <a:pt x="51" y="3"/>
                  </a:lnTo>
                  <a:lnTo>
                    <a:pt x="55" y="1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2" name="Freeform 4844">
              <a:extLst>
                <a:ext uri="{FF2B5EF4-FFF2-40B4-BE49-F238E27FC236}">
                  <a16:creationId xmlns:a16="http://schemas.microsoft.com/office/drawing/2014/main" id="{B4ED62C6-19EC-55A6-888D-5842A314C5F7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75 2506"/>
                <a:gd name="T1" fmla="*/ T0 w 115"/>
                <a:gd name="T2" fmla="+- 0 534 520"/>
                <a:gd name="T3" fmla="*/ 534 h 81"/>
                <a:gd name="T4" fmla="+- 0 2563 2506"/>
                <a:gd name="T5" fmla="*/ T4 w 115"/>
                <a:gd name="T6" fmla="+- 0 534 520"/>
                <a:gd name="T7" fmla="*/ 534 h 81"/>
                <a:gd name="T8" fmla="+- 0 2569 2506"/>
                <a:gd name="T9" fmla="*/ T8 w 115"/>
                <a:gd name="T10" fmla="+- 0 523 520"/>
                <a:gd name="T11" fmla="*/ 523 h 81"/>
                <a:gd name="T12" fmla="+- 0 2582 2506"/>
                <a:gd name="T13" fmla="*/ T12 w 115"/>
                <a:gd name="T14" fmla="+- 0 520 520"/>
                <a:gd name="T15" fmla="*/ 520 h 81"/>
                <a:gd name="T16" fmla="+- 0 2589 2506"/>
                <a:gd name="T17" fmla="*/ T16 w 115"/>
                <a:gd name="T18" fmla="+- 0 520 520"/>
                <a:gd name="T19" fmla="*/ 520 h 81"/>
                <a:gd name="T20" fmla="+- 0 2594 2506"/>
                <a:gd name="T21" fmla="*/ T20 w 115"/>
                <a:gd name="T22" fmla="+- 0 521 520"/>
                <a:gd name="T23" fmla="*/ 521 h 81"/>
                <a:gd name="T24" fmla="+- 0 2612 2506"/>
                <a:gd name="T25" fmla="*/ T24 w 115"/>
                <a:gd name="T26" fmla="+- 0 529 520"/>
                <a:gd name="T27" fmla="*/ 529 h 81"/>
                <a:gd name="T28" fmla="+- 0 2612 2506"/>
                <a:gd name="T29" fmla="*/ T28 w 115"/>
                <a:gd name="T30" fmla="+- 0 530 520"/>
                <a:gd name="T31" fmla="*/ 530 h 81"/>
                <a:gd name="T32" fmla="+- 0 2582 2506"/>
                <a:gd name="T33" fmla="*/ T32 w 115"/>
                <a:gd name="T34" fmla="+- 0 530 520"/>
                <a:gd name="T35" fmla="*/ 530 h 81"/>
                <a:gd name="T36" fmla="+- 0 2576 2506"/>
                <a:gd name="T37" fmla="*/ T36 w 115"/>
                <a:gd name="T38" fmla="+- 0 534 520"/>
                <a:gd name="T39" fmla="*/ 534 h 81"/>
                <a:gd name="T40" fmla="+- 0 2575 2506"/>
                <a:gd name="T41" fmla="*/ T40 w 115"/>
                <a:gd name="T42" fmla="+- 0 534 520"/>
                <a:gd name="T43" fmla="*/ 534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15" h="81">
                  <a:moveTo>
                    <a:pt x="69" y="14"/>
                  </a:moveTo>
                  <a:lnTo>
                    <a:pt x="57" y="14"/>
                  </a:lnTo>
                  <a:lnTo>
                    <a:pt x="63" y="3"/>
                  </a:lnTo>
                  <a:lnTo>
                    <a:pt x="76" y="0"/>
                  </a:lnTo>
                  <a:lnTo>
                    <a:pt x="83" y="0"/>
                  </a:lnTo>
                  <a:lnTo>
                    <a:pt x="88" y="1"/>
                  </a:lnTo>
                  <a:lnTo>
                    <a:pt x="106" y="9"/>
                  </a:lnTo>
                  <a:lnTo>
                    <a:pt x="106" y="10"/>
                  </a:lnTo>
                  <a:lnTo>
                    <a:pt x="76" y="10"/>
                  </a:lnTo>
                  <a:lnTo>
                    <a:pt x="70" y="14"/>
                  </a:lnTo>
                  <a:lnTo>
                    <a:pt x="69" y="14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3" name="Freeform 4843">
              <a:extLst>
                <a:ext uri="{FF2B5EF4-FFF2-40B4-BE49-F238E27FC236}">
                  <a16:creationId xmlns:a16="http://schemas.microsoft.com/office/drawing/2014/main" id="{E33EF625-05F9-198E-2B2A-29BF878EE4E2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17 2506"/>
                <a:gd name="T1" fmla="*/ T0 w 115"/>
                <a:gd name="T2" fmla="+- 0 601 520"/>
                <a:gd name="T3" fmla="*/ 601 h 81"/>
                <a:gd name="T4" fmla="+- 0 2506 2506"/>
                <a:gd name="T5" fmla="*/ T4 w 115"/>
                <a:gd name="T6" fmla="+- 0 601 520"/>
                <a:gd name="T7" fmla="*/ 601 h 81"/>
                <a:gd name="T8" fmla="+- 0 2506 2506"/>
                <a:gd name="T9" fmla="*/ T8 w 115"/>
                <a:gd name="T10" fmla="+- 0 522 520"/>
                <a:gd name="T11" fmla="*/ 522 h 81"/>
                <a:gd name="T12" fmla="+- 0 2517 2506"/>
                <a:gd name="T13" fmla="*/ T12 w 115"/>
                <a:gd name="T14" fmla="+- 0 522 520"/>
                <a:gd name="T15" fmla="*/ 522 h 81"/>
                <a:gd name="T16" fmla="+- 0 2517 2506"/>
                <a:gd name="T17" fmla="*/ T16 w 115"/>
                <a:gd name="T18" fmla="+- 0 530 520"/>
                <a:gd name="T19" fmla="*/ 530 h 81"/>
                <a:gd name="T20" fmla="+- 0 2561 2506"/>
                <a:gd name="T21" fmla="*/ T20 w 115"/>
                <a:gd name="T22" fmla="+- 0 530 520"/>
                <a:gd name="T23" fmla="*/ 530 h 81"/>
                <a:gd name="T24" fmla="+- 0 2561 2506"/>
                <a:gd name="T25" fmla="*/ T24 w 115"/>
                <a:gd name="T26" fmla="+- 0 530 520"/>
                <a:gd name="T27" fmla="*/ 530 h 81"/>
                <a:gd name="T28" fmla="+- 0 2530 2506"/>
                <a:gd name="T29" fmla="*/ T28 w 115"/>
                <a:gd name="T30" fmla="+- 0 530 520"/>
                <a:gd name="T31" fmla="*/ 530 h 81"/>
                <a:gd name="T32" fmla="+- 0 2524 2506"/>
                <a:gd name="T33" fmla="*/ T32 w 115"/>
                <a:gd name="T34" fmla="+- 0 534 520"/>
                <a:gd name="T35" fmla="*/ 534 h 81"/>
                <a:gd name="T36" fmla="+- 0 2520 2506"/>
                <a:gd name="T37" fmla="*/ T36 w 115"/>
                <a:gd name="T38" fmla="+- 0 540 520"/>
                <a:gd name="T39" fmla="*/ 540 h 81"/>
                <a:gd name="T40" fmla="+- 0 2518 2506"/>
                <a:gd name="T41" fmla="*/ T40 w 115"/>
                <a:gd name="T42" fmla="+- 0 543 520"/>
                <a:gd name="T43" fmla="*/ 543 h 81"/>
                <a:gd name="T44" fmla="+- 0 2517 2506"/>
                <a:gd name="T45" fmla="*/ T44 w 115"/>
                <a:gd name="T46" fmla="+- 0 547 520"/>
                <a:gd name="T47" fmla="*/ 547 h 81"/>
                <a:gd name="T48" fmla="+- 0 2517 2506"/>
                <a:gd name="T49" fmla="*/ T48 w 115"/>
                <a:gd name="T50" fmla="+- 0 601 520"/>
                <a:gd name="T51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115" h="81">
                  <a:moveTo>
                    <a:pt x="11" y="81"/>
                  </a:moveTo>
                  <a:lnTo>
                    <a:pt x="0" y="81"/>
                  </a:lnTo>
                  <a:lnTo>
                    <a:pt x="0" y="2"/>
                  </a:lnTo>
                  <a:lnTo>
                    <a:pt x="11" y="2"/>
                  </a:lnTo>
                  <a:lnTo>
                    <a:pt x="11" y="10"/>
                  </a:lnTo>
                  <a:lnTo>
                    <a:pt x="55" y="10"/>
                  </a:lnTo>
                  <a:lnTo>
                    <a:pt x="24" y="10"/>
                  </a:lnTo>
                  <a:lnTo>
                    <a:pt x="18" y="14"/>
                  </a:lnTo>
                  <a:lnTo>
                    <a:pt x="14" y="20"/>
                  </a:lnTo>
                  <a:lnTo>
                    <a:pt x="12" y="23"/>
                  </a:lnTo>
                  <a:lnTo>
                    <a:pt x="11" y="27"/>
                  </a:lnTo>
                  <a:lnTo>
                    <a:pt x="11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4" name="Freeform 4842">
              <a:extLst>
                <a:ext uri="{FF2B5EF4-FFF2-40B4-BE49-F238E27FC236}">
                  <a16:creationId xmlns:a16="http://schemas.microsoft.com/office/drawing/2014/main" id="{0BD51DE2-C3E8-4400-5C85-348594AE8D08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69 2506"/>
                <a:gd name="T1" fmla="*/ T0 w 115"/>
                <a:gd name="T2" fmla="+- 0 601 520"/>
                <a:gd name="T3" fmla="*/ 601 h 81"/>
                <a:gd name="T4" fmla="+- 0 2558 2506"/>
                <a:gd name="T5" fmla="*/ T4 w 115"/>
                <a:gd name="T6" fmla="+- 0 601 520"/>
                <a:gd name="T7" fmla="*/ 601 h 81"/>
                <a:gd name="T8" fmla="+- 0 2558 2506"/>
                <a:gd name="T9" fmla="*/ T8 w 115"/>
                <a:gd name="T10" fmla="+- 0 547 520"/>
                <a:gd name="T11" fmla="*/ 547 h 81"/>
                <a:gd name="T12" fmla="+- 0 2556 2506"/>
                <a:gd name="T13" fmla="*/ T12 w 115"/>
                <a:gd name="T14" fmla="+- 0 543 520"/>
                <a:gd name="T15" fmla="*/ 543 h 81"/>
                <a:gd name="T16" fmla="+- 0 2554 2506"/>
                <a:gd name="T17" fmla="*/ T16 w 115"/>
                <a:gd name="T18" fmla="+- 0 540 520"/>
                <a:gd name="T19" fmla="*/ 540 h 81"/>
                <a:gd name="T20" fmla="+- 0 2551 2506"/>
                <a:gd name="T21" fmla="*/ T20 w 115"/>
                <a:gd name="T22" fmla="+- 0 534 520"/>
                <a:gd name="T23" fmla="*/ 534 h 81"/>
                <a:gd name="T24" fmla="+- 0 2545 2506"/>
                <a:gd name="T25" fmla="*/ T24 w 115"/>
                <a:gd name="T26" fmla="+- 0 530 520"/>
                <a:gd name="T27" fmla="*/ 530 h 81"/>
                <a:gd name="T28" fmla="+- 0 2561 2506"/>
                <a:gd name="T29" fmla="*/ T28 w 115"/>
                <a:gd name="T30" fmla="+- 0 530 520"/>
                <a:gd name="T31" fmla="*/ 530 h 81"/>
                <a:gd name="T32" fmla="+- 0 2563 2506"/>
                <a:gd name="T33" fmla="*/ T32 w 115"/>
                <a:gd name="T34" fmla="+- 0 534 520"/>
                <a:gd name="T35" fmla="*/ 534 h 81"/>
                <a:gd name="T36" fmla="+- 0 2575 2506"/>
                <a:gd name="T37" fmla="*/ T36 w 115"/>
                <a:gd name="T38" fmla="+- 0 534 520"/>
                <a:gd name="T39" fmla="*/ 534 h 81"/>
                <a:gd name="T40" fmla="+- 0 2572 2506"/>
                <a:gd name="T41" fmla="*/ T40 w 115"/>
                <a:gd name="T42" fmla="+- 0 540 520"/>
                <a:gd name="T43" fmla="*/ 540 h 81"/>
                <a:gd name="T44" fmla="+- 0 2570 2506"/>
                <a:gd name="T45" fmla="*/ T44 w 115"/>
                <a:gd name="T46" fmla="+- 0 543 520"/>
                <a:gd name="T47" fmla="*/ 543 h 81"/>
                <a:gd name="T48" fmla="+- 0 2569 2506"/>
                <a:gd name="T49" fmla="*/ T48 w 115"/>
                <a:gd name="T50" fmla="+- 0 547 520"/>
                <a:gd name="T51" fmla="*/ 547 h 81"/>
                <a:gd name="T52" fmla="+- 0 2569 2506"/>
                <a:gd name="T53" fmla="*/ T52 w 115"/>
                <a:gd name="T54" fmla="+- 0 601 520"/>
                <a:gd name="T55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115" h="81">
                  <a:moveTo>
                    <a:pt x="63" y="81"/>
                  </a:moveTo>
                  <a:lnTo>
                    <a:pt x="52" y="81"/>
                  </a:lnTo>
                  <a:lnTo>
                    <a:pt x="52" y="27"/>
                  </a:lnTo>
                  <a:lnTo>
                    <a:pt x="50" y="23"/>
                  </a:lnTo>
                  <a:lnTo>
                    <a:pt x="48" y="20"/>
                  </a:lnTo>
                  <a:lnTo>
                    <a:pt x="45" y="14"/>
                  </a:lnTo>
                  <a:lnTo>
                    <a:pt x="39" y="10"/>
                  </a:lnTo>
                  <a:lnTo>
                    <a:pt x="55" y="10"/>
                  </a:lnTo>
                  <a:lnTo>
                    <a:pt x="57" y="14"/>
                  </a:lnTo>
                  <a:lnTo>
                    <a:pt x="69" y="14"/>
                  </a:lnTo>
                  <a:lnTo>
                    <a:pt x="66" y="20"/>
                  </a:lnTo>
                  <a:lnTo>
                    <a:pt x="64" y="23"/>
                  </a:lnTo>
                  <a:lnTo>
                    <a:pt x="63" y="27"/>
                  </a:lnTo>
                  <a:lnTo>
                    <a:pt x="63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5" name="Freeform 4841">
              <a:extLst>
                <a:ext uri="{FF2B5EF4-FFF2-40B4-BE49-F238E27FC236}">
                  <a16:creationId xmlns:a16="http://schemas.microsoft.com/office/drawing/2014/main" id="{5725C5E5-35D5-08F7-0040-66EF65518285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620 2506"/>
                <a:gd name="T1" fmla="*/ T0 w 115"/>
                <a:gd name="T2" fmla="+- 0 601 520"/>
                <a:gd name="T3" fmla="*/ 601 h 81"/>
                <a:gd name="T4" fmla="+- 0 2609 2506"/>
                <a:gd name="T5" fmla="*/ T4 w 115"/>
                <a:gd name="T6" fmla="+- 0 601 520"/>
                <a:gd name="T7" fmla="*/ 601 h 81"/>
                <a:gd name="T8" fmla="+- 0 2609 2506"/>
                <a:gd name="T9" fmla="*/ T8 w 115"/>
                <a:gd name="T10" fmla="+- 0 547 520"/>
                <a:gd name="T11" fmla="*/ 547 h 81"/>
                <a:gd name="T12" fmla="+- 0 2608 2506"/>
                <a:gd name="T13" fmla="*/ T12 w 115"/>
                <a:gd name="T14" fmla="+- 0 543 520"/>
                <a:gd name="T15" fmla="*/ 543 h 81"/>
                <a:gd name="T16" fmla="+- 0 2606 2506"/>
                <a:gd name="T17" fmla="*/ T16 w 115"/>
                <a:gd name="T18" fmla="+- 0 540 520"/>
                <a:gd name="T19" fmla="*/ 540 h 81"/>
                <a:gd name="T20" fmla="+- 0 2603 2506"/>
                <a:gd name="T21" fmla="*/ T20 w 115"/>
                <a:gd name="T22" fmla="+- 0 534 520"/>
                <a:gd name="T23" fmla="*/ 534 h 81"/>
                <a:gd name="T24" fmla="+- 0 2596 2506"/>
                <a:gd name="T25" fmla="*/ T24 w 115"/>
                <a:gd name="T26" fmla="+- 0 530 520"/>
                <a:gd name="T27" fmla="*/ 530 h 81"/>
                <a:gd name="T28" fmla="+- 0 2612 2506"/>
                <a:gd name="T29" fmla="*/ T28 w 115"/>
                <a:gd name="T30" fmla="+- 0 530 520"/>
                <a:gd name="T31" fmla="*/ 530 h 81"/>
                <a:gd name="T32" fmla="+- 0 2620 2506"/>
                <a:gd name="T33" fmla="*/ T32 w 115"/>
                <a:gd name="T34" fmla="+- 0 554 520"/>
                <a:gd name="T35" fmla="*/ 554 h 81"/>
                <a:gd name="T36" fmla="+- 0 2620 2506"/>
                <a:gd name="T37" fmla="*/ T36 w 115"/>
                <a:gd name="T38" fmla="+- 0 601 520"/>
                <a:gd name="T39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15" h="81">
                  <a:moveTo>
                    <a:pt x="114" y="81"/>
                  </a:moveTo>
                  <a:lnTo>
                    <a:pt x="103" y="81"/>
                  </a:lnTo>
                  <a:lnTo>
                    <a:pt x="103" y="27"/>
                  </a:lnTo>
                  <a:lnTo>
                    <a:pt x="102" y="23"/>
                  </a:lnTo>
                  <a:lnTo>
                    <a:pt x="100" y="20"/>
                  </a:lnTo>
                  <a:lnTo>
                    <a:pt x="97" y="14"/>
                  </a:lnTo>
                  <a:lnTo>
                    <a:pt x="90" y="10"/>
                  </a:lnTo>
                  <a:lnTo>
                    <a:pt x="106" y="10"/>
                  </a:lnTo>
                  <a:lnTo>
                    <a:pt x="114" y="34"/>
                  </a:lnTo>
                  <a:lnTo>
                    <a:pt x="114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8E4F617B-35E6-1216-5338-3C0CC35DEFA1}"/>
              </a:ext>
            </a:extLst>
          </xdr:cNvPr>
          <xdr:cNvGrpSpPr>
            <a:grpSpLocks/>
          </xdr:cNvGrpSpPr>
        </xdr:nvGrpSpPr>
        <xdr:grpSpPr bwMode="auto">
          <a:xfrm>
            <a:off x="2638" y="520"/>
            <a:ext cx="78" cy="80"/>
            <a:chOff x="2638" y="520"/>
            <a:chExt cx="78" cy="80"/>
          </a:xfrm>
        </xdr:grpSpPr>
        <xdr:sp macro="" textlink="">
          <xdr:nvSpPr>
            <xdr:cNvPr id="38" name="Freeform 4839">
              <a:extLst>
                <a:ext uri="{FF2B5EF4-FFF2-40B4-BE49-F238E27FC236}">
                  <a16:creationId xmlns:a16="http://schemas.microsoft.com/office/drawing/2014/main" id="{396940C2-9093-462A-25DF-5183E2710AD0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661 2638"/>
                <a:gd name="T1" fmla="*/ T0 w 78"/>
                <a:gd name="T2" fmla="+- 0 600 520"/>
                <a:gd name="T3" fmla="*/ 600 h 80"/>
                <a:gd name="T4" fmla="+- 0 2647 2638"/>
                <a:gd name="T5" fmla="*/ T4 w 78"/>
                <a:gd name="T6" fmla="+- 0 590 520"/>
                <a:gd name="T7" fmla="*/ 590 h 80"/>
                <a:gd name="T8" fmla="+- 0 2639 2638"/>
                <a:gd name="T9" fmla="*/ T8 w 78"/>
                <a:gd name="T10" fmla="+- 0 571 520"/>
                <a:gd name="T11" fmla="*/ 571 h 80"/>
                <a:gd name="T12" fmla="+- 0 2638 2638"/>
                <a:gd name="T13" fmla="*/ T12 w 78"/>
                <a:gd name="T14" fmla="+- 0 542 520"/>
                <a:gd name="T15" fmla="*/ 542 h 80"/>
                <a:gd name="T16" fmla="+- 0 2653 2638"/>
                <a:gd name="T17" fmla="*/ T16 w 78"/>
                <a:gd name="T18" fmla="+- 0 527 520"/>
                <a:gd name="T19" fmla="*/ 527 h 80"/>
                <a:gd name="T20" fmla="+- 0 2674 2638"/>
                <a:gd name="T21" fmla="*/ T20 w 78"/>
                <a:gd name="T22" fmla="+- 0 520 520"/>
                <a:gd name="T23" fmla="*/ 520 h 80"/>
                <a:gd name="T24" fmla="+- 0 2696 2638"/>
                <a:gd name="T25" fmla="*/ T24 w 78"/>
                <a:gd name="T26" fmla="+- 0 527 520"/>
                <a:gd name="T27" fmla="*/ 527 h 80"/>
                <a:gd name="T28" fmla="+- 0 2699 2638"/>
                <a:gd name="T29" fmla="*/ T28 w 78"/>
                <a:gd name="T30" fmla="+- 0 530 520"/>
                <a:gd name="T31" fmla="*/ 530 h 80"/>
                <a:gd name="T32" fmla="+- 0 2661 2638"/>
                <a:gd name="T33" fmla="*/ T32 w 78"/>
                <a:gd name="T34" fmla="+- 0 530 520"/>
                <a:gd name="T35" fmla="*/ 530 h 80"/>
                <a:gd name="T36" fmla="+- 0 2648 2638"/>
                <a:gd name="T37" fmla="*/ T36 w 78"/>
                <a:gd name="T38" fmla="+- 0 539 520"/>
                <a:gd name="T39" fmla="*/ 539 h 80"/>
                <a:gd name="T40" fmla="+- 0 2645 2638"/>
                <a:gd name="T41" fmla="*/ T40 w 78"/>
                <a:gd name="T42" fmla="+- 0 556 520"/>
                <a:gd name="T43" fmla="*/ 556 h 80"/>
                <a:gd name="T44" fmla="+- 0 2715 2638"/>
                <a:gd name="T45" fmla="*/ T44 w 78"/>
                <a:gd name="T46" fmla="+- 0 556 520"/>
                <a:gd name="T47" fmla="*/ 556 h 80"/>
                <a:gd name="T48" fmla="+- 0 2715 2638"/>
                <a:gd name="T49" fmla="*/ T48 w 78"/>
                <a:gd name="T50" fmla="+- 0 565 520"/>
                <a:gd name="T51" fmla="*/ 565 h 80"/>
                <a:gd name="T52" fmla="+- 0 2714 2638"/>
                <a:gd name="T53" fmla="*/ T52 w 78"/>
                <a:gd name="T54" fmla="+- 0 565 520"/>
                <a:gd name="T55" fmla="*/ 565 h 80"/>
                <a:gd name="T56" fmla="+- 0 2645 2638"/>
                <a:gd name="T57" fmla="*/ T56 w 78"/>
                <a:gd name="T58" fmla="+- 0 565 520"/>
                <a:gd name="T59" fmla="*/ 565 h 80"/>
                <a:gd name="T60" fmla="+- 0 2646 2638"/>
                <a:gd name="T61" fmla="*/ T60 w 78"/>
                <a:gd name="T62" fmla="+- 0 580 520"/>
                <a:gd name="T63" fmla="*/ 580 h 80"/>
                <a:gd name="T64" fmla="+- 0 2659 2638"/>
                <a:gd name="T65" fmla="*/ T64 w 78"/>
                <a:gd name="T66" fmla="+- 0 592 520"/>
                <a:gd name="T67" fmla="*/ 592 h 80"/>
                <a:gd name="T68" fmla="+- 0 2697 2638"/>
                <a:gd name="T69" fmla="*/ T68 w 78"/>
                <a:gd name="T70" fmla="+- 0 592 520"/>
                <a:gd name="T71" fmla="*/ 592 h 80"/>
                <a:gd name="T72" fmla="+- 0 2687 2638"/>
                <a:gd name="T73" fmla="*/ T72 w 78"/>
                <a:gd name="T74" fmla="+- 0 598 520"/>
                <a:gd name="T75" fmla="*/ 598 h 80"/>
                <a:gd name="T76" fmla="+- 0 2661 2638"/>
                <a:gd name="T77" fmla="*/ T76 w 78"/>
                <a:gd name="T78" fmla="+- 0 600 520"/>
                <a:gd name="T7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8" h="80">
                  <a:moveTo>
                    <a:pt x="23" y="80"/>
                  </a:moveTo>
                  <a:lnTo>
                    <a:pt x="9" y="70"/>
                  </a:lnTo>
                  <a:lnTo>
                    <a:pt x="1" y="51"/>
                  </a:lnTo>
                  <a:lnTo>
                    <a:pt x="0" y="22"/>
                  </a:lnTo>
                  <a:lnTo>
                    <a:pt x="15" y="7"/>
                  </a:lnTo>
                  <a:lnTo>
                    <a:pt x="36" y="0"/>
                  </a:lnTo>
                  <a:lnTo>
                    <a:pt x="58" y="7"/>
                  </a:lnTo>
                  <a:lnTo>
                    <a:pt x="61" y="10"/>
                  </a:lnTo>
                  <a:lnTo>
                    <a:pt x="23" y="10"/>
                  </a:lnTo>
                  <a:lnTo>
                    <a:pt x="10" y="19"/>
                  </a:lnTo>
                  <a:lnTo>
                    <a:pt x="7" y="36"/>
                  </a:lnTo>
                  <a:lnTo>
                    <a:pt x="77" y="36"/>
                  </a:lnTo>
                  <a:lnTo>
                    <a:pt x="77" y="45"/>
                  </a:lnTo>
                  <a:lnTo>
                    <a:pt x="76" y="45"/>
                  </a:lnTo>
                  <a:lnTo>
                    <a:pt x="7" y="45"/>
                  </a:lnTo>
                  <a:lnTo>
                    <a:pt x="8" y="60"/>
                  </a:lnTo>
                  <a:lnTo>
                    <a:pt x="21" y="72"/>
                  </a:lnTo>
                  <a:lnTo>
                    <a:pt x="59" y="72"/>
                  </a:lnTo>
                  <a:lnTo>
                    <a:pt x="49" y="78"/>
                  </a:lnTo>
                  <a:lnTo>
                    <a:pt x="23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9" name="Freeform 4838">
              <a:extLst>
                <a:ext uri="{FF2B5EF4-FFF2-40B4-BE49-F238E27FC236}">
                  <a16:creationId xmlns:a16="http://schemas.microsoft.com/office/drawing/2014/main" id="{56502BDF-A5E1-0327-FE61-00C4D73FEE8C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715 2638"/>
                <a:gd name="T1" fmla="*/ T0 w 78"/>
                <a:gd name="T2" fmla="+- 0 556 520"/>
                <a:gd name="T3" fmla="*/ 556 h 80"/>
                <a:gd name="T4" fmla="+- 0 2703 2638"/>
                <a:gd name="T5" fmla="*/ T4 w 78"/>
                <a:gd name="T6" fmla="+- 0 556 520"/>
                <a:gd name="T7" fmla="*/ 556 h 80"/>
                <a:gd name="T8" fmla="+- 0 2700 2638"/>
                <a:gd name="T9" fmla="*/ T8 w 78"/>
                <a:gd name="T10" fmla="+- 0 538 520"/>
                <a:gd name="T11" fmla="*/ 538 h 80"/>
                <a:gd name="T12" fmla="+- 0 2686 2638"/>
                <a:gd name="T13" fmla="*/ T12 w 78"/>
                <a:gd name="T14" fmla="+- 0 530 520"/>
                <a:gd name="T15" fmla="*/ 530 h 80"/>
                <a:gd name="T16" fmla="+- 0 2699 2638"/>
                <a:gd name="T17" fmla="*/ T16 w 78"/>
                <a:gd name="T18" fmla="+- 0 530 520"/>
                <a:gd name="T19" fmla="*/ 530 h 80"/>
                <a:gd name="T20" fmla="+- 0 2709 2638"/>
                <a:gd name="T21" fmla="*/ T20 w 78"/>
                <a:gd name="T22" fmla="+- 0 540 520"/>
                <a:gd name="T23" fmla="*/ 540 h 80"/>
                <a:gd name="T24" fmla="+- 0 2713 2638"/>
                <a:gd name="T25" fmla="*/ T24 w 78"/>
                <a:gd name="T26" fmla="+- 0 547 520"/>
                <a:gd name="T27" fmla="*/ 547 h 80"/>
                <a:gd name="T28" fmla="+- 0 2715 2638"/>
                <a:gd name="T29" fmla="*/ T28 w 78"/>
                <a:gd name="T30" fmla="+- 0 556 520"/>
                <a:gd name="T31" fmla="*/ 556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77" y="36"/>
                  </a:moveTo>
                  <a:lnTo>
                    <a:pt x="65" y="36"/>
                  </a:lnTo>
                  <a:lnTo>
                    <a:pt x="62" y="18"/>
                  </a:lnTo>
                  <a:lnTo>
                    <a:pt x="48" y="10"/>
                  </a:lnTo>
                  <a:lnTo>
                    <a:pt x="61" y="10"/>
                  </a:lnTo>
                  <a:lnTo>
                    <a:pt x="71" y="20"/>
                  </a:lnTo>
                  <a:lnTo>
                    <a:pt x="75" y="27"/>
                  </a:lnTo>
                  <a:lnTo>
                    <a:pt x="77" y="3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0" name="Freeform 4837">
              <a:extLst>
                <a:ext uri="{FF2B5EF4-FFF2-40B4-BE49-F238E27FC236}">
                  <a16:creationId xmlns:a16="http://schemas.microsoft.com/office/drawing/2014/main" id="{31061C09-DD14-B3EF-CD15-F5DF8D6B0A89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697 2638"/>
                <a:gd name="T1" fmla="*/ T0 w 78"/>
                <a:gd name="T2" fmla="+- 0 592 520"/>
                <a:gd name="T3" fmla="*/ 592 h 80"/>
                <a:gd name="T4" fmla="+- 0 2674 2638"/>
                <a:gd name="T5" fmla="*/ T4 w 78"/>
                <a:gd name="T6" fmla="+- 0 592 520"/>
                <a:gd name="T7" fmla="*/ 592 h 80"/>
                <a:gd name="T8" fmla="+- 0 2689 2638"/>
                <a:gd name="T9" fmla="*/ T8 w 78"/>
                <a:gd name="T10" fmla="+- 0 592 520"/>
                <a:gd name="T11" fmla="*/ 592 h 80"/>
                <a:gd name="T12" fmla="+- 0 2698 2638"/>
                <a:gd name="T13" fmla="*/ T12 w 78"/>
                <a:gd name="T14" fmla="+- 0 582 520"/>
                <a:gd name="T15" fmla="*/ 582 h 80"/>
                <a:gd name="T16" fmla="+- 0 2701 2638"/>
                <a:gd name="T17" fmla="*/ T16 w 78"/>
                <a:gd name="T18" fmla="+- 0 574 520"/>
                <a:gd name="T19" fmla="*/ 574 h 80"/>
                <a:gd name="T20" fmla="+- 0 2713 2638"/>
                <a:gd name="T21" fmla="*/ T20 w 78"/>
                <a:gd name="T22" fmla="+- 0 574 520"/>
                <a:gd name="T23" fmla="*/ 574 h 80"/>
                <a:gd name="T24" fmla="+- 0 2704 2638"/>
                <a:gd name="T25" fmla="*/ T24 w 78"/>
                <a:gd name="T26" fmla="+- 0 589 520"/>
                <a:gd name="T27" fmla="*/ 589 h 80"/>
                <a:gd name="T28" fmla="+- 0 2697 2638"/>
                <a:gd name="T29" fmla="*/ T28 w 78"/>
                <a:gd name="T30" fmla="+- 0 592 520"/>
                <a:gd name="T31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59" y="72"/>
                  </a:moveTo>
                  <a:lnTo>
                    <a:pt x="36" y="72"/>
                  </a:lnTo>
                  <a:lnTo>
                    <a:pt x="51" y="72"/>
                  </a:lnTo>
                  <a:lnTo>
                    <a:pt x="60" y="62"/>
                  </a:lnTo>
                  <a:lnTo>
                    <a:pt x="63" y="54"/>
                  </a:lnTo>
                  <a:lnTo>
                    <a:pt x="75" y="54"/>
                  </a:lnTo>
                  <a:lnTo>
                    <a:pt x="66" y="69"/>
                  </a:lnTo>
                  <a:lnTo>
                    <a:pt x="59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C77154AE-428A-8BE7-02CF-CBA10A9970F3}"/>
              </a:ext>
            </a:extLst>
          </xdr:cNvPr>
          <xdr:cNvGrpSpPr>
            <a:grpSpLocks/>
          </xdr:cNvGrpSpPr>
        </xdr:nvGrpSpPr>
        <xdr:grpSpPr bwMode="auto">
          <a:xfrm>
            <a:off x="2729" y="520"/>
            <a:ext cx="69" cy="81"/>
            <a:chOff x="2729" y="520"/>
            <a:chExt cx="69" cy="81"/>
          </a:xfrm>
        </xdr:grpSpPr>
        <xdr:sp macro="" textlink="">
          <xdr:nvSpPr>
            <xdr:cNvPr id="35" name="Freeform 4835">
              <a:extLst>
                <a:ext uri="{FF2B5EF4-FFF2-40B4-BE49-F238E27FC236}">
                  <a16:creationId xmlns:a16="http://schemas.microsoft.com/office/drawing/2014/main" id="{6F91CE25-9657-0834-4FF0-C90EA6A2760E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53 2729"/>
                <a:gd name="T1" fmla="*/ T0 w 69"/>
                <a:gd name="T2" fmla="+- 0 531 520"/>
                <a:gd name="T3" fmla="*/ 531 h 81"/>
                <a:gd name="T4" fmla="+- 0 2740 2729"/>
                <a:gd name="T5" fmla="*/ T4 w 69"/>
                <a:gd name="T6" fmla="+- 0 531 520"/>
                <a:gd name="T7" fmla="*/ 531 h 81"/>
                <a:gd name="T8" fmla="+- 0 2744 2729"/>
                <a:gd name="T9" fmla="*/ T8 w 69"/>
                <a:gd name="T10" fmla="+- 0 526 520"/>
                <a:gd name="T11" fmla="*/ 526 h 81"/>
                <a:gd name="T12" fmla="+- 0 2752 2729"/>
                <a:gd name="T13" fmla="*/ T12 w 69"/>
                <a:gd name="T14" fmla="+- 0 520 520"/>
                <a:gd name="T15" fmla="*/ 520 h 81"/>
                <a:gd name="T16" fmla="+- 0 2774 2729"/>
                <a:gd name="T17" fmla="*/ T16 w 69"/>
                <a:gd name="T18" fmla="+- 0 520 520"/>
                <a:gd name="T19" fmla="*/ 520 h 81"/>
                <a:gd name="T20" fmla="+- 0 2782 2729"/>
                <a:gd name="T21" fmla="*/ T20 w 69"/>
                <a:gd name="T22" fmla="+- 0 523 520"/>
                <a:gd name="T23" fmla="*/ 523 h 81"/>
                <a:gd name="T24" fmla="+- 0 2789 2729"/>
                <a:gd name="T25" fmla="*/ T24 w 69"/>
                <a:gd name="T26" fmla="+- 0 530 520"/>
                <a:gd name="T27" fmla="*/ 530 h 81"/>
                <a:gd name="T28" fmla="+- 0 2761 2729"/>
                <a:gd name="T29" fmla="*/ T28 w 69"/>
                <a:gd name="T30" fmla="+- 0 530 520"/>
                <a:gd name="T31" fmla="*/ 530 h 81"/>
                <a:gd name="T32" fmla="+- 0 2753 2729"/>
                <a:gd name="T33" fmla="*/ T32 w 69"/>
                <a:gd name="T34" fmla="+- 0 531 520"/>
                <a:gd name="T35" fmla="*/ 531 h 81"/>
                <a:gd name="T36" fmla="+- 0 2753 2729"/>
                <a:gd name="T37" fmla="*/ T36 w 69"/>
                <a:gd name="T38" fmla="+- 0 531 520"/>
                <a:gd name="T39" fmla="*/ 53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9" h="81">
                  <a:moveTo>
                    <a:pt x="24" y="11"/>
                  </a:moveTo>
                  <a:lnTo>
                    <a:pt x="11" y="11"/>
                  </a:lnTo>
                  <a:lnTo>
                    <a:pt x="15" y="6"/>
                  </a:lnTo>
                  <a:lnTo>
                    <a:pt x="23" y="0"/>
                  </a:lnTo>
                  <a:lnTo>
                    <a:pt x="45" y="0"/>
                  </a:lnTo>
                  <a:lnTo>
                    <a:pt x="53" y="3"/>
                  </a:lnTo>
                  <a:lnTo>
                    <a:pt x="60" y="10"/>
                  </a:lnTo>
                  <a:lnTo>
                    <a:pt x="32" y="10"/>
                  </a:lnTo>
                  <a:lnTo>
                    <a:pt x="24" y="1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6" name="Freeform 4834">
              <a:extLst>
                <a:ext uri="{FF2B5EF4-FFF2-40B4-BE49-F238E27FC236}">
                  <a16:creationId xmlns:a16="http://schemas.microsoft.com/office/drawing/2014/main" id="{3C45AFEF-1A73-77FB-D46F-F04FCBDD4F8B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40 2729"/>
                <a:gd name="T1" fmla="*/ T0 w 69"/>
                <a:gd name="T2" fmla="+- 0 601 520"/>
                <a:gd name="T3" fmla="*/ 601 h 81"/>
                <a:gd name="T4" fmla="+- 0 2729 2729"/>
                <a:gd name="T5" fmla="*/ T4 w 69"/>
                <a:gd name="T6" fmla="+- 0 601 520"/>
                <a:gd name="T7" fmla="*/ 601 h 81"/>
                <a:gd name="T8" fmla="+- 0 2729 2729"/>
                <a:gd name="T9" fmla="*/ T8 w 69"/>
                <a:gd name="T10" fmla="+- 0 522 520"/>
                <a:gd name="T11" fmla="*/ 522 h 81"/>
                <a:gd name="T12" fmla="+- 0 2740 2729"/>
                <a:gd name="T13" fmla="*/ T12 w 69"/>
                <a:gd name="T14" fmla="+- 0 522 520"/>
                <a:gd name="T15" fmla="*/ 522 h 81"/>
                <a:gd name="T16" fmla="+- 0 2740 2729"/>
                <a:gd name="T17" fmla="*/ T16 w 69"/>
                <a:gd name="T18" fmla="+- 0 531 520"/>
                <a:gd name="T19" fmla="*/ 531 h 81"/>
                <a:gd name="T20" fmla="+- 0 2753 2729"/>
                <a:gd name="T21" fmla="*/ T20 w 69"/>
                <a:gd name="T22" fmla="+- 0 531 520"/>
                <a:gd name="T23" fmla="*/ 531 h 81"/>
                <a:gd name="T24" fmla="+- 0 2747 2729"/>
                <a:gd name="T25" fmla="*/ T24 w 69"/>
                <a:gd name="T26" fmla="+- 0 537 520"/>
                <a:gd name="T27" fmla="*/ 537 h 81"/>
                <a:gd name="T28" fmla="+- 0 2743 2729"/>
                <a:gd name="T29" fmla="*/ T28 w 69"/>
                <a:gd name="T30" fmla="+- 0 541 520"/>
                <a:gd name="T31" fmla="*/ 541 h 81"/>
                <a:gd name="T32" fmla="+- 0 2740 2729"/>
                <a:gd name="T33" fmla="*/ T32 w 69"/>
                <a:gd name="T34" fmla="+- 0 549 520"/>
                <a:gd name="T35" fmla="*/ 549 h 81"/>
                <a:gd name="T36" fmla="+- 0 2740 2729"/>
                <a:gd name="T37" fmla="*/ T36 w 69"/>
                <a:gd name="T38" fmla="+- 0 558 520"/>
                <a:gd name="T39" fmla="*/ 558 h 81"/>
                <a:gd name="T40" fmla="+- 0 2740 2729"/>
                <a:gd name="T41" fmla="*/ T40 w 69"/>
                <a:gd name="T42" fmla="+- 0 601 520"/>
                <a:gd name="T43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69" h="81">
                  <a:moveTo>
                    <a:pt x="11" y="81"/>
                  </a:moveTo>
                  <a:lnTo>
                    <a:pt x="0" y="81"/>
                  </a:lnTo>
                  <a:lnTo>
                    <a:pt x="0" y="2"/>
                  </a:lnTo>
                  <a:lnTo>
                    <a:pt x="11" y="2"/>
                  </a:lnTo>
                  <a:lnTo>
                    <a:pt x="11" y="11"/>
                  </a:lnTo>
                  <a:lnTo>
                    <a:pt x="24" y="11"/>
                  </a:lnTo>
                  <a:lnTo>
                    <a:pt x="18" y="17"/>
                  </a:lnTo>
                  <a:lnTo>
                    <a:pt x="14" y="21"/>
                  </a:lnTo>
                  <a:lnTo>
                    <a:pt x="11" y="29"/>
                  </a:lnTo>
                  <a:lnTo>
                    <a:pt x="11" y="38"/>
                  </a:lnTo>
                  <a:lnTo>
                    <a:pt x="11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7" name="Freeform 4833">
              <a:extLst>
                <a:ext uri="{FF2B5EF4-FFF2-40B4-BE49-F238E27FC236}">
                  <a16:creationId xmlns:a16="http://schemas.microsoft.com/office/drawing/2014/main" id="{02FCC5A2-6E44-AEFA-AB4E-371F3078A17E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98 2729"/>
                <a:gd name="T1" fmla="*/ T0 w 69"/>
                <a:gd name="T2" fmla="+- 0 600 520"/>
                <a:gd name="T3" fmla="*/ 600 h 81"/>
                <a:gd name="T4" fmla="+- 0 2787 2729"/>
                <a:gd name="T5" fmla="*/ T4 w 69"/>
                <a:gd name="T6" fmla="+- 0 600 520"/>
                <a:gd name="T7" fmla="*/ 600 h 81"/>
                <a:gd name="T8" fmla="+- 0 2787 2729"/>
                <a:gd name="T9" fmla="*/ T8 w 69"/>
                <a:gd name="T10" fmla="+- 0 549 520"/>
                <a:gd name="T11" fmla="*/ 549 h 81"/>
                <a:gd name="T12" fmla="+- 0 2784 2729"/>
                <a:gd name="T13" fmla="*/ T12 w 69"/>
                <a:gd name="T14" fmla="+- 0 541 520"/>
                <a:gd name="T15" fmla="*/ 541 h 81"/>
                <a:gd name="T16" fmla="+- 0 2774 2729"/>
                <a:gd name="T17" fmla="*/ T16 w 69"/>
                <a:gd name="T18" fmla="+- 0 531 520"/>
                <a:gd name="T19" fmla="*/ 531 h 81"/>
                <a:gd name="T20" fmla="+- 0 2766 2729"/>
                <a:gd name="T21" fmla="*/ T20 w 69"/>
                <a:gd name="T22" fmla="+- 0 530 520"/>
                <a:gd name="T23" fmla="*/ 530 h 81"/>
                <a:gd name="T24" fmla="+- 0 2789 2729"/>
                <a:gd name="T25" fmla="*/ T24 w 69"/>
                <a:gd name="T26" fmla="+- 0 530 520"/>
                <a:gd name="T27" fmla="*/ 530 h 81"/>
                <a:gd name="T28" fmla="+- 0 2795 2729"/>
                <a:gd name="T29" fmla="*/ T28 w 69"/>
                <a:gd name="T30" fmla="+- 0 536 520"/>
                <a:gd name="T31" fmla="*/ 536 h 81"/>
                <a:gd name="T32" fmla="+- 0 2798 2729"/>
                <a:gd name="T33" fmla="*/ T32 w 69"/>
                <a:gd name="T34" fmla="+- 0 546 520"/>
                <a:gd name="T35" fmla="*/ 546 h 81"/>
                <a:gd name="T36" fmla="+- 0 2798 2729"/>
                <a:gd name="T37" fmla="*/ T36 w 69"/>
                <a:gd name="T38" fmla="+- 0 600 520"/>
                <a:gd name="T39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9" h="81">
                  <a:moveTo>
                    <a:pt x="69" y="80"/>
                  </a:moveTo>
                  <a:lnTo>
                    <a:pt x="58" y="80"/>
                  </a:lnTo>
                  <a:lnTo>
                    <a:pt x="58" y="29"/>
                  </a:lnTo>
                  <a:lnTo>
                    <a:pt x="55" y="21"/>
                  </a:lnTo>
                  <a:lnTo>
                    <a:pt x="45" y="11"/>
                  </a:lnTo>
                  <a:lnTo>
                    <a:pt x="37" y="10"/>
                  </a:lnTo>
                  <a:lnTo>
                    <a:pt x="60" y="10"/>
                  </a:lnTo>
                  <a:lnTo>
                    <a:pt x="66" y="16"/>
                  </a:lnTo>
                  <a:lnTo>
                    <a:pt x="69" y="26"/>
                  </a:lnTo>
                  <a:lnTo>
                    <a:pt x="69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3367ECC1-2CC1-065F-9920-38D864B9FBF6}"/>
              </a:ext>
            </a:extLst>
          </xdr:cNvPr>
          <xdr:cNvGrpSpPr>
            <a:grpSpLocks/>
          </xdr:cNvGrpSpPr>
        </xdr:nvGrpSpPr>
        <xdr:grpSpPr bwMode="auto">
          <a:xfrm>
            <a:off x="2810" y="495"/>
            <a:ext cx="46" cy="106"/>
            <a:chOff x="2810" y="495"/>
            <a:chExt cx="46" cy="106"/>
          </a:xfrm>
        </xdr:grpSpPr>
        <xdr:sp macro="" textlink="">
          <xdr:nvSpPr>
            <xdr:cNvPr id="32" name="Freeform 4831">
              <a:extLst>
                <a:ext uri="{FF2B5EF4-FFF2-40B4-BE49-F238E27FC236}">
                  <a16:creationId xmlns:a16="http://schemas.microsoft.com/office/drawing/2014/main" id="{BFC56BB1-A763-E793-C459-E1BC0E2368CA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37 2810"/>
                <a:gd name="T1" fmla="*/ T0 w 46"/>
                <a:gd name="T2" fmla="+- 0 522 495"/>
                <a:gd name="T3" fmla="*/ 522 h 106"/>
                <a:gd name="T4" fmla="+- 0 2826 2810"/>
                <a:gd name="T5" fmla="*/ T4 w 46"/>
                <a:gd name="T6" fmla="+- 0 522 495"/>
                <a:gd name="T7" fmla="*/ 522 h 106"/>
                <a:gd name="T8" fmla="+- 0 2826 2810"/>
                <a:gd name="T9" fmla="*/ T8 w 46"/>
                <a:gd name="T10" fmla="+- 0 495 495"/>
                <a:gd name="T11" fmla="*/ 495 h 106"/>
                <a:gd name="T12" fmla="+- 0 2837 2810"/>
                <a:gd name="T13" fmla="*/ T12 w 46"/>
                <a:gd name="T14" fmla="+- 0 495 495"/>
                <a:gd name="T15" fmla="*/ 495 h 106"/>
                <a:gd name="T16" fmla="+- 0 2837 2810"/>
                <a:gd name="T17" fmla="*/ T16 w 46"/>
                <a:gd name="T18" fmla="+- 0 522 495"/>
                <a:gd name="T19" fmla="*/ 52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27" y="27"/>
                  </a:moveTo>
                  <a:lnTo>
                    <a:pt x="16" y="27"/>
                  </a:lnTo>
                  <a:lnTo>
                    <a:pt x="16" y="0"/>
                  </a:lnTo>
                  <a:lnTo>
                    <a:pt x="27" y="0"/>
                  </a:lnTo>
                  <a:lnTo>
                    <a:pt x="27" y="2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3" name="Freeform 4830">
              <a:extLst>
                <a:ext uri="{FF2B5EF4-FFF2-40B4-BE49-F238E27FC236}">
                  <a16:creationId xmlns:a16="http://schemas.microsoft.com/office/drawing/2014/main" id="{2DD0B404-C3F2-D66A-3034-F18651596ED1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56 2810"/>
                <a:gd name="T1" fmla="*/ T0 w 46"/>
                <a:gd name="T2" fmla="+- 0 532 495"/>
                <a:gd name="T3" fmla="*/ 532 h 106"/>
                <a:gd name="T4" fmla="+- 0 2810 2810"/>
                <a:gd name="T5" fmla="*/ T4 w 46"/>
                <a:gd name="T6" fmla="+- 0 532 495"/>
                <a:gd name="T7" fmla="*/ 532 h 106"/>
                <a:gd name="T8" fmla="+- 0 2810 2810"/>
                <a:gd name="T9" fmla="*/ T8 w 46"/>
                <a:gd name="T10" fmla="+- 0 522 495"/>
                <a:gd name="T11" fmla="*/ 522 h 106"/>
                <a:gd name="T12" fmla="+- 0 2856 2810"/>
                <a:gd name="T13" fmla="*/ T12 w 46"/>
                <a:gd name="T14" fmla="+- 0 522 495"/>
                <a:gd name="T15" fmla="*/ 522 h 106"/>
                <a:gd name="T16" fmla="+- 0 2856 2810"/>
                <a:gd name="T17" fmla="*/ T16 w 46"/>
                <a:gd name="T18" fmla="+- 0 532 495"/>
                <a:gd name="T19" fmla="*/ 53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46" y="37"/>
                  </a:moveTo>
                  <a:lnTo>
                    <a:pt x="0" y="37"/>
                  </a:lnTo>
                  <a:lnTo>
                    <a:pt x="0" y="27"/>
                  </a:lnTo>
                  <a:lnTo>
                    <a:pt x="46" y="27"/>
                  </a:lnTo>
                  <a:lnTo>
                    <a:pt x="46" y="3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4" name="Freeform 4829">
              <a:extLst>
                <a:ext uri="{FF2B5EF4-FFF2-40B4-BE49-F238E27FC236}">
                  <a16:creationId xmlns:a16="http://schemas.microsoft.com/office/drawing/2014/main" id="{41B16B81-DCD6-3B04-58AE-8581CFD1538F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37 2810"/>
                <a:gd name="T1" fmla="*/ T0 w 46"/>
                <a:gd name="T2" fmla="+- 0 601 495"/>
                <a:gd name="T3" fmla="*/ 601 h 106"/>
                <a:gd name="T4" fmla="+- 0 2826 2810"/>
                <a:gd name="T5" fmla="*/ T4 w 46"/>
                <a:gd name="T6" fmla="+- 0 601 495"/>
                <a:gd name="T7" fmla="*/ 601 h 106"/>
                <a:gd name="T8" fmla="+- 0 2826 2810"/>
                <a:gd name="T9" fmla="*/ T8 w 46"/>
                <a:gd name="T10" fmla="+- 0 532 495"/>
                <a:gd name="T11" fmla="*/ 532 h 106"/>
                <a:gd name="T12" fmla="+- 0 2837 2810"/>
                <a:gd name="T13" fmla="*/ T12 w 46"/>
                <a:gd name="T14" fmla="+- 0 532 495"/>
                <a:gd name="T15" fmla="*/ 532 h 106"/>
                <a:gd name="T16" fmla="+- 0 2837 2810"/>
                <a:gd name="T17" fmla="*/ T16 w 46"/>
                <a:gd name="T18" fmla="+- 0 601 495"/>
                <a:gd name="T19" fmla="*/ 601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27" y="106"/>
                  </a:moveTo>
                  <a:lnTo>
                    <a:pt x="16" y="106"/>
                  </a:lnTo>
                  <a:lnTo>
                    <a:pt x="16" y="37"/>
                  </a:lnTo>
                  <a:lnTo>
                    <a:pt x="27" y="37"/>
                  </a:lnTo>
                  <a:lnTo>
                    <a:pt x="27" y="10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5924A50E-5A85-C4F3-CA58-8F85AC7C11C6}"/>
              </a:ext>
            </a:extLst>
          </xdr:cNvPr>
          <xdr:cNvGrpSpPr>
            <a:grpSpLocks/>
          </xdr:cNvGrpSpPr>
        </xdr:nvGrpSpPr>
        <xdr:grpSpPr bwMode="auto">
          <a:xfrm>
            <a:off x="2867" y="520"/>
            <a:ext cx="78" cy="80"/>
            <a:chOff x="2867" y="520"/>
            <a:chExt cx="78" cy="80"/>
          </a:xfrm>
        </xdr:grpSpPr>
        <xdr:sp macro="" textlink="">
          <xdr:nvSpPr>
            <xdr:cNvPr id="29" name="Freeform 4827">
              <a:extLst>
                <a:ext uri="{FF2B5EF4-FFF2-40B4-BE49-F238E27FC236}">
                  <a16:creationId xmlns:a16="http://schemas.microsoft.com/office/drawing/2014/main" id="{18FB8733-1458-8129-2A5B-37843F6ED6BD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890 2867"/>
                <a:gd name="T1" fmla="*/ T0 w 78"/>
                <a:gd name="T2" fmla="+- 0 600 520"/>
                <a:gd name="T3" fmla="*/ 600 h 80"/>
                <a:gd name="T4" fmla="+- 0 2876 2867"/>
                <a:gd name="T5" fmla="*/ T4 w 78"/>
                <a:gd name="T6" fmla="+- 0 590 520"/>
                <a:gd name="T7" fmla="*/ 590 h 80"/>
                <a:gd name="T8" fmla="+- 0 2867 2867"/>
                <a:gd name="T9" fmla="*/ T8 w 78"/>
                <a:gd name="T10" fmla="+- 0 571 520"/>
                <a:gd name="T11" fmla="*/ 571 h 80"/>
                <a:gd name="T12" fmla="+- 0 2867 2867"/>
                <a:gd name="T13" fmla="*/ T12 w 78"/>
                <a:gd name="T14" fmla="+- 0 542 520"/>
                <a:gd name="T15" fmla="*/ 542 h 80"/>
                <a:gd name="T16" fmla="+- 0 2881 2867"/>
                <a:gd name="T17" fmla="*/ T16 w 78"/>
                <a:gd name="T18" fmla="+- 0 527 520"/>
                <a:gd name="T19" fmla="*/ 527 h 80"/>
                <a:gd name="T20" fmla="+- 0 2902 2867"/>
                <a:gd name="T21" fmla="*/ T20 w 78"/>
                <a:gd name="T22" fmla="+- 0 520 520"/>
                <a:gd name="T23" fmla="*/ 520 h 80"/>
                <a:gd name="T24" fmla="+- 0 2924 2867"/>
                <a:gd name="T25" fmla="*/ T24 w 78"/>
                <a:gd name="T26" fmla="+- 0 527 520"/>
                <a:gd name="T27" fmla="*/ 527 h 80"/>
                <a:gd name="T28" fmla="+- 0 2928 2867"/>
                <a:gd name="T29" fmla="*/ T28 w 78"/>
                <a:gd name="T30" fmla="+- 0 530 520"/>
                <a:gd name="T31" fmla="*/ 530 h 80"/>
                <a:gd name="T32" fmla="+- 0 2890 2867"/>
                <a:gd name="T33" fmla="*/ T32 w 78"/>
                <a:gd name="T34" fmla="+- 0 530 520"/>
                <a:gd name="T35" fmla="*/ 530 h 80"/>
                <a:gd name="T36" fmla="+- 0 2876 2867"/>
                <a:gd name="T37" fmla="*/ T36 w 78"/>
                <a:gd name="T38" fmla="+- 0 539 520"/>
                <a:gd name="T39" fmla="*/ 539 h 80"/>
                <a:gd name="T40" fmla="+- 0 2873 2867"/>
                <a:gd name="T41" fmla="*/ T40 w 78"/>
                <a:gd name="T42" fmla="+- 0 555 520"/>
                <a:gd name="T43" fmla="*/ 555 h 80"/>
                <a:gd name="T44" fmla="+- 0 2944 2867"/>
                <a:gd name="T45" fmla="*/ T44 w 78"/>
                <a:gd name="T46" fmla="+- 0 555 520"/>
                <a:gd name="T47" fmla="*/ 555 h 80"/>
                <a:gd name="T48" fmla="+- 0 2943 2867"/>
                <a:gd name="T49" fmla="*/ T48 w 78"/>
                <a:gd name="T50" fmla="+- 0 565 520"/>
                <a:gd name="T51" fmla="*/ 565 h 80"/>
                <a:gd name="T52" fmla="+- 0 2943 2867"/>
                <a:gd name="T53" fmla="*/ T52 w 78"/>
                <a:gd name="T54" fmla="+- 0 565 520"/>
                <a:gd name="T55" fmla="*/ 565 h 80"/>
                <a:gd name="T56" fmla="+- 0 2873 2867"/>
                <a:gd name="T57" fmla="*/ T56 w 78"/>
                <a:gd name="T58" fmla="+- 0 565 520"/>
                <a:gd name="T59" fmla="*/ 565 h 80"/>
                <a:gd name="T60" fmla="+- 0 2874 2867"/>
                <a:gd name="T61" fmla="*/ T60 w 78"/>
                <a:gd name="T62" fmla="+- 0 580 520"/>
                <a:gd name="T63" fmla="*/ 580 h 80"/>
                <a:gd name="T64" fmla="+- 0 2888 2867"/>
                <a:gd name="T65" fmla="*/ T64 w 78"/>
                <a:gd name="T66" fmla="+- 0 592 520"/>
                <a:gd name="T67" fmla="*/ 592 h 80"/>
                <a:gd name="T68" fmla="+- 0 2926 2867"/>
                <a:gd name="T69" fmla="*/ T68 w 78"/>
                <a:gd name="T70" fmla="+- 0 592 520"/>
                <a:gd name="T71" fmla="*/ 592 h 80"/>
                <a:gd name="T72" fmla="+- 0 2915 2867"/>
                <a:gd name="T73" fmla="*/ T72 w 78"/>
                <a:gd name="T74" fmla="+- 0 598 520"/>
                <a:gd name="T75" fmla="*/ 598 h 80"/>
                <a:gd name="T76" fmla="+- 0 2890 2867"/>
                <a:gd name="T77" fmla="*/ T76 w 78"/>
                <a:gd name="T78" fmla="+- 0 600 520"/>
                <a:gd name="T7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8" h="80">
                  <a:moveTo>
                    <a:pt x="23" y="80"/>
                  </a:moveTo>
                  <a:lnTo>
                    <a:pt x="9" y="70"/>
                  </a:lnTo>
                  <a:lnTo>
                    <a:pt x="0" y="51"/>
                  </a:lnTo>
                  <a:lnTo>
                    <a:pt x="0" y="22"/>
                  </a:lnTo>
                  <a:lnTo>
                    <a:pt x="14" y="7"/>
                  </a:lnTo>
                  <a:lnTo>
                    <a:pt x="35" y="0"/>
                  </a:lnTo>
                  <a:lnTo>
                    <a:pt x="57" y="7"/>
                  </a:lnTo>
                  <a:lnTo>
                    <a:pt x="61" y="10"/>
                  </a:lnTo>
                  <a:lnTo>
                    <a:pt x="23" y="10"/>
                  </a:lnTo>
                  <a:lnTo>
                    <a:pt x="9" y="19"/>
                  </a:lnTo>
                  <a:lnTo>
                    <a:pt x="6" y="35"/>
                  </a:lnTo>
                  <a:lnTo>
                    <a:pt x="77" y="35"/>
                  </a:lnTo>
                  <a:lnTo>
                    <a:pt x="76" y="45"/>
                  </a:lnTo>
                  <a:lnTo>
                    <a:pt x="6" y="45"/>
                  </a:lnTo>
                  <a:lnTo>
                    <a:pt x="7" y="60"/>
                  </a:lnTo>
                  <a:lnTo>
                    <a:pt x="21" y="72"/>
                  </a:lnTo>
                  <a:lnTo>
                    <a:pt x="59" y="72"/>
                  </a:lnTo>
                  <a:lnTo>
                    <a:pt x="48" y="78"/>
                  </a:lnTo>
                  <a:lnTo>
                    <a:pt x="23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" name="Freeform 4826">
              <a:extLst>
                <a:ext uri="{FF2B5EF4-FFF2-40B4-BE49-F238E27FC236}">
                  <a16:creationId xmlns:a16="http://schemas.microsoft.com/office/drawing/2014/main" id="{9E69E96C-3313-A2D2-750B-26D851543ED0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944 2867"/>
                <a:gd name="T1" fmla="*/ T0 w 78"/>
                <a:gd name="T2" fmla="+- 0 555 520"/>
                <a:gd name="T3" fmla="*/ 555 h 80"/>
                <a:gd name="T4" fmla="+- 0 2932 2867"/>
                <a:gd name="T5" fmla="*/ T4 w 78"/>
                <a:gd name="T6" fmla="+- 0 555 520"/>
                <a:gd name="T7" fmla="*/ 555 h 80"/>
                <a:gd name="T8" fmla="+- 0 2929 2867"/>
                <a:gd name="T9" fmla="*/ T8 w 78"/>
                <a:gd name="T10" fmla="+- 0 538 520"/>
                <a:gd name="T11" fmla="*/ 538 h 80"/>
                <a:gd name="T12" fmla="+- 0 2914 2867"/>
                <a:gd name="T13" fmla="*/ T12 w 78"/>
                <a:gd name="T14" fmla="+- 0 530 520"/>
                <a:gd name="T15" fmla="*/ 530 h 80"/>
                <a:gd name="T16" fmla="+- 0 2928 2867"/>
                <a:gd name="T17" fmla="*/ T16 w 78"/>
                <a:gd name="T18" fmla="+- 0 530 520"/>
                <a:gd name="T19" fmla="*/ 530 h 80"/>
                <a:gd name="T20" fmla="+- 0 2937 2867"/>
                <a:gd name="T21" fmla="*/ T20 w 78"/>
                <a:gd name="T22" fmla="+- 0 540 520"/>
                <a:gd name="T23" fmla="*/ 540 h 80"/>
                <a:gd name="T24" fmla="+- 0 2942 2867"/>
                <a:gd name="T25" fmla="*/ T24 w 78"/>
                <a:gd name="T26" fmla="+- 0 547 520"/>
                <a:gd name="T27" fmla="*/ 547 h 80"/>
                <a:gd name="T28" fmla="+- 0 2944 2867"/>
                <a:gd name="T29" fmla="*/ T28 w 78"/>
                <a:gd name="T30" fmla="+- 0 555 520"/>
                <a:gd name="T31" fmla="*/ 555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77" y="35"/>
                  </a:moveTo>
                  <a:lnTo>
                    <a:pt x="65" y="35"/>
                  </a:lnTo>
                  <a:lnTo>
                    <a:pt x="62" y="18"/>
                  </a:lnTo>
                  <a:lnTo>
                    <a:pt x="47" y="10"/>
                  </a:lnTo>
                  <a:lnTo>
                    <a:pt x="61" y="10"/>
                  </a:lnTo>
                  <a:lnTo>
                    <a:pt x="70" y="20"/>
                  </a:lnTo>
                  <a:lnTo>
                    <a:pt x="75" y="27"/>
                  </a:lnTo>
                  <a:lnTo>
                    <a:pt x="77" y="3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1" name="Freeform 4825">
              <a:extLst>
                <a:ext uri="{FF2B5EF4-FFF2-40B4-BE49-F238E27FC236}">
                  <a16:creationId xmlns:a16="http://schemas.microsoft.com/office/drawing/2014/main" id="{27B9AE4C-7E8D-1306-0CC9-D76962D85EC2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926 2867"/>
                <a:gd name="T1" fmla="*/ T0 w 78"/>
                <a:gd name="T2" fmla="+- 0 592 520"/>
                <a:gd name="T3" fmla="*/ 592 h 80"/>
                <a:gd name="T4" fmla="+- 0 2902 2867"/>
                <a:gd name="T5" fmla="*/ T4 w 78"/>
                <a:gd name="T6" fmla="+- 0 592 520"/>
                <a:gd name="T7" fmla="*/ 592 h 80"/>
                <a:gd name="T8" fmla="+- 0 2918 2867"/>
                <a:gd name="T9" fmla="*/ T8 w 78"/>
                <a:gd name="T10" fmla="+- 0 592 520"/>
                <a:gd name="T11" fmla="*/ 592 h 80"/>
                <a:gd name="T12" fmla="+- 0 2926 2867"/>
                <a:gd name="T13" fmla="*/ T12 w 78"/>
                <a:gd name="T14" fmla="+- 0 582 520"/>
                <a:gd name="T15" fmla="*/ 582 h 80"/>
                <a:gd name="T16" fmla="+- 0 2930 2867"/>
                <a:gd name="T17" fmla="*/ T16 w 78"/>
                <a:gd name="T18" fmla="+- 0 574 520"/>
                <a:gd name="T19" fmla="*/ 574 h 80"/>
                <a:gd name="T20" fmla="+- 0 2941 2867"/>
                <a:gd name="T21" fmla="*/ T20 w 78"/>
                <a:gd name="T22" fmla="+- 0 574 520"/>
                <a:gd name="T23" fmla="*/ 574 h 80"/>
                <a:gd name="T24" fmla="+- 0 2932 2867"/>
                <a:gd name="T25" fmla="*/ T24 w 78"/>
                <a:gd name="T26" fmla="+- 0 589 520"/>
                <a:gd name="T27" fmla="*/ 589 h 80"/>
                <a:gd name="T28" fmla="+- 0 2926 2867"/>
                <a:gd name="T29" fmla="*/ T28 w 78"/>
                <a:gd name="T30" fmla="+- 0 592 520"/>
                <a:gd name="T31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59" y="72"/>
                  </a:moveTo>
                  <a:lnTo>
                    <a:pt x="35" y="72"/>
                  </a:lnTo>
                  <a:lnTo>
                    <a:pt x="51" y="72"/>
                  </a:lnTo>
                  <a:lnTo>
                    <a:pt x="59" y="62"/>
                  </a:lnTo>
                  <a:lnTo>
                    <a:pt x="63" y="54"/>
                  </a:lnTo>
                  <a:lnTo>
                    <a:pt x="74" y="54"/>
                  </a:lnTo>
                  <a:lnTo>
                    <a:pt x="65" y="69"/>
                  </a:lnTo>
                  <a:lnTo>
                    <a:pt x="59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13D26BD3-00A2-7BA8-E61C-F1265857F642}"/>
              </a:ext>
            </a:extLst>
          </xdr:cNvPr>
          <xdr:cNvGrpSpPr>
            <a:grpSpLocks/>
          </xdr:cNvGrpSpPr>
        </xdr:nvGrpSpPr>
        <xdr:grpSpPr bwMode="auto">
          <a:xfrm>
            <a:off x="2958" y="495"/>
            <a:ext cx="78" cy="106"/>
            <a:chOff x="2958" y="495"/>
            <a:chExt cx="78" cy="106"/>
          </a:xfrm>
        </xdr:grpSpPr>
        <xdr:sp macro="" textlink="">
          <xdr:nvSpPr>
            <xdr:cNvPr id="25" name="Freeform 4823">
              <a:extLst>
                <a:ext uri="{FF2B5EF4-FFF2-40B4-BE49-F238E27FC236}">
                  <a16:creationId xmlns:a16="http://schemas.microsoft.com/office/drawing/2014/main" id="{219D6FCB-BB09-DD76-D693-7F13340278E9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36 2958"/>
                <a:gd name="T1" fmla="*/ T0 w 78"/>
                <a:gd name="T2" fmla="+- 0 535 495"/>
                <a:gd name="T3" fmla="*/ 535 h 106"/>
                <a:gd name="T4" fmla="+- 0 3025 2958"/>
                <a:gd name="T5" fmla="*/ T4 w 78"/>
                <a:gd name="T6" fmla="+- 0 535 495"/>
                <a:gd name="T7" fmla="*/ 535 h 106"/>
                <a:gd name="T8" fmla="+- 0 3025 2958"/>
                <a:gd name="T9" fmla="*/ T8 w 78"/>
                <a:gd name="T10" fmla="+- 0 495 495"/>
                <a:gd name="T11" fmla="*/ 495 h 106"/>
                <a:gd name="T12" fmla="+- 0 3036 2958"/>
                <a:gd name="T13" fmla="*/ T12 w 78"/>
                <a:gd name="T14" fmla="+- 0 495 495"/>
                <a:gd name="T15" fmla="*/ 495 h 106"/>
                <a:gd name="T16" fmla="+- 0 3036 2958"/>
                <a:gd name="T17" fmla="*/ T16 w 78"/>
                <a:gd name="T18" fmla="+- 0 535 495"/>
                <a:gd name="T19" fmla="*/ 535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106">
                  <a:moveTo>
                    <a:pt x="78" y="40"/>
                  </a:moveTo>
                  <a:lnTo>
                    <a:pt x="67" y="40"/>
                  </a:lnTo>
                  <a:lnTo>
                    <a:pt x="67" y="0"/>
                  </a:lnTo>
                  <a:lnTo>
                    <a:pt x="78" y="0"/>
                  </a:lnTo>
                  <a:lnTo>
                    <a:pt x="78" y="4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6" name="Freeform 4822">
              <a:extLst>
                <a:ext uri="{FF2B5EF4-FFF2-40B4-BE49-F238E27FC236}">
                  <a16:creationId xmlns:a16="http://schemas.microsoft.com/office/drawing/2014/main" id="{8B0EBDCA-203D-B96F-0DB6-B5A706F19366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2982 2958"/>
                <a:gd name="T1" fmla="*/ T0 w 78"/>
                <a:gd name="T2" fmla="+- 0 600 495"/>
                <a:gd name="T3" fmla="*/ 600 h 106"/>
                <a:gd name="T4" fmla="+- 0 2968 2958"/>
                <a:gd name="T5" fmla="*/ T4 w 78"/>
                <a:gd name="T6" fmla="+- 0 590 495"/>
                <a:gd name="T7" fmla="*/ 590 h 106"/>
                <a:gd name="T8" fmla="+- 0 2959 2958"/>
                <a:gd name="T9" fmla="*/ T8 w 78"/>
                <a:gd name="T10" fmla="+- 0 571 495"/>
                <a:gd name="T11" fmla="*/ 571 h 106"/>
                <a:gd name="T12" fmla="+- 0 2958 2958"/>
                <a:gd name="T13" fmla="*/ T12 w 78"/>
                <a:gd name="T14" fmla="+- 0 543 495"/>
                <a:gd name="T15" fmla="*/ 543 h 106"/>
                <a:gd name="T16" fmla="+- 0 2973 2958"/>
                <a:gd name="T17" fmla="*/ T16 w 78"/>
                <a:gd name="T18" fmla="+- 0 527 495"/>
                <a:gd name="T19" fmla="*/ 527 h 106"/>
                <a:gd name="T20" fmla="+- 0 2996 2958"/>
                <a:gd name="T21" fmla="*/ T20 w 78"/>
                <a:gd name="T22" fmla="+- 0 520 495"/>
                <a:gd name="T23" fmla="*/ 520 h 106"/>
                <a:gd name="T24" fmla="+- 0 3000 2958"/>
                <a:gd name="T25" fmla="*/ T24 w 78"/>
                <a:gd name="T26" fmla="+- 0 520 495"/>
                <a:gd name="T27" fmla="*/ 520 h 106"/>
                <a:gd name="T28" fmla="+- 0 3016 2958"/>
                <a:gd name="T29" fmla="*/ T28 w 78"/>
                <a:gd name="T30" fmla="+- 0 521 495"/>
                <a:gd name="T31" fmla="*/ 521 h 106"/>
                <a:gd name="T32" fmla="+- 0 3023 2958"/>
                <a:gd name="T33" fmla="*/ T32 w 78"/>
                <a:gd name="T34" fmla="+- 0 531 495"/>
                <a:gd name="T35" fmla="*/ 531 h 106"/>
                <a:gd name="T36" fmla="+- 0 2989 2958"/>
                <a:gd name="T37" fmla="*/ T36 w 78"/>
                <a:gd name="T38" fmla="+- 0 531 495"/>
                <a:gd name="T39" fmla="*/ 531 h 106"/>
                <a:gd name="T40" fmla="+- 0 2972 2958"/>
                <a:gd name="T41" fmla="*/ T40 w 78"/>
                <a:gd name="T42" fmla="+- 0 542 495"/>
                <a:gd name="T43" fmla="*/ 542 h 106"/>
                <a:gd name="T44" fmla="+- 0 2965 2958"/>
                <a:gd name="T45" fmla="*/ T44 w 78"/>
                <a:gd name="T46" fmla="+- 0 566 495"/>
                <a:gd name="T47" fmla="*/ 566 h 106"/>
                <a:gd name="T48" fmla="+- 0 2975 2958"/>
                <a:gd name="T49" fmla="*/ T48 w 78"/>
                <a:gd name="T50" fmla="+- 0 585 495"/>
                <a:gd name="T51" fmla="*/ 585 h 106"/>
                <a:gd name="T52" fmla="+- 0 2996 2958"/>
                <a:gd name="T53" fmla="*/ T52 w 78"/>
                <a:gd name="T54" fmla="+- 0 592 495"/>
                <a:gd name="T55" fmla="*/ 592 h 106"/>
                <a:gd name="T56" fmla="+- 0 3021 2958"/>
                <a:gd name="T57" fmla="*/ T56 w 78"/>
                <a:gd name="T58" fmla="+- 0 592 495"/>
                <a:gd name="T59" fmla="*/ 592 h 106"/>
                <a:gd name="T60" fmla="+- 0 3007 2958"/>
                <a:gd name="T61" fmla="*/ T60 w 78"/>
                <a:gd name="T62" fmla="+- 0 599 495"/>
                <a:gd name="T63" fmla="*/ 599 h 106"/>
                <a:gd name="T64" fmla="+- 0 2982 2958"/>
                <a:gd name="T65" fmla="*/ T64 w 78"/>
                <a:gd name="T66" fmla="+- 0 600 495"/>
                <a:gd name="T67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8" h="106">
                  <a:moveTo>
                    <a:pt x="24" y="105"/>
                  </a:moveTo>
                  <a:lnTo>
                    <a:pt x="10" y="95"/>
                  </a:lnTo>
                  <a:lnTo>
                    <a:pt x="1" y="76"/>
                  </a:lnTo>
                  <a:lnTo>
                    <a:pt x="0" y="48"/>
                  </a:lnTo>
                  <a:lnTo>
                    <a:pt x="15" y="32"/>
                  </a:lnTo>
                  <a:lnTo>
                    <a:pt x="38" y="25"/>
                  </a:lnTo>
                  <a:lnTo>
                    <a:pt x="42" y="25"/>
                  </a:lnTo>
                  <a:lnTo>
                    <a:pt x="58" y="26"/>
                  </a:lnTo>
                  <a:lnTo>
                    <a:pt x="65" y="36"/>
                  </a:lnTo>
                  <a:lnTo>
                    <a:pt x="31" y="36"/>
                  </a:lnTo>
                  <a:lnTo>
                    <a:pt x="14" y="47"/>
                  </a:lnTo>
                  <a:lnTo>
                    <a:pt x="7" y="71"/>
                  </a:lnTo>
                  <a:lnTo>
                    <a:pt x="17" y="90"/>
                  </a:lnTo>
                  <a:lnTo>
                    <a:pt x="38" y="97"/>
                  </a:lnTo>
                  <a:lnTo>
                    <a:pt x="63" y="97"/>
                  </a:lnTo>
                  <a:lnTo>
                    <a:pt x="49" y="104"/>
                  </a:lnTo>
                  <a:lnTo>
                    <a:pt x="24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7" name="Freeform 4821">
              <a:extLst>
                <a:ext uri="{FF2B5EF4-FFF2-40B4-BE49-F238E27FC236}">
                  <a16:creationId xmlns:a16="http://schemas.microsoft.com/office/drawing/2014/main" id="{43E299B1-D0EF-D7C3-8F53-1E180BC94272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21 2958"/>
                <a:gd name="T1" fmla="*/ T0 w 78"/>
                <a:gd name="T2" fmla="+- 0 592 495"/>
                <a:gd name="T3" fmla="*/ 592 h 106"/>
                <a:gd name="T4" fmla="+- 0 2996 2958"/>
                <a:gd name="T5" fmla="*/ T4 w 78"/>
                <a:gd name="T6" fmla="+- 0 592 495"/>
                <a:gd name="T7" fmla="*/ 592 h 106"/>
                <a:gd name="T8" fmla="+- 0 3006 2958"/>
                <a:gd name="T9" fmla="*/ T8 w 78"/>
                <a:gd name="T10" fmla="+- 0 590 495"/>
                <a:gd name="T11" fmla="*/ 590 h 106"/>
                <a:gd name="T12" fmla="+- 0 3020 2958"/>
                <a:gd name="T13" fmla="*/ T12 w 78"/>
                <a:gd name="T14" fmla="+- 0 578 495"/>
                <a:gd name="T15" fmla="*/ 578 h 106"/>
                <a:gd name="T16" fmla="+- 0 3025 2958"/>
                <a:gd name="T17" fmla="*/ T16 w 78"/>
                <a:gd name="T18" fmla="+- 0 552 495"/>
                <a:gd name="T19" fmla="*/ 552 h 106"/>
                <a:gd name="T20" fmla="+- 0 3013 2958"/>
                <a:gd name="T21" fmla="*/ T20 w 78"/>
                <a:gd name="T22" fmla="+- 0 537 495"/>
                <a:gd name="T23" fmla="*/ 537 h 106"/>
                <a:gd name="T24" fmla="+- 0 2989 2958"/>
                <a:gd name="T25" fmla="*/ T24 w 78"/>
                <a:gd name="T26" fmla="+- 0 531 495"/>
                <a:gd name="T27" fmla="*/ 531 h 106"/>
                <a:gd name="T28" fmla="+- 0 3023 2958"/>
                <a:gd name="T29" fmla="*/ T28 w 78"/>
                <a:gd name="T30" fmla="+- 0 531 495"/>
                <a:gd name="T31" fmla="*/ 531 h 106"/>
                <a:gd name="T32" fmla="+- 0 3025 2958"/>
                <a:gd name="T33" fmla="*/ T32 w 78"/>
                <a:gd name="T34" fmla="+- 0 535 495"/>
                <a:gd name="T35" fmla="*/ 535 h 106"/>
                <a:gd name="T36" fmla="+- 0 3036 2958"/>
                <a:gd name="T37" fmla="*/ T36 w 78"/>
                <a:gd name="T38" fmla="+- 0 535 495"/>
                <a:gd name="T39" fmla="*/ 535 h 106"/>
                <a:gd name="T40" fmla="+- 0 3036 2958"/>
                <a:gd name="T41" fmla="*/ T40 w 78"/>
                <a:gd name="T42" fmla="+- 0 592 495"/>
                <a:gd name="T43" fmla="*/ 592 h 106"/>
                <a:gd name="T44" fmla="+- 0 3022 2958"/>
                <a:gd name="T45" fmla="*/ T44 w 78"/>
                <a:gd name="T46" fmla="+- 0 592 495"/>
                <a:gd name="T47" fmla="*/ 592 h 106"/>
                <a:gd name="T48" fmla="+- 0 3021 2958"/>
                <a:gd name="T49" fmla="*/ T48 w 78"/>
                <a:gd name="T50" fmla="+- 0 592 495"/>
                <a:gd name="T51" fmla="*/ 59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78" h="106">
                  <a:moveTo>
                    <a:pt x="63" y="97"/>
                  </a:moveTo>
                  <a:lnTo>
                    <a:pt x="38" y="97"/>
                  </a:lnTo>
                  <a:lnTo>
                    <a:pt x="48" y="95"/>
                  </a:lnTo>
                  <a:lnTo>
                    <a:pt x="62" y="83"/>
                  </a:lnTo>
                  <a:lnTo>
                    <a:pt x="67" y="57"/>
                  </a:lnTo>
                  <a:lnTo>
                    <a:pt x="55" y="42"/>
                  </a:lnTo>
                  <a:lnTo>
                    <a:pt x="31" y="36"/>
                  </a:lnTo>
                  <a:lnTo>
                    <a:pt x="65" y="36"/>
                  </a:lnTo>
                  <a:lnTo>
                    <a:pt x="67" y="40"/>
                  </a:lnTo>
                  <a:lnTo>
                    <a:pt x="78" y="40"/>
                  </a:lnTo>
                  <a:lnTo>
                    <a:pt x="78" y="97"/>
                  </a:lnTo>
                  <a:lnTo>
                    <a:pt x="64" y="97"/>
                  </a:lnTo>
                  <a:lnTo>
                    <a:pt x="63" y="9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8" name="Freeform 4820">
              <a:extLst>
                <a:ext uri="{FF2B5EF4-FFF2-40B4-BE49-F238E27FC236}">
                  <a16:creationId xmlns:a16="http://schemas.microsoft.com/office/drawing/2014/main" id="{0A4B9A98-9417-9371-7CEE-97490E86DA77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36 2958"/>
                <a:gd name="T1" fmla="*/ T0 w 78"/>
                <a:gd name="T2" fmla="+- 0 600 495"/>
                <a:gd name="T3" fmla="*/ 600 h 106"/>
                <a:gd name="T4" fmla="+- 0 3025 2958"/>
                <a:gd name="T5" fmla="*/ T4 w 78"/>
                <a:gd name="T6" fmla="+- 0 600 495"/>
                <a:gd name="T7" fmla="*/ 600 h 106"/>
                <a:gd name="T8" fmla="+- 0 3022 2958"/>
                <a:gd name="T9" fmla="*/ T8 w 78"/>
                <a:gd name="T10" fmla="+- 0 592 495"/>
                <a:gd name="T11" fmla="*/ 592 h 106"/>
                <a:gd name="T12" fmla="+- 0 3036 2958"/>
                <a:gd name="T13" fmla="*/ T12 w 78"/>
                <a:gd name="T14" fmla="+- 0 592 495"/>
                <a:gd name="T15" fmla="*/ 592 h 106"/>
                <a:gd name="T16" fmla="+- 0 3036 2958"/>
                <a:gd name="T17" fmla="*/ T16 w 78"/>
                <a:gd name="T18" fmla="+- 0 600 495"/>
                <a:gd name="T19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106">
                  <a:moveTo>
                    <a:pt x="78" y="105"/>
                  </a:moveTo>
                  <a:lnTo>
                    <a:pt x="67" y="105"/>
                  </a:lnTo>
                  <a:lnTo>
                    <a:pt x="64" y="97"/>
                  </a:lnTo>
                  <a:lnTo>
                    <a:pt x="78" y="97"/>
                  </a:lnTo>
                  <a:lnTo>
                    <a:pt x="78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F1517BC8-FA6C-BE19-B88C-1275003E0DE9}"/>
              </a:ext>
            </a:extLst>
          </xdr:cNvPr>
          <xdr:cNvGrpSpPr>
            <a:grpSpLocks/>
          </xdr:cNvGrpSpPr>
        </xdr:nvGrpSpPr>
        <xdr:grpSpPr bwMode="auto">
          <a:xfrm>
            <a:off x="2174" y="575"/>
            <a:ext cx="28" cy="28"/>
            <a:chOff x="2174" y="575"/>
            <a:chExt cx="28" cy="28"/>
          </a:xfrm>
        </xdr:grpSpPr>
        <xdr:sp macro="" textlink="">
          <xdr:nvSpPr>
            <xdr:cNvPr id="24" name="Freeform 4818">
              <a:extLst>
                <a:ext uri="{FF2B5EF4-FFF2-40B4-BE49-F238E27FC236}">
                  <a16:creationId xmlns:a16="http://schemas.microsoft.com/office/drawing/2014/main" id="{1403D5EA-5C80-026A-154A-8D9D8470EA95}"/>
                </a:ext>
              </a:extLst>
            </xdr:cNvPr>
            <xdr:cNvSpPr>
              <a:spLocks/>
            </xdr:cNvSpPr>
          </xdr:nvSpPr>
          <xdr:spPr bwMode="auto">
            <a:xfrm>
              <a:off x="2174" y="575"/>
              <a:ext cx="28" cy="28"/>
            </a:xfrm>
            <a:custGeom>
              <a:avLst/>
              <a:gdLst>
                <a:gd name="T0" fmla="+- 0 2195 2174"/>
                <a:gd name="T1" fmla="*/ T0 w 28"/>
                <a:gd name="T2" fmla="+- 0 603 575"/>
                <a:gd name="T3" fmla="*/ 603 h 28"/>
                <a:gd name="T4" fmla="+- 0 2180 2174"/>
                <a:gd name="T5" fmla="*/ T4 w 28"/>
                <a:gd name="T6" fmla="+- 0 603 575"/>
                <a:gd name="T7" fmla="*/ 603 h 28"/>
                <a:gd name="T8" fmla="+- 0 2174 2174"/>
                <a:gd name="T9" fmla="*/ T8 w 28"/>
                <a:gd name="T10" fmla="+- 0 596 575"/>
                <a:gd name="T11" fmla="*/ 596 h 28"/>
                <a:gd name="T12" fmla="+- 0 2174 2174"/>
                <a:gd name="T13" fmla="*/ T12 w 28"/>
                <a:gd name="T14" fmla="+- 0 581 575"/>
                <a:gd name="T15" fmla="*/ 581 h 28"/>
                <a:gd name="T16" fmla="+- 0 2180 2174"/>
                <a:gd name="T17" fmla="*/ T16 w 28"/>
                <a:gd name="T18" fmla="+- 0 575 575"/>
                <a:gd name="T19" fmla="*/ 575 h 28"/>
                <a:gd name="T20" fmla="+- 0 2195 2174"/>
                <a:gd name="T21" fmla="*/ T20 w 28"/>
                <a:gd name="T22" fmla="+- 0 575 575"/>
                <a:gd name="T23" fmla="*/ 575 h 28"/>
                <a:gd name="T24" fmla="+- 0 2201 2174"/>
                <a:gd name="T25" fmla="*/ T24 w 28"/>
                <a:gd name="T26" fmla="+- 0 581 575"/>
                <a:gd name="T27" fmla="*/ 581 h 28"/>
                <a:gd name="T28" fmla="+- 0 2201 2174"/>
                <a:gd name="T29" fmla="*/ T28 w 28"/>
                <a:gd name="T30" fmla="+- 0 596 575"/>
                <a:gd name="T31" fmla="*/ 596 h 28"/>
                <a:gd name="T32" fmla="+- 0 2195 2174"/>
                <a:gd name="T33" fmla="*/ T32 w 28"/>
                <a:gd name="T34" fmla="+- 0 603 575"/>
                <a:gd name="T35" fmla="*/ 603 h 2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8" h="28">
                  <a:moveTo>
                    <a:pt x="21" y="28"/>
                  </a:moveTo>
                  <a:lnTo>
                    <a:pt x="6" y="28"/>
                  </a:lnTo>
                  <a:lnTo>
                    <a:pt x="0" y="21"/>
                  </a:lnTo>
                  <a:lnTo>
                    <a:pt x="0" y="6"/>
                  </a:lnTo>
                  <a:lnTo>
                    <a:pt x="6" y="0"/>
                  </a:lnTo>
                  <a:lnTo>
                    <a:pt x="21" y="0"/>
                  </a:lnTo>
                  <a:lnTo>
                    <a:pt x="27" y="6"/>
                  </a:lnTo>
                  <a:lnTo>
                    <a:pt x="27" y="21"/>
                  </a:lnTo>
                  <a:lnTo>
                    <a:pt x="21" y="2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twoCellAnchor editAs="oneCell">
    <xdr:from>
      <xdr:col>6</xdr:col>
      <xdr:colOff>750337</xdr:colOff>
      <xdr:row>49</xdr:row>
      <xdr:rowOff>47017</xdr:rowOff>
    </xdr:from>
    <xdr:to>
      <xdr:col>6</xdr:col>
      <xdr:colOff>2105144</xdr:colOff>
      <xdr:row>56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A14A41-50DB-489F-2F77-5BDDD392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41912" y="4218967"/>
          <a:ext cx="1353537" cy="1505558"/>
        </a:xfrm>
        <a:prstGeom prst="rect">
          <a:avLst/>
        </a:prstGeom>
      </xdr:spPr>
    </xdr:pic>
    <xdr:clientData/>
  </xdr:twoCellAnchor>
  <xdr:twoCellAnchor editAs="oneCell">
    <xdr:from>
      <xdr:col>1</xdr:col>
      <xdr:colOff>1114425</xdr:colOff>
      <xdr:row>104</xdr:row>
      <xdr:rowOff>171450</xdr:rowOff>
    </xdr:from>
    <xdr:to>
      <xdr:col>1</xdr:col>
      <xdr:colOff>2877210</xdr:colOff>
      <xdr:row>118</xdr:row>
      <xdr:rowOff>25100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2F76C4-3DD0-E229-A8E6-139580F4A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24025" y="14935200"/>
          <a:ext cx="1758975" cy="2389839"/>
        </a:xfrm>
        <a:prstGeom prst="rect">
          <a:avLst/>
        </a:prstGeom>
      </xdr:spPr>
    </xdr:pic>
    <xdr:clientData/>
  </xdr:twoCellAnchor>
  <xdr:twoCellAnchor editAs="oneCell">
    <xdr:from>
      <xdr:col>2</xdr:col>
      <xdr:colOff>733425</xdr:colOff>
      <xdr:row>104</xdr:row>
      <xdr:rowOff>56158</xdr:rowOff>
    </xdr:from>
    <xdr:to>
      <xdr:col>4</xdr:col>
      <xdr:colOff>304800</xdr:colOff>
      <xdr:row>118</xdr:row>
      <xdr:rowOff>116099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B1D748-BCE9-1EA6-A131-39E73A198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14925" y="14819908"/>
          <a:ext cx="2143125" cy="25935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75640</xdr:colOff>
      <xdr:row>107</xdr:row>
      <xdr:rowOff>180041</xdr:rowOff>
    </xdr:from>
    <xdr:ext cx="3968632" cy="1773734"/>
    <xdr:pic>
      <xdr:nvPicPr>
        <xdr:cNvPr id="4" name="Picture 3">
          <a:extLst>
            <a:ext uri="{FF2B5EF4-FFF2-40B4-BE49-F238E27FC236}">
              <a16:creationId xmlns:a16="http://schemas.microsoft.com/office/drawing/2014/main" id="{8849BA43-D9C7-45B2-96DF-2AECE7A48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934" y="15207129"/>
          <a:ext cx="3968632" cy="1773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28575</xdr:colOff>
      <xdr:row>4</xdr:row>
      <xdr:rowOff>104775</xdr:rowOff>
    </xdr:from>
    <xdr:to>
      <xdr:col>1</xdr:col>
      <xdr:colOff>783590</xdr:colOff>
      <xdr:row>6</xdr:row>
      <xdr:rowOff>83820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C5D2F9F-6753-40A7-B99E-FB4684CF7E95}"/>
            </a:ext>
          </a:extLst>
        </xdr:cNvPr>
        <xdr:cNvGrpSpPr>
          <a:grpSpLocks/>
        </xdr:cNvGrpSpPr>
      </xdr:nvGrpSpPr>
      <xdr:grpSpPr bwMode="auto">
        <a:xfrm>
          <a:off x="28575" y="113058"/>
          <a:ext cx="1334798" cy="360045"/>
          <a:chOff x="892" y="153"/>
          <a:chExt cx="2144" cy="552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DF2E96DD-EA5E-DA0E-0956-24663B428993}"/>
              </a:ext>
            </a:extLst>
          </xdr:cNvPr>
          <xdr:cNvGrpSpPr>
            <a:grpSpLocks/>
          </xdr:cNvGrpSpPr>
        </xdr:nvGrpSpPr>
        <xdr:grpSpPr bwMode="auto">
          <a:xfrm>
            <a:off x="892" y="153"/>
            <a:ext cx="1036" cy="452"/>
            <a:chOff x="892" y="153"/>
            <a:chExt cx="1036" cy="452"/>
          </a:xfrm>
        </xdr:grpSpPr>
        <xdr:sp macro="" textlink="">
          <xdr:nvSpPr>
            <xdr:cNvPr id="75" name="Freeform 4884">
              <a:extLst>
                <a:ext uri="{FF2B5EF4-FFF2-40B4-BE49-F238E27FC236}">
                  <a16:creationId xmlns:a16="http://schemas.microsoft.com/office/drawing/2014/main" id="{0CB5529F-FB45-B24F-53C8-7118E2CD0F7D}"/>
                </a:ext>
              </a:extLst>
            </xdr:cNvPr>
            <xdr:cNvSpPr>
              <a:spLocks/>
            </xdr:cNvSpPr>
          </xdr:nvSpPr>
          <xdr:spPr bwMode="auto">
            <a:xfrm>
              <a:off x="892" y="153"/>
              <a:ext cx="1036" cy="452"/>
            </a:xfrm>
            <a:custGeom>
              <a:avLst/>
              <a:gdLst>
                <a:gd name="T0" fmla="+- 0 1239 892"/>
                <a:gd name="T1" fmla="*/ T0 w 1036"/>
                <a:gd name="T2" fmla="+- 0 604 153"/>
                <a:gd name="T3" fmla="*/ 604 h 452"/>
                <a:gd name="T4" fmla="+- 0 895 892"/>
                <a:gd name="T5" fmla="*/ T4 w 1036"/>
                <a:gd name="T6" fmla="+- 0 604 153"/>
                <a:gd name="T7" fmla="*/ 604 h 452"/>
                <a:gd name="T8" fmla="+- 0 892 892"/>
                <a:gd name="T9" fmla="*/ T8 w 1036"/>
                <a:gd name="T10" fmla="+- 0 601 153"/>
                <a:gd name="T11" fmla="*/ 601 h 452"/>
                <a:gd name="T12" fmla="+- 0 892 892"/>
                <a:gd name="T13" fmla="*/ T12 w 1036"/>
                <a:gd name="T14" fmla="+- 0 595 153"/>
                <a:gd name="T15" fmla="*/ 595 h 452"/>
                <a:gd name="T16" fmla="+- 0 892 892"/>
                <a:gd name="T17" fmla="*/ T16 w 1036"/>
                <a:gd name="T18" fmla="+- 0 594 153"/>
                <a:gd name="T19" fmla="*/ 594 h 452"/>
                <a:gd name="T20" fmla="+- 0 1046 892"/>
                <a:gd name="T21" fmla="*/ T20 w 1036"/>
                <a:gd name="T22" fmla="+- 0 225 153"/>
                <a:gd name="T23" fmla="*/ 225 h 452"/>
                <a:gd name="T24" fmla="+- 0 1087 892"/>
                <a:gd name="T25" fmla="*/ T24 w 1036"/>
                <a:gd name="T26" fmla="+- 0 178 153"/>
                <a:gd name="T27" fmla="*/ 178 h 452"/>
                <a:gd name="T28" fmla="+- 0 1146 892"/>
                <a:gd name="T29" fmla="*/ T28 w 1036"/>
                <a:gd name="T30" fmla="+- 0 155 153"/>
                <a:gd name="T31" fmla="*/ 155 h 452"/>
                <a:gd name="T32" fmla="+- 0 1919 892"/>
                <a:gd name="T33" fmla="*/ T32 w 1036"/>
                <a:gd name="T34" fmla="+- 0 153 153"/>
                <a:gd name="T35" fmla="*/ 153 h 452"/>
                <a:gd name="T36" fmla="+- 0 1923 892"/>
                <a:gd name="T37" fmla="*/ T36 w 1036"/>
                <a:gd name="T38" fmla="+- 0 153 153"/>
                <a:gd name="T39" fmla="*/ 153 h 452"/>
                <a:gd name="T40" fmla="+- 0 1927 892"/>
                <a:gd name="T41" fmla="*/ T40 w 1036"/>
                <a:gd name="T42" fmla="+- 0 156 153"/>
                <a:gd name="T43" fmla="*/ 156 h 452"/>
                <a:gd name="T44" fmla="+- 0 1927 892"/>
                <a:gd name="T45" fmla="*/ T44 w 1036"/>
                <a:gd name="T46" fmla="+- 0 162 153"/>
                <a:gd name="T47" fmla="*/ 162 h 452"/>
                <a:gd name="T48" fmla="+- 0 1927 892"/>
                <a:gd name="T49" fmla="*/ T48 w 1036"/>
                <a:gd name="T50" fmla="+- 0 163 153"/>
                <a:gd name="T51" fmla="*/ 163 h 452"/>
                <a:gd name="T52" fmla="+- 0 1900 892"/>
                <a:gd name="T53" fmla="*/ T52 w 1036"/>
                <a:gd name="T54" fmla="+- 0 227 153"/>
                <a:gd name="T55" fmla="*/ 227 h 452"/>
                <a:gd name="T56" fmla="+- 0 1899 892"/>
                <a:gd name="T57" fmla="*/ T56 w 1036"/>
                <a:gd name="T58" fmla="+- 0 230 153"/>
                <a:gd name="T59" fmla="*/ 230 h 452"/>
                <a:gd name="T60" fmla="+- 0 1896 892"/>
                <a:gd name="T61" fmla="*/ T60 w 1036"/>
                <a:gd name="T62" fmla="+- 0 232 153"/>
                <a:gd name="T63" fmla="*/ 232 h 452"/>
                <a:gd name="T64" fmla="+- 0 1212 892"/>
                <a:gd name="T65" fmla="*/ T64 w 1036"/>
                <a:gd name="T66" fmla="+- 0 233 153"/>
                <a:gd name="T67" fmla="*/ 233 h 452"/>
                <a:gd name="T68" fmla="+- 0 1189 892"/>
                <a:gd name="T69" fmla="*/ T68 w 1036"/>
                <a:gd name="T70" fmla="+- 0 237 153"/>
                <a:gd name="T71" fmla="*/ 237 h 452"/>
                <a:gd name="T72" fmla="+- 0 1135 892"/>
                <a:gd name="T73" fmla="*/ T72 w 1036"/>
                <a:gd name="T74" fmla="+- 0 266 153"/>
                <a:gd name="T75" fmla="*/ 266 h 452"/>
                <a:gd name="T76" fmla="+- 0 1100 892"/>
                <a:gd name="T77" fmla="*/ T76 w 1036"/>
                <a:gd name="T78" fmla="+- 0 330 153"/>
                <a:gd name="T79" fmla="*/ 330 h 452"/>
                <a:gd name="T80" fmla="+- 0 1096 892"/>
                <a:gd name="T81" fmla="*/ T80 w 1036"/>
                <a:gd name="T82" fmla="+- 0 366 153"/>
                <a:gd name="T83" fmla="*/ 366 h 452"/>
                <a:gd name="T84" fmla="+- 0 1098 892"/>
                <a:gd name="T85" fmla="*/ T84 w 1036"/>
                <a:gd name="T86" fmla="+- 0 384 153"/>
                <a:gd name="T87" fmla="*/ 384 h 452"/>
                <a:gd name="T88" fmla="+- 0 1130 892"/>
                <a:gd name="T89" fmla="*/ T88 w 1036"/>
                <a:gd name="T90" fmla="+- 0 446 153"/>
                <a:gd name="T91" fmla="*/ 446 h 452"/>
                <a:gd name="T92" fmla="+- 0 1260 892"/>
                <a:gd name="T93" fmla="*/ T92 w 1036"/>
                <a:gd name="T94" fmla="+- 0 569 153"/>
                <a:gd name="T95" fmla="*/ 569 h 452"/>
                <a:gd name="T96" fmla="+- 0 1264 892"/>
                <a:gd name="T97" fmla="*/ T96 w 1036"/>
                <a:gd name="T98" fmla="+- 0 586 153"/>
                <a:gd name="T99" fmla="*/ 586 h 452"/>
                <a:gd name="T100" fmla="+- 0 1256 892"/>
                <a:gd name="T101" fmla="*/ T100 w 1036"/>
                <a:gd name="T102" fmla="+- 0 599 153"/>
                <a:gd name="T103" fmla="*/ 599 h 452"/>
                <a:gd name="T104" fmla="+- 0 1239 892"/>
                <a:gd name="T105" fmla="*/ T104 w 1036"/>
                <a:gd name="T106" fmla="+- 0 604 153"/>
                <a:gd name="T107" fmla="*/ 604 h 45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  <a:cxn ang="0">
                  <a:pos x="T105" y="T107"/>
                </a:cxn>
              </a:cxnLst>
              <a:rect l="0" t="0" r="r" b="b"/>
              <a:pathLst>
                <a:path w="1036" h="452">
                  <a:moveTo>
                    <a:pt x="347" y="451"/>
                  </a:moveTo>
                  <a:lnTo>
                    <a:pt x="3" y="451"/>
                  </a:lnTo>
                  <a:lnTo>
                    <a:pt x="0" y="448"/>
                  </a:lnTo>
                  <a:lnTo>
                    <a:pt x="0" y="442"/>
                  </a:lnTo>
                  <a:lnTo>
                    <a:pt x="0" y="441"/>
                  </a:lnTo>
                  <a:lnTo>
                    <a:pt x="154" y="72"/>
                  </a:lnTo>
                  <a:lnTo>
                    <a:pt x="195" y="25"/>
                  </a:lnTo>
                  <a:lnTo>
                    <a:pt x="254" y="2"/>
                  </a:lnTo>
                  <a:lnTo>
                    <a:pt x="1027" y="0"/>
                  </a:lnTo>
                  <a:lnTo>
                    <a:pt x="1031" y="0"/>
                  </a:lnTo>
                  <a:lnTo>
                    <a:pt x="1035" y="3"/>
                  </a:lnTo>
                  <a:lnTo>
                    <a:pt x="1035" y="9"/>
                  </a:lnTo>
                  <a:lnTo>
                    <a:pt x="1035" y="10"/>
                  </a:lnTo>
                  <a:lnTo>
                    <a:pt x="1008" y="74"/>
                  </a:lnTo>
                  <a:lnTo>
                    <a:pt x="1007" y="77"/>
                  </a:lnTo>
                  <a:lnTo>
                    <a:pt x="1004" y="79"/>
                  </a:lnTo>
                  <a:lnTo>
                    <a:pt x="320" y="80"/>
                  </a:lnTo>
                  <a:lnTo>
                    <a:pt x="297" y="84"/>
                  </a:lnTo>
                  <a:lnTo>
                    <a:pt x="243" y="113"/>
                  </a:lnTo>
                  <a:lnTo>
                    <a:pt x="208" y="177"/>
                  </a:lnTo>
                  <a:lnTo>
                    <a:pt x="204" y="213"/>
                  </a:lnTo>
                  <a:lnTo>
                    <a:pt x="206" y="231"/>
                  </a:lnTo>
                  <a:lnTo>
                    <a:pt x="238" y="293"/>
                  </a:lnTo>
                  <a:lnTo>
                    <a:pt x="368" y="416"/>
                  </a:lnTo>
                  <a:lnTo>
                    <a:pt x="372" y="433"/>
                  </a:lnTo>
                  <a:lnTo>
                    <a:pt x="364" y="446"/>
                  </a:lnTo>
                  <a:lnTo>
                    <a:pt x="347" y="45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246E410C-7C55-0549-C4A6-48A27C3A025C}"/>
              </a:ext>
            </a:extLst>
          </xdr:cNvPr>
          <xdr:cNvGrpSpPr>
            <a:grpSpLocks/>
          </xdr:cNvGrpSpPr>
        </xdr:nvGrpSpPr>
        <xdr:grpSpPr bwMode="auto">
          <a:xfrm>
            <a:off x="1554" y="335"/>
            <a:ext cx="299" cy="370"/>
            <a:chOff x="1554" y="335"/>
            <a:chExt cx="299" cy="370"/>
          </a:xfrm>
        </xdr:grpSpPr>
        <xdr:sp macro="" textlink="">
          <xdr:nvSpPr>
            <xdr:cNvPr id="73" name="Freeform 4882">
              <a:extLst>
                <a:ext uri="{FF2B5EF4-FFF2-40B4-BE49-F238E27FC236}">
                  <a16:creationId xmlns:a16="http://schemas.microsoft.com/office/drawing/2014/main" id="{C5FAE11D-A8A9-62E0-537B-A29E4B46F78D}"/>
                </a:ext>
              </a:extLst>
            </xdr:cNvPr>
            <xdr:cNvSpPr>
              <a:spLocks/>
            </xdr:cNvSpPr>
          </xdr:nvSpPr>
          <xdr:spPr bwMode="auto">
            <a:xfrm>
              <a:off x="1554" y="335"/>
              <a:ext cx="299" cy="370"/>
            </a:xfrm>
            <a:custGeom>
              <a:avLst/>
              <a:gdLst>
                <a:gd name="T0" fmla="+- 0 1557 1554"/>
                <a:gd name="T1" fmla="*/ T0 w 299"/>
                <a:gd name="T2" fmla="+- 0 705 335"/>
                <a:gd name="T3" fmla="*/ 705 h 370"/>
                <a:gd name="T4" fmla="+- 0 1554 1554"/>
                <a:gd name="T5" fmla="*/ T4 w 299"/>
                <a:gd name="T6" fmla="+- 0 701 335"/>
                <a:gd name="T7" fmla="*/ 701 h 370"/>
                <a:gd name="T8" fmla="+- 0 1554 1554"/>
                <a:gd name="T9" fmla="*/ T8 w 299"/>
                <a:gd name="T10" fmla="+- 0 696 335"/>
                <a:gd name="T11" fmla="*/ 696 h 370"/>
                <a:gd name="T12" fmla="+- 0 1554 1554"/>
                <a:gd name="T13" fmla="*/ T12 w 299"/>
                <a:gd name="T14" fmla="+- 0 694 335"/>
                <a:gd name="T15" fmla="*/ 694 h 370"/>
                <a:gd name="T16" fmla="+- 0 1555 1554"/>
                <a:gd name="T17" fmla="*/ T16 w 299"/>
                <a:gd name="T18" fmla="+- 0 693 335"/>
                <a:gd name="T19" fmla="*/ 693 h 370"/>
                <a:gd name="T20" fmla="+- 0 1701 1554"/>
                <a:gd name="T21" fmla="*/ T20 w 299"/>
                <a:gd name="T22" fmla="+- 0 340 335"/>
                <a:gd name="T23" fmla="*/ 340 h 370"/>
                <a:gd name="T24" fmla="+- 0 1708 1554"/>
                <a:gd name="T25" fmla="*/ T24 w 299"/>
                <a:gd name="T26" fmla="+- 0 335 335"/>
                <a:gd name="T27" fmla="*/ 335 h 370"/>
                <a:gd name="T28" fmla="+- 0 1848 1554"/>
                <a:gd name="T29" fmla="*/ T28 w 299"/>
                <a:gd name="T30" fmla="+- 0 335 335"/>
                <a:gd name="T31" fmla="*/ 335 h 370"/>
                <a:gd name="T32" fmla="+- 0 1852 1554"/>
                <a:gd name="T33" fmla="*/ T32 w 299"/>
                <a:gd name="T34" fmla="+- 0 338 335"/>
                <a:gd name="T35" fmla="*/ 338 h 370"/>
                <a:gd name="T36" fmla="+- 0 1852 1554"/>
                <a:gd name="T37" fmla="*/ T36 w 299"/>
                <a:gd name="T38" fmla="+- 0 340 335"/>
                <a:gd name="T39" fmla="*/ 340 h 370"/>
                <a:gd name="T40" fmla="+- 0 1852 1554"/>
                <a:gd name="T41" fmla="*/ T40 w 299"/>
                <a:gd name="T42" fmla="+- 0 344 335"/>
                <a:gd name="T43" fmla="*/ 344 h 370"/>
                <a:gd name="T44" fmla="+- 0 1852 1554"/>
                <a:gd name="T45" fmla="*/ T44 w 299"/>
                <a:gd name="T46" fmla="+- 0 345 335"/>
                <a:gd name="T47" fmla="*/ 345 h 370"/>
                <a:gd name="T48" fmla="+- 0 1851 1554"/>
                <a:gd name="T49" fmla="*/ T48 w 299"/>
                <a:gd name="T50" fmla="+- 0 345 335"/>
                <a:gd name="T51" fmla="*/ 345 h 370"/>
                <a:gd name="T52" fmla="+- 0 1738 1554"/>
                <a:gd name="T53" fmla="*/ T52 w 299"/>
                <a:gd name="T54" fmla="+- 0 620 335"/>
                <a:gd name="T55" fmla="*/ 620 h 370"/>
                <a:gd name="T56" fmla="+- 0 1731 1554"/>
                <a:gd name="T57" fmla="*/ T56 w 299"/>
                <a:gd name="T58" fmla="+- 0 633 335"/>
                <a:gd name="T59" fmla="*/ 633 h 370"/>
                <a:gd name="T60" fmla="+- 0 1690 1554"/>
                <a:gd name="T61" fmla="*/ T60 w 299"/>
                <a:gd name="T62" fmla="+- 0 679 335"/>
                <a:gd name="T63" fmla="*/ 679 h 370"/>
                <a:gd name="T64" fmla="+- 0 1631 1554"/>
                <a:gd name="T65" fmla="*/ T64 w 299"/>
                <a:gd name="T66" fmla="+- 0 703 335"/>
                <a:gd name="T67" fmla="*/ 703 h 370"/>
                <a:gd name="T68" fmla="+- 0 1609 1554"/>
                <a:gd name="T69" fmla="*/ T68 w 299"/>
                <a:gd name="T70" fmla="+- 0 705 335"/>
                <a:gd name="T71" fmla="*/ 705 h 370"/>
                <a:gd name="T72" fmla="+- 0 1557 1554"/>
                <a:gd name="T73" fmla="*/ T72 w 299"/>
                <a:gd name="T74" fmla="+- 0 705 335"/>
                <a:gd name="T75" fmla="*/ 705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</a:cxnLst>
              <a:rect l="0" t="0" r="r" b="b"/>
              <a:pathLst>
                <a:path w="299" h="370">
                  <a:moveTo>
                    <a:pt x="3" y="370"/>
                  </a:moveTo>
                  <a:lnTo>
                    <a:pt x="0" y="366"/>
                  </a:lnTo>
                  <a:lnTo>
                    <a:pt x="0" y="361"/>
                  </a:lnTo>
                  <a:lnTo>
                    <a:pt x="0" y="359"/>
                  </a:lnTo>
                  <a:lnTo>
                    <a:pt x="1" y="358"/>
                  </a:lnTo>
                  <a:lnTo>
                    <a:pt x="147" y="5"/>
                  </a:lnTo>
                  <a:lnTo>
                    <a:pt x="154" y="0"/>
                  </a:lnTo>
                  <a:lnTo>
                    <a:pt x="294" y="0"/>
                  </a:lnTo>
                  <a:lnTo>
                    <a:pt x="298" y="3"/>
                  </a:lnTo>
                  <a:lnTo>
                    <a:pt x="298" y="5"/>
                  </a:lnTo>
                  <a:lnTo>
                    <a:pt x="298" y="9"/>
                  </a:lnTo>
                  <a:lnTo>
                    <a:pt x="298" y="10"/>
                  </a:lnTo>
                  <a:lnTo>
                    <a:pt x="297" y="10"/>
                  </a:lnTo>
                  <a:lnTo>
                    <a:pt x="184" y="285"/>
                  </a:lnTo>
                  <a:lnTo>
                    <a:pt x="177" y="298"/>
                  </a:lnTo>
                  <a:lnTo>
                    <a:pt x="136" y="344"/>
                  </a:lnTo>
                  <a:lnTo>
                    <a:pt x="77" y="368"/>
                  </a:lnTo>
                  <a:lnTo>
                    <a:pt x="55" y="370"/>
                  </a:lnTo>
                  <a:lnTo>
                    <a:pt x="3" y="3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4" name="Freeform 4881">
              <a:extLst>
                <a:ext uri="{FF2B5EF4-FFF2-40B4-BE49-F238E27FC236}">
                  <a16:creationId xmlns:a16="http://schemas.microsoft.com/office/drawing/2014/main" id="{5B6AFEFE-DEB6-8D0C-0FBA-45E9B896A206}"/>
                </a:ext>
              </a:extLst>
            </xdr:cNvPr>
            <xdr:cNvSpPr>
              <a:spLocks/>
            </xdr:cNvSpPr>
          </xdr:nvSpPr>
          <xdr:spPr bwMode="auto">
            <a:xfrm>
              <a:off x="1554" y="335"/>
              <a:ext cx="299" cy="370"/>
            </a:xfrm>
            <a:custGeom>
              <a:avLst/>
              <a:gdLst>
                <a:gd name="T0" fmla="+- 0 1738 1554"/>
                <a:gd name="T1" fmla="*/ T0 w 299"/>
                <a:gd name="T2" fmla="+- 0 620 335"/>
                <a:gd name="T3" fmla="*/ 620 h 370"/>
                <a:gd name="T4" fmla="+- 0 1738 1554"/>
                <a:gd name="T5" fmla="*/ T4 w 299"/>
                <a:gd name="T6" fmla="+- 0 620 335"/>
                <a:gd name="T7" fmla="*/ 620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299" h="370">
                  <a:moveTo>
                    <a:pt x="184" y="285"/>
                  </a:moveTo>
                  <a:lnTo>
                    <a:pt x="184" y="28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2DC11962-0FA0-1EDC-3DA3-2EA0517D5415}"/>
              </a:ext>
            </a:extLst>
          </xdr:cNvPr>
          <xdr:cNvGrpSpPr>
            <a:grpSpLocks/>
          </xdr:cNvGrpSpPr>
        </xdr:nvGrpSpPr>
        <xdr:grpSpPr bwMode="auto">
          <a:xfrm>
            <a:off x="1200" y="335"/>
            <a:ext cx="394" cy="370"/>
            <a:chOff x="1200" y="335"/>
            <a:chExt cx="394" cy="370"/>
          </a:xfrm>
        </xdr:grpSpPr>
        <xdr:sp macro="" textlink="">
          <xdr:nvSpPr>
            <xdr:cNvPr id="72" name="Freeform 4879">
              <a:extLst>
                <a:ext uri="{FF2B5EF4-FFF2-40B4-BE49-F238E27FC236}">
                  <a16:creationId xmlns:a16="http://schemas.microsoft.com/office/drawing/2014/main" id="{4BBDDD04-DF2D-D504-8756-7AE57B6F3ED6}"/>
                </a:ext>
              </a:extLst>
            </xdr:cNvPr>
            <xdr:cNvSpPr>
              <a:spLocks/>
            </xdr:cNvSpPr>
          </xdr:nvSpPr>
          <xdr:spPr bwMode="auto">
            <a:xfrm>
              <a:off x="1200" y="335"/>
              <a:ext cx="394" cy="370"/>
            </a:xfrm>
            <a:custGeom>
              <a:avLst/>
              <a:gdLst>
                <a:gd name="T0" fmla="+- 0 1439 1200"/>
                <a:gd name="T1" fmla="*/ T0 w 394"/>
                <a:gd name="T2" fmla="+- 0 705 335"/>
                <a:gd name="T3" fmla="*/ 705 h 370"/>
                <a:gd name="T4" fmla="+- 0 1290 1200"/>
                <a:gd name="T5" fmla="*/ T4 w 394"/>
                <a:gd name="T6" fmla="+- 0 705 335"/>
                <a:gd name="T7" fmla="*/ 705 h 370"/>
                <a:gd name="T8" fmla="+- 0 1289 1200"/>
                <a:gd name="T9" fmla="*/ T8 w 394"/>
                <a:gd name="T10" fmla="+- 0 704 335"/>
                <a:gd name="T11" fmla="*/ 704 h 370"/>
                <a:gd name="T12" fmla="+- 0 1289 1200"/>
                <a:gd name="T13" fmla="*/ T12 w 394"/>
                <a:gd name="T14" fmla="+- 0 702 335"/>
                <a:gd name="T15" fmla="*/ 702 h 370"/>
                <a:gd name="T16" fmla="+- 0 1290 1200"/>
                <a:gd name="T17" fmla="*/ T16 w 394"/>
                <a:gd name="T18" fmla="+- 0 701 335"/>
                <a:gd name="T19" fmla="*/ 701 h 370"/>
                <a:gd name="T20" fmla="+- 0 1298 1200"/>
                <a:gd name="T21" fmla="*/ T20 w 394"/>
                <a:gd name="T22" fmla="+- 0 697 335"/>
                <a:gd name="T23" fmla="*/ 697 h 370"/>
                <a:gd name="T24" fmla="+- 0 1312 1200"/>
                <a:gd name="T25" fmla="*/ T24 w 394"/>
                <a:gd name="T26" fmla="+- 0 688 335"/>
                <a:gd name="T27" fmla="*/ 688 h 370"/>
                <a:gd name="T28" fmla="+- 0 1351 1200"/>
                <a:gd name="T29" fmla="*/ T28 w 394"/>
                <a:gd name="T30" fmla="+- 0 641 335"/>
                <a:gd name="T31" fmla="*/ 641 h 370"/>
                <a:gd name="T32" fmla="+- 0 1366 1200"/>
                <a:gd name="T33" fmla="*/ T32 w 394"/>
                <a:gd name="T34" fmla="+- 0 593 335"/>
                <a:gd name="T35" fmla="*/ 593 h 370"/>
                <a:gd name="T36" fmla="+- 0 1366 1200"/>
                <a:gd name="T37" fmla="*/ T36 w 394"/>
                <a:gd name="T38" fmla="+- 0 564 335"/>
                <a:gd name="T39" fmla="*/ 564 h 370"/>
                <a:gd name="T40" fmla="+- 0 1339 1200"/>
                <a:gd name="T41" fmla="*/ T40 w 394"/>
                <a:gd name="T42" fmla="+- 0 503 335"/>
                <a:gd name="T43" fmla="*/ 503 h 370"/>
                <a:gd name="T44" fmla="+- 0 1201 1200"/>
                <a:gd name="T45" fmla="*/ T44 w 394"/>
                <a:gd name="T46" fmla="+- 0 368 335"/>
                <a:gd name="T47" fmla="*/ 368 h 370"/>
                <a:gd name="T48" fmla="+- 0 1200 1200"/>
                <a:gd name="T49" fmla="*/ T48 w 394"/>
                <a:gd name="T50" fmla="+- 0 352 335"/>
                <a:gd name="T51" fmla="*/ 352 h 370"/>
                <a:gd name="T52" fmla="+- 0 1209 1200"/>
                <a:gd name="T53" fmla="*/ T52 w 394"/>
                <a:gd name="T54" fmla="+- 0 340 335"/>
                <a:gd name="T55" fmla="*/ 340 h 370"/>
                <a:gd name="T56" fmla="+- 0 1224 1200"/>
                <a:gd name="T57" fmla="*/ T56 w 394"/>
                <a:gd name="T58" fmla="+- 0 335 335"/>
                <a:gd name="T59" fmla="*/ 335 h 370"/>
                <a:gd name="T60" fmla="+- 0 1590 1200"/>
                <a:gd name="T61" fmla="*/ T60 w 394"/>
                <a:gd name="T62" fmla="+- 0 335 335"/>
                <a:gd name="T63" fmla="*/ 335 h 370"/>
                <a:gd name="T64" fmla="+- 0 1593 1200"/>
                <a:gd name="T65" fmla="*/ T64 w 394"/>
                <a:gd name="T66" fmla="+- 0 338 335"/>
                <a:gd name="T67" fmla="*/ 338 h 370"/>
                <a:gd name="T68" fmla="+- 0 1593 1200"/>
                <a:gd name="T69" fmla="*/ T68 w 394"/>
                <a:gd name="T70" fmla="+- 0 344 335"/>
                <a:gd name="T71" fmla="*/ 344 h 370"/>
                <a:gd name="T72" fmla="+- 0 1593 1200"/>
                <a:gd name="T73" fmla="*/ T72 w 394"/>
                <a:gd name="T74" fmla="+- 0 345 335"/>
                <a:gd name="T75" fmla="*/ 345 h 370"/>
                <a:gd name="T76" fmla="+- 0 1593 1200"/>
                <a:gd name="T77" fmla="*/ T76 w 394"/>
                <a:gd name="T78" fmla="+- 0 345 335"/>
                <a:gd name="T79" fmla="*/ 345 h 370"/>
                <a:gd name="T80" fmla="+- 0 1446 1200"/>
                <a:gd name="T81" fmla="*/ T80 w 394"/>
                <a:gd name="T82" fmla="+- 0 700 335"/>
                <a:gd name="T83" fmla="*/ 700 h 370"/>
                <a:gd name="T84" fmla="+- 0 1439 1200"/>
                <a:gd name="T85" fmla="*/ T84 w 394"/>
                <a:gd name="T86" fmla="+- 0 705 335"/>
                <a:gd name="T87" fmla="*/ 705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</a:cxnLst>
              <a:rect l="0" t="0" r="r" b="b"/>
              <a:pathLst>
                <a:path w="394" h="370">
                  <a:moveTo>
                    <a:pt x="239" y="370"/>
                  </a:moveTo>
                  <a:lnTo>
                    <a:pt x="90" y="370"/>
                  </a:lnTo>
                  <a:lnTo>
                    <a:pt x="89" y="369"/>
                  </a:lnTo>
                  <a:lnTo>
                    <a:pt x="89" y="367"/>
                  </a:lnTo>
                  <a:lnTo>
                    <a:pt x="90" y="366"/>
                  </a:lnTo>
                  <a:lnTo>
                    <a:pt x="98" y="362"/>
                  </a:lnTo>
                  <a:lnTo>
                    <a:pt x="112" y="353"/>
                  </a:lnTo>
                  <a:lnTo>
                    <a:pt x="151" y="306"/>
                  </a:lnTo>
                  <a:lnTo>
                    <a:pt x="166" y="258"/>
                  </a:lnTo>
                  <a:lnTo>
                    <a:pt x="166" y="229"/>
                  </a:lnTo>
                  <a:lnTo>
                    <a:pt x="139" y="168"/>
                  </a:lnTo>
                  <a:lnTo>
                    <a:pt x="1" y="33"/>
                  </a:lnTo>
                  <a:lnTo>
                    <a:pt x="0" y="17"/>
                  </a:lnTo>
                  <a:lnTo>
                    <a:pt x="9" y="5"/>
                  </a:lnTo>
                  <a:lnTo>
                    <a:pt x="24" y="0"/>
                  </a:lnTo>
                  <a:lnTo>
                    <a:pt x="390" y="0"/>
                  </a:lnTo>
                  <a:lnTo>
                    <a:pt x="393" y="3"/>
                  </a:lnTo>
                  <a:lnTo>
                    <a:pt x="393" y="9"/>
                  </a:lnTo>
                  <a:lnTo>
                    <a:pt x="393" y="10"/>
                  </a:lnTo>
                  <a:lnTo>
                    <a:pt x="246" y="365"/>
                  </a:lnTo>
                  <a:lnTo>
                    <a:pt x="239" y="3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9C1A004B-506B-32A1-4CE1-46F57F55B6D6}"/>
              </a:ext>
            </a:extLst>
          </xdr:cNvPr>
          <xdr:cNvGrpSpPr>
            <a:grpSpLocks/>
          </xdr:cNvGrpSpPr>
        </xdr:nvGrpSpPr>
        <xdr:grpSpPr bwMode="auto">
          <a:xfrm>
            <a:off x="1986" y="492"/>
            <a:ext cx="11" cy="16"/>
            <a:chOff x="1986" y="492"/>
            <a:chExt cx="11" cy="16"/>
          </a:xfrm>
        </xdr:grpSpPr>
        <xdr:sp macro="" textlink="">
          <xdr:nvSpPr>
            <xdr:cNvPr id="71" name="Freeform 4877">
              <a:extLst>
                <a:ext uri="{FF2B5EF4-FFF2-40B4-BE49-F238E27FC236}">
                  <a16:creationId xmlns:a16="http://schemas.microsoft.com/office/drawing/2014/main" id="{77CAA8D5-CBA4-3230-BE19-4F4B8CBA1317}"/>
                </a:ext>
              </a:extLst>
            </xdr:cNvPr>
            <xdr:cNvSpPr>
              <a:spLocks/>
            </xdr:cNvSpPr>
          </xdr:nvSpPr>
          <xdr:spPr bwMode="auto">
            <a:xfrm>
              <a:off x="1986" y="492"/>
              <a:ext cx="11" cy="16"/>
            </a:xfrm>
            <a:custGeom>
              <a:avLst/>
              <a:gdLst>
                <a:gd name="T0" fmla="+- 0 1986 1986"/>
                <a:gd name="T1" fmla="*/ T0 w 11"/>
                <a:gd name="T2" fmla="+- 0 500 492"/>
                <a:gd name="T3" fmla="*/ 500 h 16"/>
                <a:gd name="T4" fmla="+- 0 1997 1986"/>
                <a:gd name="T5" fmla="*/ T4 w 11"/>
                <a:gd name="T6" fmla="+- 0 500 492"/>
                <a:gd name="T7" fmla="*/ 500 h 1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11" h="16">
                  <a:moveTo>
                    <a:pt x="0" y="8"/>
                  </a:moveTo>
                  <a:lnTo>
                    <a:pt x="11" y="8"/>
                  </a:lnTo>
                </a:path>
              </a:pathLst>
            </a:custGeom>
            <a:noFill/>
            <a:ln w="11238">
              <a:solidFill>
                <a:srgbClr val="001E4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90DA9733-3786-177C-0AFB-A4FC19C18612}"/>
              </a:ext>
            </a:extLst>
          </xdr:cNvPr>
          <xdr:cNvGrpSpPr>
            <a:grpSpLocks/>
          </xdr:cNvGrpSpPr>
        </xdr:nvGrpSpPr>
        <xdr:grpSpPr bwMode="auto">
          <a:xfrm>
            <a:off x="1927" y="495"/>
            <a:ext cx="36" cy="106"/>
            <a:chOff x="1927" y="495"/>
            <a:chExt cx="36" cy="106"/>
          </a:xfrm>
        </xdr:grpSpPr>
        <xdr:sp macro="" textlink="">
          <xdr:nvSpPr>
            <xdr:cNvPr id="69" name="Freeform 4875">
              <a:extLst>
                <a:ext uri="{FF2B5EF4-FFF2-40B4-BE49-F238E27FC236}">
                  <a16:creationId xmlns:a16="http://schemas.microsoft.com/office/drawing/2014/main" id="{B71E05E5-8426-4313-5562-7FF14D5D06A0}"/>
                </a:ext>
              </a:extLst>
            </xdr:cNvPr>
            <xdr:cNvSpPr>
              <a:spLocks/>
            </xdr:cNvSpPr>
          </xdr:nvSpPr>
          <xdr:spPr bwMode="auto">
            <a:xfrm>
              <a:off x="1927" y="495"/>
              <a:ext cx="36" cy="106"/>
            </a:xfrm>
            <a:custGeom>
              <a:avLst/>
              <a:gdLst>
                <a:gd name="T0" fmla="+- 0 1951 1927"/>
                <a:gd name="T1" fmla="*/ T0 w 36"/>
                <a:gd name="T2" fmla="+- 0 591 495"/>
                <a:gd name="T3" fmla="*/ 591 h 106"/>
                <a:gd name="T4" fmla="+- 0 1940 1927"/>
                <a:gd name="T5" fmla="*/ T4 w 36"/>
                <a:gd name="T6" fmla="+- 0 591 495"/>
                <a:gd name="T7" fmla="*/ 591 h 106"/>
                <a:gd name="T8" fmla="+- 0 1940 1927"/>
                <a:gd name="T9" fmla="*/ T8 w 36"/>
                <a:gd name="T10" fmla="+- 0 505 495"/>
                <a:gd name="T11" fmla="*/ 505 h 106"/>
                <a:gd name="T12" fmla="+- 0 1928 1927"/>
                <a:gd name="T13" fmla="*/ T12 w 36"/>
                <a:gd name="T14" fmla="+- 0 505 495"/>
                <a:gd name="T15" fmla="*/ 505 h 106"/>
                <a:gd name="T16" fmla="+- 0 1928 1927"/>
                <a:gd name="T17" fmla="*/ T16 w 36"/>
                <a:gd name="T18" fmla="+- 0 495 495"/>
                <a:gd name="T19" fmla="*/ 495 h 106"/>
                <a:gd name="T20" fmla="+- 0 1951 1927"/>
                <a:gd name="T21" fmla="*/ T20 w 36"/>
                <a:gd name="T22" fmla="+- 0 495 495"/>
                <a:gd name="T23" fmla="*/ 495 h 106"/>
                <a:gd name="T24" fmla="+- 0 1951 1927"/>
                <a:gd name="T25" fmla="*/ T24 w 36"/>
                <a:gd name="T26" fmla="+- 0 591 495"/>
                <a:gd name="T27" fmla="*/ 591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6" h="106">
                  <a:moveTo>
                    <a:pt x="24" y="96"/>
                  </a:moveTo>
                  <a:lnTo>
                    <a:pt x="13" y="96"/>
                  </a:lnTo>
                  <a:lnTo>
                    <a:pt x="13" y="10"/>
                  </a:lnTo>
                  <a:lnTo>
                    <a:pt x="1" y="10"/>
                  </a:lnTo>
                  <a:lnTo>
                    <a:pt x="1" y="0"/>
                  </a:lnTo>
                  <a:lnTo>
                    <a:pt x="24" y="0"/>
                  </a:lnTo>
                  <a:lnTo>
                    <a:pt x="24" y="9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0" name="Freeform 4874">
              <a:extLst>
                <a:ext uri="{FF2B5EF4-FFF2-40B4-BE49-F238E27FC236}">
                  <a16:creationId xmlns:a16="http://schemas.microsoft.com/office/drawing/2014/main" id="{6A83FA6B-45E4-57C6-5660-BF6492DBC118}"/>
                </a:ext>
              </a:extLst>
            </xdr:cNvPr>
            <xdr:cNvSpPr>
              <a:spLocks/>
            </xdr:cNvSpPr>
          </xdr:nvSpPr>
          <xdr:spPr bwMode="auto">
            <a:xfrm>
              <a:off x="1927" y="495"/>
              <a:ext cx="36" cy="106"/>
            </a:xfrm>
            <a:custGeom>
              <a:avLst/>
              <a:gdLst>
                <a:gd name="T0" fmla="+- 0 1963 1927"/>
                <a:gd name="T1" fmla="*/ T0 w 36"/>
                <a:gd name="T2" fmla="+- 0 600 495"/>
                <a:gd name="T3" fmla="*/ 600 h 106"/>
                <a:gd name="T4" fmla="+- 0 1927 1927"/>
                <a:gd name="T5" fmla="*/ T4 w 36"/>
                <a:gd name="T6" fmla="+- 0 600 495"/>
                <a:gd name="T7" fmla="*/ 600 h 106"/>
                <a:gd name="T8" fmla="+- 0 1927 1927"/>
                <a:gd name="T9" fmla="*/ T8 w 36"/>
                <a:gd name="T10" fmla="+- 0 591 495"/>
                <a:gd name="T11" fmla="*/ 591 h 106"/>
                <a:gd name="T12" fmla="+- 0 1963 1927"/>
                <a:gd name="T13" fmla="*/ T12 w 36"/>
                <a:gd name="T14" fmla="+- 0 591 495"/>
                <a:gd name="T15" fmla="*/ 591 h 106"/>
                <a:gd name="T16" fmla="+- 0 1963 1927"/>
                <a:gd name="T17" fmla="*/ T16 w 36"/>
                <a:gd name="T18" fmla="+- 0 600 495"/>
                <a:gd name="T19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6" h="106">
                  <a:moveTo>
                    <a:pt x="36" y="105"/>
                  </a:moveTo>
                  <a:lnTo>
                    <a:pt x="0" y="105"/>
                  </a:lnTo>
                  <a:lnTo>
                    <a:pt x="0" y="96"/>
                  </a:lnTo>
                  <a:lnTo>
                    <a:pt x="36" y="96"/>
                  </a:lnTo>
                  <a:lnTo>
                    <a:pt x="36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FBBA0671-CA1B-AA79-8A7C-F6E38E41F07C}"/>
              </a:ext>
            </a:extLst>
          </xdr:cNvPr>
          <xdr:cNvGrpSpPr>
            <a:grpSpLocks/>
          </xdr:cNvGrpSpPr>
        </xdr:nvGrpSpPr>
        <xdr:grpSpPr bwMode="auto">
          <a:xfrm>
            <a:off x="1976" y="522"/>
            <a:ext cx="36" cy="79"/>
            <a:chOff x="1976" y="522"/>
            <a:chExt cx="36" cy="79"/>
          </a:xfrm>
        </xdr:grpSpPr>
        <xdr:sp macro="" textlink="">
          <xdr:nvSpPr>
            <xdr:cNvPr id="67" name="Freeform 4872">
              <a:extLst>
                <a:ext uri="{FF2B5EF4-FFF2-40B4-BE49-F238E27FC236}">
                  <a16:creationId xmlns:a16="http://schemas.microsoft.com/office/drawing/2014/main" id="{3718EEAD-7CD5-5B83-3469-8D13CBC5F1E5}"/>
                </a:ext>
              </a:extLst>
            </xdr:cNvPr>
            <xdr:cNvSpPr>
              <a:spLocks/>
            </xdr:cNvSpPr>
          </xdr:nvSpPr>
          <xdr:spPr bwMode="auto">
            <a:xfrm>
              <a:off x="1976" y="522"/>
              <a:ext cx="36" cy="79"/>
            </a:xfrm>
            <a:custGeom>
              <a:avLst/>
              <a:gdLst>
                <a:gd name="T0" fmla="+- 0 1999 1976"/>
                <a:gd name="T1" fmla="*/ T0 w 36"/>
                <a:gd name="T2" fmla="+- 0 591 522"/>
                <a:gd name="T3" fmla="*/ 591 h 79"/>
                <a:gd name="T4" fmla="+- 0 1989 1976"/>
                <a:gd name="T5" fmla="*/ T4 w 36"/>
                <a:gd name="T6" fmla="+- 0 591 522"/>
                <a:gd name="T7" fmla="*/ 591 h 79"/>
                <a:gd name="T8" fmla="+- 0 1989 1976"/>
                <a:gd name="T9" fmla="*/ T8 w 36"/>
                <a:gd name="T10" fmla="+- 0 532 522"/>
                <a:gd name="T11" fmla="*/ 532 h 79"/>
                <a:gd name="T12" fmla="+- 0 1976 1976"/>
                <a:gd name="T13" fmla="*/ T12 w 36"/>
                <a:gd name="T14" fmla="+- 0 532 522"/>
                <a:gd name="T15" fmla="*/ 532 h 79"/>
                <a:gd name="T16" fmla="+- 0 1976 1976"/>
                <a:gd name="T17" fmla="*/ T16 w 36"/>
                <a:gd name="T18" fmla="+- 0 522 522"/>
                <a:gd name="T19" fmla="*/ 522 h 79"/>
                <a:gd name="T20" fmla="+- 0 1999 1976"/>
                <a:gd name="T21" fmla="*/ T20 w 36"/>
                <a:gd name="T22" fmla="+- 0 522 522"/>
                <a:gd name="T23" fmla="*/ 522 h 79"/>
                <a:gd name="T24" fmla="+- 0 1999 1976"/>
                <a:gd name="T25" fmla="*/ T24 w 36"/>
                <a:gd name="T26" fmla="+- 0 591 522"/>
                <a:gd name="T27" fmla="*/ 591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6" h="79">
                  <a:moveTo>
                    <a:pt x="23" y="69"/>
                  </a:moveTo>
                  <a:lnTo>
                    <a:pt x="13" y="69"/>
                  </a:lnTo>
                  <a:lnTo>
                    <a:pt x="13" y="10"/>
                  </a:lnTo>
                  <a:lnTo>
                    <a:pt x="0" y="10"/>
                  </a:lnTo>
                  <a:lnTo>
                    <a:pt x="0" y="0"/>
                  </a:lnTo>
                  <a:lnTo>
                    <a:pt x="23" y="0"/>
                  </a:lnTo>
                  <a:lnTo>
                    <a:pt x="23" y="6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8" name="Freeform 4871">
              <a:extLst>
                <a:ext uri="{FF2B5EF4-FFF2-40B4-BE49-F238E27FC236}">
                  <a16:creationId xmlns:a16="http://schemas.microsoft.com/office/drawing/2014/main" id="{1F99036F-7F14-0B5D-0231-9E72894A03D7}"/>
                </a:ext>
              </a:extLst>
            </xdr:cNvPr>
            <xdr:cNvSpPr>
              <a:spLocks/>
            </xdr:cNvSpPr>
          </xdr:nvSpPr>
          <xdr:spPr bwMode="auto">
            <a:xfrm>
              <a:off x="1976" y="522"/>
              <a:ext cx="36" cy="79"/>
            </a:xfrm>
            <a:custGeom>
              <a:avLst/>
              <a:gdLst>
                <a:gd name="T0" fmla="+- 0 2011 1976"/>
                <a:gd name="T1" fmla="*/ T0 w 36"/>
                <a:gd name="T2" fmla="+- 0 600 522"/>
                <a:gd name="T3" fmla="*/ 600 h 79"/>
                <a:gd name="T4" fmla="+- 0 1976 1976"/>
                <a:gd name="T5" fmla="*/ T4 w 36"/>
                <a:gd name="T6" fmla="+- 0 600 522"/>
                <a:gd name="T7" fmla="*/ 600 h 79"/>
                <a:gd name="T8" fmla="+- 0 1976 1976"/>
                <a:gd name="T9" fmla="*/ T8 w 36"/>
                <a:gd name="T10" fmla="+- 0 591 522"/>
                <a:gd name="T11" fmla="*/ 591 h 79"/>
                <a:gd name="T12" fmla="+- 0 2011 1976"/>
                <a:gd name="T13" fmla="*/ T12 w 36"/>
                <a:gd name="T14" fmla="+- 0 591 522"/>
                <a:gd name="T15" fmla="*/ 591 h 79"/>
                <a:gd name="T16" fmla="+- 0 2011 1976"/>
                <a:gd name="T17" fmla="*/ T16 w 36"/>
                <a:gd name="T18" fmla="+- 0 600 522"/>
                <a:gd name="T19" fmla="*/ 600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6" h="79">
                  <a:moveTo>
                    <a:pt x="35" y="78"/>
                  </a:moveTo>
                  <a:lnTo>
                    <a:pt x="0" y="78"/>
                  </a:lnTo>
                  <a:lnTo>
                    <a:pt x="0" y="69"/>
                  </a:lnTo>
                  <a:lnTo>
                    <a:pt x="35" y="69"/>
                  </a:lnTo>
                  <a:lnTo>
                    <a:pt x="35" y="7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1DB9F615-7067-899D-AD7E-4F669330D230}"/>
              </a:ext>
            </a:extLst>
          </xdr:cNvPr>
          <xdr:cNvGrpSpPr>
            <a:grpSpLocks/>
          </xdr:cNvGrpSpPr>
        </xdr:nvGrpSpPr>
        <xdr:grpSpPr bwMode="auto">
          <a:xfrm>
            <a:off x="2022" y="494"/>
            <a:ext cx="39" cy="107"/>
            <a:chOff x="2022" y="494"/>
            <a:chExt cx="39" cy="107"/>
          </a:xfrm>
        </xdr:grpSpPr>
        <xdr:sp macro="" textlink="">
          <xdr:nvSpPr>
            <xdr:cNvPr id="63" name="Freeform 4869">
              <a:extLst>
                <a:ext uri="{FF2B5EF4-FFF2-40B4-BE49-F238E27FC236}">
                  <a16:creationId xmlns:a16="http://schemas.microsoft.com/office/drawing/2014/main" id="{FB5E008F-876E-0537-B982-2EE363805E52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45 2022"/>
                <a:gd name="T1" fmla="*/ T0 w 39"/>
                <a:gd name="T2" fmla="+- 0 522 494"/>
                <a:gd name="T3" fmla="*/ 522 h 107"/>
                <a:gd name="T4" fmla="+- 0 2035 2022"/>
                <a:gd name="T5" fmla="*/ T4 w 39"/>
                <a:gd name="T6" fmla="+- 0 522 494"/>
                <a:gd name="T7" fmla="*/ 522 h 107"/>
                <a:gd name="T8" fmla="+- 0 2035 2022"/>
                <a:gd name="T9" fmla="*/ T8 w 39"/>
                <a:gd name="T10" fmla="+- 0 521 494"/>
                <a:gd name="T11" fmla="*/ 521 h 107"/>
                <a:gd name="T12" fmla="+- 0 2035 2022"/>
                <a:gd name="T13" fmla="*/ T12 w 39"/>
                <a:gd name="T14" fmla="+- 0 513 494"/>
                <a:gd name="T15" fmla="*/ 513 h 107"/>
                <a:gd name="T16" fmla="+- 0 2035 2022"/>
                <a:gd name="T17" fmla="*/ T16 w 39"/>
                <a:gd name="T18" fmla="+- 0 506 494"/>
                <a:gd name="T19" fmla="*/ 506 h 107"/>
                <a:gd name="T20" fmla="+- 0 2042 2022"/>
                <a:gd name="T21" fmla="*/ T20 w 39"/>
                <a:gd name="T22" fmla="+- 0 500 494"/>
                <a:gd name="T23" fmla="*/ 500 h 107"/>
                <a:gd name="T24" fmla="+- 0 2046 2022"/>
                <a:gd name="T25" fmla="*/ T24 w 39"/>
                <a:gd name="T26" fmla="+- 0 496 494"/>
                <a:gd name="T27" fmla="*/ 496 h 107"/>
                <a:gd name="T28" fmla="+- 0 2052 2022"/>
                <a:gd name="T29" fmla="*/ T28 w 39"/>
                <a:gd name="T30" fmla="+- 0 494 494"/>
                <a:gd name="T31" fmla="*/ 494 h 107"/>
                <a:gd name="T32" fmla="+- 0 2061 2022"/>
                <a:gd name="T33" fmla="*/ T32 w 39"/>
                <a:gd name="T34" fmla="+- 0 494 494"/>
                <a:gd name="T35" fmla="*/ 494 h 107"/>
                <a:gd name="T36" fmla="+- 0 2061 2022"/>
                <a:gd name="T37" fmla="*/ T36 w 39"/>
                <a:gd name="T38" fmla="+- 0 503 494"/>
                <a:gd name="T39" fmla="*/ 503 h 107"/>
                <a:gd name="T40" fmla="+- 0 2056 2022"/>
                <a:gd name="T41" fmla="*/ T40 w 39"/>
                <a:gd name="T42" fmla="+- 0 503 494"/>
                <a:gd name="T43" fmla="*/ 503 h 107"/>
                <a:gd name="T44" fmla="+- 0 2053 2022"/>
                <a:gd name="T45" fmla="*/ T44 w 39"/>
                <a:gd name="T46" fmla="+- 0 505 494"/>
                <a:gd name="T47" fmla="*/ 505 h 107"/>
                <a:gd name="T48" fmla="+- 0 2050 2022"/>
                <a:gd name="T49" fmla="*/ T48 w 39"/>
                <a:gd name="T50" fmla="+- 0 507 494"/>
                <a:gd name="T51" fmla="*/ 507 h 107"/>
                <a:gd name="T52" fmla="+- 0 2045 2022"/>
                <a:gd name="T53" fmla="*/ T52 w 39"/>
                <a:gd name="T54" fmla="+- 0 510 494"/>
                <a:gd name="T55" fmla="*/ 510 h 107"/>
                <a:gd name="T56" fmla="+- 0 2045 2022"/>
                <a:gd name="T57" fmla="*/ T56 w 39"/>
                <a:gd name="T58" fmla="+- 0 515 494"/>
                <a:gd name="T59" fmla="*/ 515 h 107"/>
                <a:gd name="T60" fmla="+- 0 2045 2022"/>
                <a:gd name="T61" fmla="*/ T60 w 39"/>
                <a:gd name="T62" fmla="+- 0 521 494"/>
                <a:gd name="T63" fmla="*/ 521 h 107"/>
                <a:gd name="T64" fmla="+- 0 2045 2022"/>
                <a:gd name="T65" fmla="*/ T64 w 39"/>
                <a:gd name="T66" fmla="+- 0 522 494"/>
                <a:gd name="T67" fmla="*/ 522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39" h="107">
                  <a:moveTo>
                    <a:pt x="23" y="28"/>
                  </a:moveTo>
                  <a:lnTo>
                    <a:pt x="13" y="28"/>
                  </a:lnTo>
                  <a:lnTo>
                    <a:pt x="13" y="27"/>
                  </a:lnTo>
                  <a:lnTo>
                    <a:pt x="13" y="19"/>
                  </a:lnTo>
                  <a:lnTo>
                    <a:pt x="13" y="12"/>
                  </a:lnTo>
                  <a:lnTo>
                    <a:pt x="20" y="6"/>
                  </a:lnTo>
                  <a:lnTo>
                    <a:pt x="24" y="2"/>
                  </a:lnTo>
                  <a:lnTo>
                    <a:pt x="30" y="0"/>
                  </a:lnTo>
                  <a:lnTo>
                    <a:pt x="39" y="0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31" y="11"/>
                  </a:lnTo>
                  <a:lnTo>
                    <a:pt x="28" y="13"/>
                  </a:lnTo>
                  <a:lnTo>
                    <a:pt x="23" y="16"/>
                  </a:lnTo>
                  <a:lnTo>
                    <a:pt x="23" y="21"/>
                  </a:lnTo>
                  <a:lnTo>
                    <a:pt x="23" y="27"/>
                  </a:lnTo>
                  <a:lnTo>
                    <a:pt x="23" y="2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4" name="Freeform 4868">
              <a:extLst>
                <a:ext uri="{FF2B5EF4-FFF2-40B4-BE49-F238E27FC236}">
                  <a16:creationId xmlns:a16="http://schemas.microsoft.com/office/drawing/2014/main" id="{D64BDEB3-5882-9CED-5E7A-A6A690370FBB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58 2022"/>
                <a:gd name="T1" fmla="*/ T0 w 39"/>
                <a:gd name="T2" fmla="+- 0 533 494"/>
                <a:gd name="T3" fmla="*/ 533 h 107"/>
                <a:gd name="T4" fmla="+- 0 2022 2022"/>
                <a:gd name="T5" fmla="*/ T4 w 39"/>
                <a:gd name="T6" fmla="+- 0 533 494"/>
                <a:gd name="T7" fmla="*/ 533 h 107"/>
                <a:gd name="T8" fmla="+- 0 2022 2022"/>
                <a:gd name="T9" fmla="*/ T8 w 39"/>
                <a:gd name="T10" fmla="+- 0 522 494"/>
                <a:gd name="T11" fmla="*/ 522 h 107"/>
                <a:gd name="T12" fmla="+- 0 2058 2022"/>
                <a:gd name="T13" fmla="*/ T12 w 39"/>
                <a:gd name="T14" fmla="+- 0 522 494"/>
                <a:gd name="T15" fmla="*/ 522 h 107"/>
                <a:gd name="T16" fmla="+- 0 2058 2022"/>
                <a:gd name="T17" fmla="*/ T16 w 39"/>
                <a:gd name="T18" fmla="+- 0 533 494"/>
                <a:gd name="T19" fmla="*/ 533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36" y="39"/>
                  </a:moveTo>
                  <a:lnTo>
                    <a:pt x="0" y="39"/>
                  </a:lnTo>
                  <a:lnTo>
                    <a:pt x="0" y="28"/>
                  </a:lnTo>
                  <a:lnTo>
                    <a:pt x="36" y="28"/>
                  </a:lnTo>
                  <a:lnTo>
                    <a:pt x="36" y="3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5" name="Freeform 4867">
              <a:extLst>
                <a:ext uri="{FF2B5EF4-FFF2-40B4-BE49-F238E27FC236}">
                  <a16:creationId xmlns:a16="http://schemas.microsoft.com/office/drawing/2014/main" id="{D0FF4958-51A6-5D29-645B-BE8E3056180A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45 2022"/>
                <a:gd name="T1" fmla="*/ T0 w 39"/>
                <a:gd name="T2" fmla="+- 0 591 494"/>
                <a:gd name="T3" fmla="*/ 591 h 107"/>
                <a:gd name="T4" fmla="+- 0 2035 2022"/>
                <a:gd name="T5" fmla="*/ T4 w 39"/>
                <a:gd name="T6" fmla="+- 0 591 494"/>
                <a:gd name="T7" fmla="*/ 591 h 107"/>
                <a:gd name="T8" fmla="+- 0 2035 2022"/>
                <a:gd name="T9" fmla="*/ T8 w 39"/>
                <a:gd name="T10" fmla="+- 0 533 494"/>
                <a:gd name="T11" fmla="*/ 533 h 107"/>
                <a:gd name="T12" fmla="+- 0 2045 2022"/>
                <a:gd name="T13" fmla="*/ T12 w 39"/>
                <a:gd name="T14" fmla="+- 0 533 494"/>
                <a:gd name="T15" fmla="*/ 533 h 107"/>
                <a:gd name="T16" fmla="+- 0 2045 2022"/>
                <a:gd name="T17" fmla="*/ T16 w 39"/>
                <a:gd name="T18" fmla="+- 0 591 494"/>
                <a:gd name="T19" fmla="*/ 591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23" y="97"/>
                  </a:moveTo>
                  <a:lnTo>
                    <a:pt x="13" y="97"/>
                  </a:lnTo>
                  <a:lnTo>
                    <a:pt x="13" y="39"/>
                  </a:lnTo>
                  <a:lnTo>
                    <a:pt x="23" y="39"/>
                  </a:lnTo>
                  <a:lnTo>
                    <a:pt x="23" y="9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6" name="Freeform 4866">
              <a:extLst>
                <a:ext uri="{FF2B5EF4-FFF2-40B4-BE49-F238E27FC236}">
                  <a16:creationId xmlns:a16="http://schemas.microsoft.com/office/drawing/2014/main" id="{314DFCD7-6A20-CE4F-1C44-BD5DE0FB3E0D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58 2022"/>
                <a:gd name="T1" fmla="*/ T0 w 39"/>
                <a:gd name="T2" fmla="+- 0 601 494"/>
                <a:gd name="T3" fmla="*/ 601 h 107"/>
                <a:gd name="T4" fmla="+- 0 2022 2022"/>
                <a:gd name="T5" fmla="*/ T4 w 39"/>
                <a:gd name="T6" fmla="+- 0 601 494"/>
                <a:gd name="T7" fmla="*/ 601 h 107"/>
                <a:gd name="T8" fmla="+- 0 2022 2022"/>
                <a:gd name="T9" fmla="*/ T8 w 39"/>
                <a:gd name="T10" fmla="+- 0 591 494"/>
                <a:gd name="T11" fmla="*/ 591 h 107"/>
                <a:gd name="T12" fmla="+- 0 2058 2022"/>
                <a:gd name="T13" fmla="*/ T12 w 39"/>
                <a:gd name="T14" fmla="+- 0 591 494"/>
                <a:gd name="T15" fmla="*/ 591 h 107"/>
                <a:gd name="T16" fmla="+- 0 2058 2022"/>
                <a:gd name="T17" fmla="*/ T16 w 39"/>
                <a:gd name="T18" fmla="+- 0 601 494"/>
                <a:gd name="T19" fmla="*/ 601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36" y="107"/>
                  </a:moveTo>
                  <a:lnTo>
                    <a:pt x="0" y="107"/>
                  </a:lnTo>
                  <a:lnTo>
                    <a:pt x="0" y="97"/>
                  </a:lnTo>
                  <a:lnTo>
                    <a:pt x="36" y="97"/>
                  </a:lnTo>
                  <a:lnTo>
                    <a:pt x="36" y="10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F1680C8A-6555-5891-E4DC-ADB5C0221DD2}"/>
              </a:ext>
            </a:extLst>
          </xdr:cNvPr>
          <xdr:cNvGrpSpPr>
            <a:grpSpLocks/>
          </xdr:cNvGrpSpPr>
        </xdr:nvGrpSpPr>
        <xdr:grpSpPr bwMode="auto">
          <a:xfrm>
            <a:off x="2076" y="522"/>
            <a:ext cx="76" cy="79"/>
            <a:chOff x="2076" y="522"/>
            <a:chExt cx="76" cy="79"/>
          </a:xfrm>
        </xdr:grpSpPr>
        <xdr:sp macro="" textlink="">
          <xdr:nvSpPr>
            <xdr:cNvPr id="60" name="Freeform 4864">
              <a:extLst>
                <a:ext uri="{FF2B5EF4-FFF2-40B4-BE49-F238E27FC236}">
                  <a16:creationId xmlns:a16="http://schemas.microsoft.com/office/drawing/2014/main" id="{D6E6855F-0386-D6ED-86B4-9CF115F9DB3D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01 2076"/>
                <a:gd name="T1" fmla="*/ T0 w 76"/>
                <a:gd name="T2" fmla="+- 0 601 522"/>
                <a:gd name="T3" fmla="*/ 601 h 79"/>
                <a:gd name="T4" fmla="+- 0 2087 2076"/>
                <a:gd name="T5" fmla="*/ T4 w 76"/>
                <a:gd name="T6" fmla="+- 0 591 522"/>
                <a:gd name="T7" fmla="*/ 591 h 79"/>
                <a:gd name="T8" fmla="+- 0 2078 2076"/>
                <a:gd name="T9" fmla="*/ T8 w 76"/>
                <a:gd name="T10" fmla="+- 0 573 522"/>
                <a:gd name="T11" fmla="*/ 573 h 79"/>
                <a:gd name="T12" fmla="+- 0 2076 2076"/>
                <a:gd name="T13" fmla="*/ T12 w 76"/>
                <a:gd name="T14" fmla="+- 0 545 522"/>
                <a:gd name="T15" fmla="*/ 545 h 79"/>
                <a:gd name="T16" fmla="+- 0 2091 2076"/>
                <a:gd name="T17" fmla="*/ T16 w 76"/>
                <a:gd name="T18" fmla="+- 0 529 522"/>
                <a:gd name="T19" fmla="*/ 529 h 79"/>
                <a:gd name="T20" fmla="+- 0 2112 2076"/>
                <a:gd name="T21" fmla="*/ T20 w 76"/>
                <a:gd name="T22" fmla="+- 0 522 522"/>
                <a:gd name="T23" fmla="*/ 522 h 79"/>
                <a:gd name="T24" fmla="+- 0 2130 2076"/>
                <a:gd name="T25" fmla="*/ T24 w 76"/>
                <a:gd name="T26" fmla="+- 0 527 522"/>
                <a:gd name="T27" fmla="*/ 527 h 79"/>
                <a:gd name="T28" fmla="+- 0 2136 2076"/>
                <a:gd name="T29" fmla="*/ T28 w 76"/>
                <a:gd name="T30" fmla="+- 0 532 522"/>
                <a:gd name="T31" fmla="*/ 532 h 79"/>
                <a:gd name="T32" fmla="+- 0 2098 2076"/>
                <a:gd name="T33" fmla="*/ T32 w 76"/>
                <a:gd name="T34" fmla="+- 0 532 522"/>
                <a:gd name="T35" fmla="*/ 532 h 79"/>
                <a:gd name="T36" fmla="+- 0 2085 2076"/>
                <a:gd name="T37" fmla="*/ T36 w 76"/>
                <a:gd name="T38" fmla="+- 0 543 522"/>
                <a:gd name="T39" fmla="*/ 543 h 79"/>
                <a:gd name="T40" fmla="+- 0 2083 2076"/>
                <a:gd name="T41" fmla="*/ T40 w 76"/>
                <a:gd name="T42" fmla="+- 0 557 522"/>
                <a:gd name="T43" fmla="*/ 557 h 79"/>
                <a:gd name="T44" fmla="+- 0 2150 2076"/>
                <a:gd name="T45" fmla="*/ T44 w 76"/>
                <a:gd name="T46" fmla="+- 0 557 522"/>
                <a:gd name="T47" fmla="*/ 557 h 79"/>
                <a:gd name="T48" fmla="+- 0 2152 2076"/>
                <a:gd name="T49" fmla="*/ T48 w 76"/>
                <a:gd name="T50" fmla="+- 0 563 522"/>
                <a:gd name="T51" fmla="*/ 563 h 79"/>
                <a:gd name="T52" fmla="+- 0 2152 2076"/>
                <a:gd name="T53" fmla="*/ T52 w 76"/>
                <a:gd name="T54" fmla="+- 0 566 522"/>
                <a:gd name="T55" fmla="*/ 566 h 79"/>
                <a:gd name="T56" fmla="+- 0 2083 2076"/>
                <a:gd name="T57" fmla="*/ T56 w 76"/>
                <a:gd name="T58" fmla="+- 0 566 522"/>
                <a:gd name="T59" fmla="*/ 566 h 79"/>
                <a:gd name="T60" fmla="+- 0 2084 2076"/>
                <a:gd name="T61" fmla="*/ T60 w 76"/>
                <a:gd name="T62" fmla="+- 0 581 522"/>
                <a:gd name="T63" fmla="*/ 581 h 79"/>
                <a:gd name="T64" fmla="+- 0 2097 2076"/>
                <a:gd name="T65" fmla="*/ T64 w 76"/>
                <a:gd name="T66" fmla="+- 0 593 522"/>
                <a:gd name="T67" fmla="*/ 593 h 79"/>
                <a:gd name="T68" fmla="+- 0 2135 2076"/>
                <a:gd name="T69" fmla="*/ T68 w 76"/>
                <a:gd name="T70" fmla="+- 0 593 522"/>
                <a:gd name="T71" fmla="*/ 593 h 79"/>
                <a:gd name="T72" fmla="+- 0 2126 2076"/>
                <a:gd name="T73" fmla="*/ T72 w 76"/>
                <a:gd name="T74" fmla="+- 0 598 522"/>
                <a:gd name="T75" fmla="*/ 598 h 79"/>
                <a:gd name="T76" fmla="+- 0 2101 2076"/>
                <a:gd name="T77" fmla="*/ T76 w 76"/>
                <a:gd name="T78" fmla="+- 0 601 522"/>
                <a:gd name="T79" fmla="*/ 601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6" h="79">
                  <a:moveTo>
                    <a:pt x="25" y="79"/>
                  </a:moveTo>
                  <a:lnTo>
                    <a:pt x="11" y="69"/>
                  </a:lnTo>
                  <a:lnTo>
                    <a:pt x="2" y="51"/>
                  </a:lnTo>
                  <a:lnTo>
                    <a:pt x="0" y="23"/>
                  </a:lnTo>
                  <a:lnTo>
                    <a:pt x="15" y="7"/>
                  </a:lnTo>
                  <a:lnTo>
                    <a:pt x="36" y="0"/>
                  </a:lnTo>
                  <a:lnTo>
                    <a:pt x="54" y="5"/>
                  </a:lnTo>
                  <a:lnTo>
                    <a:pt x="60" y="10"/>
                  </a:lnTo>
                  <a:lnTo>
                    <a:pt x="22" y="10"/>
                  </a:lnTo>
                  <a:lnTo>
                    <a:pt x="9" y="21"/>
                  </a:lnTo>
                  <a:lnTo>
                    <a:pt x="7" y="35"/>
                  </a:lnTo>
                  <a:lnTo>
                    <a:pt x="74" y="35"/>
                  </a:lnTo>
                  <a:lnTo>
                    <a:pt x="76" y="41"/>
                  </a:lnTo>
                  <a:lnTo>
                    <a:pt x="76" y="44"/>
                  </a:lnTo>
                  <a:lnTo>
                    <a:pt x="7" y="44"/>
                  </a:lnTo>
                  <a:lnTo>
                    <a:pt x="8" y="59"/>
                  </a:lnTo>
                  <a:lnTo>
                    <a:pt x="21" y="71"/>
                  </a:lnTo>
                  <a:lnTo>
                    <a:pt x="59" y="71"/>
                  </a:lnTo>
                  <a:lnTo>
                    <a:pt x="50" y="76"/>
                  </a:lnTo>
                  <a:lnTo>
                    <a:pt x="25" y="7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1" name="Freeform 4863">
              <a:extLst>
                <a:ext uri="{FF2B5EF4-FFF2-40B4-BE49-F238E27FC236}">
                  <a16:creationId xmlns:a16="http://schemas.microsoft.com/office/drawing/2014/main" id="{FBAC057C-837B-601D-8174-74096A190438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50 2076"/>
                <a:gd name="T1" fmla="*/ T0 w 76"/>
                <a:gd name="T2" fmla="+- 0 557 522"/>
                <a:gd name="T3" fmla="*/ 557 h 79"/>
                <a:gd name="T4" fmla="+- 0 2142 2076"/>
                <a:gd name="T5" fmla="*/ T4 w 76"/>
                <a:gd name="T6" fmla="+- 0 557 522"/>
                <a:gd name="T7" fmla="*/ 557 h 79"/>
                <a:gd name="T8" fmla="+- 0 2139 2076"/>
                <a:gd name="T9" fmla="*/ T8 w 76"/>
                <a:gd name="T10" fmla="+- 0 543 522"/>
                <a:gd name="T11" fmla="*/ 543 h 79"/>
                <a:gd name="T12" fmla="+- 0 2127 2076"/>
                <a:gd name="T13" fmla="*/ T12 w 76"/>
                <a:gd name="T14" fmla="+- 0 532 522"/>
                <a:gd name="T15" fmla="*/ 532 h 79"/>
                <a:gd name="T16" fmla="+- 0 2136 2076"/>
                <a:gd name="T17" fmla="*/ T16 w 76"/>
                <a:gd name="T18" fmla="+- 0 532 522"/>
                <a:gd name="T19" fmla="*/ 532 h 79"/>
                <a:gd name="T20" fmla="+- 0 2146 2076"/>
                <a:gd name="T21" fmla="*/ T20 w 76"/>
                <a:gd name="T22" fmla="+- 0 541 522"/>
                <a:gd name="T23" fmla="*/ 541 h 79"/>
                <a:gd name="T24" fmla="+- 0 2150 2076"/>
                <a:gd name="T25" fmla="*/ T24 w 76"/>
                <a:gd name="T26" fmla="+- 0 557 522"/>
                <a:gd name="T27" fmla="*/ 557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76" h="79">
                  <a:moveTo>
                    <a:pt x="74" y="35"/>
                  </a:moveTo>
                  <a:lnTo>
                    <a:pt x="66" y="35"/>
                  </a:lnTo>
                  <a:lnTo>
                    <a:pt x="63" y="21"/>
                  </a:lnTo>
                  <a:lnTo>
                    <a:pt x="51" y="10"/>
                  </a:lnTo>
                  <a:lnTo>
                    <a:pt x="60" y="10"/>
                  </a:lnTo>
                  <a:lnTo>
                    <a:pt x="70" y="19"/>
                  </a:lnTo>
                  <a:lnTo>
                    <a:pt x="74" y="3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2" name="Freeform 4862">
              <a:extLst>
                <a:ext uri="{FF2B5EF4-FFF2-40B4-BE49-F238E27FC236}">
                  <a16:creationId xmlns:a16="http://schemas.microsoft.com/office/drawing/2014/main" id="{9B2CFB26-C507-A402-F5A3-68F55A179966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35 2076"/>
                <a:gd name="T1" fmla="*/ T0 w 76"/>
                <a:gd name="T2" fmla="+- 0 593 522"/>
                <a:gd name="T3" fmla="*/ 593 h 79"/>
                <a:gd name="T4" fmla="+- 0 2123 2076"/>
                <a:gd name="T5" fmla="*/ T4 w 76"/>
                <a:gd name="T6" fmla="+- 0 593 522"/>
                <a:gd name="T7" fmla="*/ 593 h 79"/>
                <a:gd name="T8" fmla="+- 0 2132 2076"/>
                <a:gd name="T9" fmla="*/ T8 w 76"/>
                <a:gd name="T10" fmla="+- 0 587 522"/>
                <a:gd name="T11" fmla="*/ 587 h 79"/>
                <a:gd name="T12" fmla="+- 0 2137 2076"/>
                <a:gd name="T13" fmla="*/ T12 w 76"/>
                <a:gd name="T14" fmla="+- 0 578 522"/>
                <a:gd name="T15" fmla="*/ 578 h 79"/>
                <a:gd name="T16" fmla="+- 0 2138 2076"/>
                <a:gd name="T17" fmla="*/ T16 w 76"/>
                <a:gd name="T18" fmla="+- 0 578 522"/>
                <a:gd name="T19" fmla="*/ 578 h 79"/>
                <a:gd name="T20" fmla="+- 0 2149 2076"/>
                <a:gd name="T21" fmla="*/ T20 w 76"/>
                <a:gd name="T22" fmla="+- 0 578 522"/>
                <a:gd name="T23" fmla="*/ 578 h 79"/>
                <a:gd name="T24" fmla="+- 0 2142 2076"/>
                <a:gd name="T25" fmla="*/ T24 w 76"/>
                <a:gd name="T26" fmla="+- 0 588 522"/>
                <a:gd name="T27" fmla="*/ 588 h 79"/>
                <a:gd name="T28" fmla="+- 0 2135 2076"/>
                <a:gd name="T29" fmla="*/ T28 w 76"/>
                <a:gd name="T30" fmla="+- 0 593 522"/>
                <a:gd name="T31" fmla="*/ 593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6" h="79">
                  <a:moveTo>
                    <a:pt x="59" y="71"/>
                  </a:moveTo>
                  <a:lnTo>
                    <a:pt x="47" y="71"/>
                  </a:lnTo>
                  <a:lnTo>
                    <a:pt x="56" y="65"/>
                  </a:lnTo>
                  <a:lnTo>
                    <a:pt x="61" y="56"/>
                  </a:lnTo>
                  <a:lnTo>
                    <a:pt x="62" y="56"/>
                  </a:lnTo>
                  <a:lnTo>
                    <a:pt x="73" y="56"/>
                  </a:lnTo>
                  <a:lnTo>
                    <a:pt x="66" y="66"/>
                  </a:lnTo>
                  <a:lnTo>
                    <a:pt x="59" y="7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C00661E5-5E27-DA70-DF3D-0024C43F6BB1}"/>
              </a:ext>
            </a:extLst>
          </xdr:cNvPr>
          <xdr:cNvGrpSpPr>
            <a:grpSpLocks/>
          </xdr:cNvGrpSpPr>
        </xdr:nvGrpSpPr>
        <xdr:grpSpPr bwMode="auto">
          <a:xfrm>
            <a:off x="2228" y="520"/>
            <a:ext cx="78" cy="81"/>
            <a:chOff x="2228" y="520"/>
            <a:chExt cx="78" cy="81"/>
          </a:xfrm>
        </xdr:grpSpPr>
        <xdr:sp macro="" textlink="">
          <xdr:nvSpPr>
            <xdr:cNvPr id="56" name="Freeform 4860">
              <a:extLst>
                <a:ext uri="{FF2B5EF4-FFF2-40B4-BE49-F238E27FC236}">
                  <a16:creationId xmlns:a16="http://schemas.microsoft.com/office/drawing/2014/main" id="{AAAB934C-5758-4FBC-6312-9C190FE4C483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274 2228"/>
                <a:gd name="T1" fmla="*/ T0 w 78"/>
                <a:gd name="T2" fmla="+- 0 600 520"/>
                <a:gd name="T3" fmla="*/ 600 h 81"/>
                <a:gd name="T4" fmla="+- 0 2252 2228"/>
                <a:gd name="T5" fmla="*/ T4 w 78"/>
                <a:gd name="T6" fmla="+- 0 600 520"/>
                <a:gd name="T7" fmla="*/ 600 h 81"/>
                <a:gd name="T8" fmla="+- 0 2238 2228"/>
                <a:gd name="T9" fmla="*/ T8 w 78"/>
                <a:gd name="T10" fmla="+- 0 590 520"/>
                <a:gd name="T11" fmla="*/ 590 h 81"/>
                <a:gd name="T12" fmla="+- 0 2229 2228"/>
                <a:gd name="T13" fmla="*/ T12 w 78"/>
                <a:gd name="T14" fmla="+- 0 571 520"/>
                <a:gd name="T15" fmla="*/ 571 h 81"/>
                <a:gd name="T16" fmla="+- 0 2228 2228"/>
                <a:gd name="T17" fmla="*/ T16 w 78"/>
                <a:gd name="T18" fmla="+- 0 543 520"/>
                <a:gd name="T19" fmla="*/ 543 h 81"/>
                <a:gd name="T20" fmla="+- 0 2243 2228"/>
                <a:gd name="T21" fmla="*/ T20 w 78"/>
                <a:gd name="T22" fmla="+- 0 527 520"/>
                <a:gd name="T23" fmla="*/ 527 h 81"/>
                <a:gd name="T24" fmla="+- 0 2266 2228"/>
                <a:gd name="T25" fmla="*/ T24 w 78"/>
                <a:gd name="T26" fmla="+- 0 520 520"/>
                <a:gd name="T27" fmla="*/ 520 h 81"/>
                <a:gd name="T28" fmla="+- 0 2272 2228"/>
                <a:gd name="T29" fmla="*/ T28 w 78"/>
                <a:gd name="T30" fmla="+- 0 520 520"/>
                <a:gd name="T31" fmla="*/ 520 h 81"/>
                <a:gd name="T32" fmla="+- 0 2286 2228"/>
                <a:gd name="T33" fmla="*/ T32 w 78"/>
                <a:gd name="T34" fmla="+- 0 522 520"/>
                <a:gd name="T35" fmla="*/ 522 h 81"/>
                <a:gd name="T36" fmla="+- 0 2293 2228"/>
                <a:gd name="T37" fmla="*/ T36 w 78"/>
                <a:gd name="T38" fmla="+- 0 531 520"/>
                <a:gd name="T39" fmla="*/ 531 h 81"/>
                <a:gd name="T40" fmla="+- 0 2259 2228"/>
                <a:gd name="T41" fmla="*/ T40 w 78"/>
                <a:gd name="T42" fmla="+- 0 531 520"/>
                <a:gd name="T43" fmla="*/ 531 h 81"/>
                <a:gd name="T44" fmla="+- 0 2242 2228"/>
                <a:gd name="T45" fmla="*/ T44 w 78"/>
                <a:gd name="T46" fmla="+- 0 542 520"/>
                <a:gd name="T47" fmla="*/ 542 h 81"/>
                <a:gd name="T48" fmla="+- 0 2235 2228"/>
                <a:gd name="T49" fmla="*/ T48 w 78"/>
                <a:gd name="T50" fmla="+- 0 566 520"/>
                <a:gd name="T51" fmla="*/ 566 h 81"/>
                <a:gd name="T52" fmla="+- 0 2245 2228"/>
                <a:gd name="T53" fmla="*/ T52 w 78"/>
                <a:gd name="T54" fmla="+- 0 585 520"/>
                <a:gd name="T55" fmla="*/ 585 h 81"/>
                <a:gd name="T56" fmla="+- 0 2266 2228"/>
                <a:gd name="T57" fmla="*/ T56 w 78"/>
                <a:gd name="T58" fmla="+- 0 592 520"/>
                <a:gd name="T59" fmla="*/ 592 h 81"/>
                <a:gd name="T60" fmla="+- 0 2306 2228"/>
                <a:gd name="T61" fmla="*/ T60 w 78"/>
                <a:gd name="T62" fmla="+- 0 592 520"/>
                <a:gd name="T63" fmla="*/ 592 h 81"/>
                <a:gd name="T64" fmla="+- 0 2306 2228"/>
                <a:gd name="T65" fmla="*/ T64 w 78"/>
                <a:gd name="T66" fmla="+- 0 593 520"/>
                <a:gd name="T67" fmla="*/ 593 h 81"/>
                <a:gd name="T68" fmla="+- 0 2291 2228"/>
                <a:gd name="T69" fmla="*/ T68 w 78"/>
                <a:gd name="T70" fmla="+- 0 593 520"/>
                <a:gd name="T71" fmla="*/ 593 h 81"/>
                <a:gd name="T72" fmla="+- 0 2274 2228"/>
                <a:gd name="T73" fmla="*/ T72 w 78"/>
                <a:gd name="T74" fmla="+- 0 600 520"/>
                <a:gd name="T75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</a:cxnLst>
              <a:rect l="0" t="0" r="r" b="b"/>
              <a:pathLst>
                <a:path w="78" h="81">
                  <a:moveTo>
                    <a:pt x="46" y="80"/>
                  </a:moveTo>
                  <a:lnTo>
                    <a:pt x="24" y="80"/>
                  </a:lnTo>
                  <a:lnTo>
                    <a:pt x="10" y="70"/>
                  </a:lnTo>
                  <a:lnTo>
                    <a:pt x="1" y="51"/>
                  </a:lnTo>
                  <a:lnTo>
                    <a:pt x="0" y="23"/>
                  </a:lnTo>
                  <a:lnTo>
                    <a:pt x="15" y="7"/>
                  </a:lnTo>
                  <a:lnTo>
                    <a:pt x="38" y="0"/>
                  </a:lnTo>
                  <a:lnTo>
                    <a:pt x="44" y="0"/>
                  </a:lnTo>
                  <a:lnTo>
                    <a:pt x="58" y="2"/>
                  </a:lnTo>
                  <a:lnTo>
                    <a:pt x="65" y="11"/>
                  </a:lnTo>
                  <a:lnTo>
                    <a:pt x="31" y="11"/>
                  </a:lnTo>
                  <a:lnTo>
                    <a:pt x="14" y="22"/>
                  </a:lnTo>
                  <a:lnTo>
                    <a:pt x="7" y="46"/>
                  </a:lnTo>
                  <a:lnTo>
                    <a:pt x="17" y="65"/>
                  </a:lnTo>
                  <a:lnTo>
                    <a:pt x="38" y="72"/>
                  </a:lnTo>
                  <a:lnTo>
                    <a:pt x="78" y="72"/>
                  </a:lnTo>
                  <a:lnTo>
                    <a:pt x="78" y="73"/>
                  </a:lnTo>
                  <a:lnTo>
                    <a:pt x="63" y="73"/>
                  </a:lnTo>
                  <a:lnTo>
                    <a:pt x="46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7" name="Freeform 4859">
              <a:extLst>
                <a:ext uri="{FF2B5EF4-FFF2-40B4-BE49-F238E27FC236}">
                  <a16:creationId xmlns:a16="http://schemas.microsoft.com/office/drawing/2014/main" id="{B8E631D4-0ABC-A4B6-E110-CC9D0D31075D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535 520"/>
                <a:gd name="T3" fmla="*/ 535 h 81"/>
                <a:gd name="T4" fmla="+- 0 2295 2228"/>
                <a:gd name="T5" fmla="*/ T4 w 78"/>
                <a:gd name="T6" fmla="+- 0 535 520"/>
                <a:gd name="T7" fmla="*/ 535 h 81"/>
                <a:gd name="T8" fmla="+- 0 2295 2228"/>
                <a:gd name="T9" fmla="*/ T8 w 78"/>
                <a:gd name="T10" fmla="+- 0 522 520"/>
                <a:gd name="T11" fmla="*/ 522 h 81"/>
                <a:gd name="T12" fmla="+- 0 2306 2228"/>
                <a:gd name="T13" fmla="*/ T12 w 78"/>
                <a:gd name="T14" fmla="+- 0 522 520"/>
                <a:gd name="T15" fmla="*/ 522 h 81"/>
                <a:gd name="T16" fmla="+- 0 2306 2228"/>
                <a:gd name="T17" fmla="*/ T16 w 78"/>
                <a:gd name="T18" fmla="+- 0 535 520"/>
                <a:gd name="T19" fmla="*/ 535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81">
                  <a:moveTo>
                    <a:pt x="78" y="15"/>
                  </a:moveTo>
                  <a:lnTo>
                    <a:pt x="67" y="15"/>
                  </a:lnTo>
                  <a:lnTo>
                    <a:pt x="67" y="2"/>
                  </a:lnTo>
                  <a:lnTo>
                    <a:pt x="78" y="2"/>
                  </a:lnTo>
                  <a:lnTo>
                    <a:pt x="78" y="1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8" name="Freeform 4858">
              <a:extLst>
                <a:ext uri="{FF2B5EF4-FFF2-40B4-BE49-F238E27FC236}">
                  <a16:creationId xmlns:a16="http://schemas.microsoft.com/office/drawing/2014/main" id="{A43E0C52-E8BF-D386-CD26-87F7662C1F58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592 520"/>
                <a:gd name="T3" fmla="*/ 592 h 81"/>
                <a:gd name="T4" fmla="+- 0 2266 2228"/>
                <a:gd name="T5" fmla="*/ T4 w 78"/>
                <a:gd name="T6" fmla="+- 0 592 520"/>
                <a:gd name="T7" fmla="*/ 592 h 81"/>
                <a:gd name="T8" fmla="+- 0 2276 2228"/>
                <a:gd name="T9" fmla="*/ T8 w 78"/>
                <a:gd name="T10" fmla="+- 0 590 520"/>
                <a:gd name="T11" fmla="*/ 590 h 81"/>
                <a:gd name="T12" fmla="+- 0 2290 2228"/>
                <a:gd name="T13" fmla="*/ T12 w 78"/>
                <a:gd name="T14" fmla="+- 0 577 520"/>
                <a:gd name="T15" fmla="*/ 577 h 81"/>
                <a:gd name="T16" fmla="+- 0 2295 2228"/>
                <a:gd name="T17" fmla="*/ T16 w 78"/>
                <a:gd name="T18" fmla="+- 0 552 520"/>
                <a:gd name="T19" fmla="*/ 552 h 81"/>
                <a:gd name="T20" fmla="+- 0 2282 2228"/>
                <a:gd name="T21" fmla="*/ T20 w 78"/>
                <a:gd name="T22" fmla="+- 0 537 520"/>
                <a:gd name="T23" fmla="*/ 537 h 81"/>
                <a:gd name="T24" fmla="+- 0 2259 2228"/>
                <a:gd name="T25" fmla="*/ T24 w 78"/>
                <a:gd name="T26" fmla="+- 0 531 520"/>
                <a:gd name="T27" fmla="*/ 531 h 81"/>
                <a:gd name="T28" fmla="+- 0 2293 2228"/>
                <a:gd name="T29" fmla="*/ T28 w 78"/>
                <a:gd name="T30" fmla="+- 0 531 520"/>
                <a:gd name="T31" fmla="*/ 531 h 81"/>
                <a:gd name="T32" fmla="+- 0 2295 2228"/>
                <a:gd name="T33" fmla="*/ T32 w 78"/>
                <a:gd name="T34" fmla="+- 0 535 520"/>
                <a:gd name="T35" fmla="*/ 535 h 81"/>
                <a:gd name="T36" fmla="+- 0 2306 2228"/>
                <a:gd name="T37" fmla="*/ T36 w 78"/>
                <a:gd name="T38" fmla="+- 0 535 520"/>
                <a:gd name="T39" fmla="*/ 535 h 81"/>
                <a:gd name="T40" fmla="+- 0 2306 2228"/>
                <a:gd name="T41" fmla="*/ T40 w 78"/>
                <a:gd name="T42" fmla="+- 0 592 520"/>
                <a:gd name="T43" fmla="*/ 592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78" h="81">
                  <a:moveTo>
                    <a:pt x="78" y="72"/>
                  </a:moveTo>
                  <a:lnTo>
                    <a:pt x="38" y="72"/>
                  </a:lnTo>
                  <a:lnTo>
                    <a:pt x="48" y="70"/>
                  </a:lnTo>
                  <a:lnTo>
                    <a:pt x="62" y="57"/>
                  </a:lnTo>
                  <a:lnTo>
                    <a:pt x="67" y="32"/>
                  </a:lnTo>
                  <a:lnTo>
                    <a:pt x="54" y="17"/>
                  </a:lnTo>
                  <a:lnTo>
                    <a:pt x="31" y="11"/>
                  </a:lnTo>
                  <a:lnTo>
                    <a:pt x="65" y="11"/>
                  </a:lnTo>
                  <a:lnTo>
                    <a:pt x="67" y="15"/>
                  </a:lnTo>
                  <a:lnTo>
                    <a:pt x="78" y="15"/>
                  </a:lnTo>
                  <a:lnTo>
                    <a:pt x="78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9" name="Freeform 4857">
              <a:extLst>
                <a:ext uri="{FF2B5EF4-FFF2-40B4-BE49-F238E27FC236}">
                  <a16:creationId xmlns:a16="http://schemas.microsoft.com/office/drawing/2014/main" id="{EA49625E-A76F-2565-A1AF-52F50A4C974C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600 520"/>
                <a:gd name="T3" fmla="*/ 600 h 81"/>
                <a:gd name="T4" fmla="+- 0 2295 2228"/>
                <a:gd name="T5" fmla="*/ T4 w 78"/>
                <a:gd name="T6" fmla="+- 0 600 520"/>
                <a:gd name="T7" fmla="*/ 600 h 81"/>
                <a:gd name="T8" fmla="+- 0 2291 2228"/>
                <a:gd name="T9" fmla="*/ T8 w 78"/>
                <a:gd name="T10" fmla="+- 0 593 520"/>
                <a:gd name="T11" fmla="*/ 593 h 81"/>
                <a:gd name="T12" fmla="+- 0 2306 2228"/>
                <a:gd name="T13" fmla="*/ T12 w 78"/>
                <a:gd name="T14" fmla="+- 0 593 520"/>
                <a:gd name="T15" fmla="*/ 593 h 81"/>
                <a:gd name="T16" fmla="+- 0 2306 2228"/>
                <a:gd name="T17" fmla="*/ T16 w 78"/>
                <a:gd name="T18" fmla="+- 0 600 520"/>
                <a:gd name="T19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81">
                  <a:moveTo>
                    <a:pt x="78" y="80"/>
                  </a:moveTo>
                  <a:lnTo>
                    <a:pt x="67" y="80"/>
                  </a:lnTo>
                  <a:lnTo>
                    <a:pt x="63" y="73"/>
                  </a:lnTo>
                  <a:lnTo>
                    <a:pt x="78" y="73"/>
                  </a:lnTo>
                  <a:lnTo>
                    <a:pt x="78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1300B977-7B65-ED6A-8D67-B2E02EF04D03}"/>
              </a:ext>
            </a:extLst>
          </xdr:cNvPr>
          <xdr:cNvGrpSpPr>
            <a:grpSpLocks/>
          </xdr:cNvGrpSpPr>
        </xdr:nvGrpSpPr>
        <xdr:grpSpPr bwMode="auto">
          <a:xfrm>
            <a:off x="2328" y="522"/>
            <a:ext cx="69" cy="80"/>
            <a:chOff x="2328" y="522"/>
            <a:chExt cx="69" cy="80"/>
          </a:xfrm>
        </xdr:grpSpPr>
        <xdr:sp macro="" textlink="">
          <xdr:nvSpPr>
            <xdr:cNvPr id="53" name="Freeform 4855">
              <a:extLst>
                <a:ext uri="{FF2B5EF4-FFF2-40B4-BE49-F238E27FC236}">
                  <a16:creationId xmlns:a16="http://schemas.microsoft.com/office/drawing/2014/main" id="{032E1F67-40F7-97D5-CCE5-7B9871171649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77 2328"/>
                <a:gd name="T1" fmla="*/ T0 w 69"/>
                <a:gd name="T2" fmla="+- 0 602 522"/>
                <a:gd name="T3" fmla="*/ 602 h 80"/>
                <a:gd name="T4" fmla="+- 0 2346 2328"/>
                <a:gd name="T5" fmla="*/ T4 w 69"/>
                <a:gd name="T6" fmla="+- 0 602 522"/>
                <a:gd name="T7" fmla="*/ 602 h 80"/>
                <a:gd name="T8" fmla="+- 0 2338 2328"/>
                <a:gd name="T9" fmla="*/ T8 w 69"/>
                <a:gd name="T10" fmla="+- 0 595 522"/>
                <a:gd name="T11" fmla="*/ 595 h 80"/>
                <a:gd name="T12" fmla="+- 0 2334 2328"/>
                <a:gd name="T13" fmla="*/ T12 w 69"/>
                <a:gd name="T14" fmla="+- 0 591 522"/>
                <a:gd name="T15" fmla="*/ 591 h 80"/>
                <a:gd name="T16" fmla="+- 0 2330 2328"/>
                <a:gd name="T17" fmla="*/ T16 w 69"/>
                <a:gd name="T18" fmla="+- 0 585 522"/>
                <a:gd name="T19" fmla="*/ 585 h 80"/>
                <a:gd name="T20" fmla="+- 0 2328 2328"/>
                <a:gd name="T21" fmla="*/ T20 w 69"/>
                <a:gd name="T22" fmla="+- 0 576 522"/>
                <a:gd name="T23" fmla="*/ 576 h 80"/>
                <a:gd name="T24" fmla="+- 0 2328 2328"/>
                <a:gd name="T25" fmla="*/ T24 w 69"/>
                <a:gd name="T26" fmla="+- 0 522 522"/>
                <a:gd name="T27" fmla="*/ 522 h 80"/>
                <a:gd name="T28" fmla="+- 0 2339 2328"/>
                <a:gd name="T29" fmla="*/ T28 w 69"/>
                <a:gd name="T30" fmla="+- 0 522 522"/>
                <a:gd name="T31" fmla="*/ 522 h 80"/>
                <a:gd name="T32" fmla="+- 0 2339 2328"/>
                <a:gd name="T33" fmla="*/ T32 w 69"/>
                <a:gd name="T34" fmla="+- 0 574 522"/>
                <a:gd name="T35" fmla="*/ 574 h 80"/>
                <a:gd name="T36" fmla="+- 0 2340 2328"/>
                <a:gd name="T37" fmla="*/ T36 w 69"/>
                <a:gd name="T38" fmla="+- 0 581 522"/>
                <a:gd name="T39" fmla="*/ 581 h 80"/>
                <a:gd name="T40" fmla="+- 0 2344 2328"/>
                <a:gd name="T41" fmla="*/ T40 w 69"/>
                <a:gd name="T42" fmla="+- 0 585 522"/>
                <a:gd name="T43" fmla="*/ 585 h 80"/>
                <a:gd name="T44" fmla="+- 0 2348 2328"/>
                <a:gd name="T45" fmla="*/ T44 w 69"/>
                <a:gd name="T46" fmla="+- 0 590 522"/>
                <a:gd name="T47" fmla="*/ 590 h 80"/>
                <a:gd name="T48" fmla="+- 0 2354 2328"/>
                <a:gd name="T49" fmla="*/ T48 w 69"/>
                <a:gd name="T50" fmla="+- 0 592 522"/>
                <a:gd name="T51" fmla="*/ 592 h 80"/>
                <a:gd name="T52" fmla="+- 0 2384 2328"/>
                <a:gd name="T53" fmla="*/ T52 w 69"/>
                <a:gd name="T54" fmla="+- 0 592 522"/>
                <a:gd name="T55" fmla="*/ 592 h 80"/>
                <a:gd name="T56" fmla="+- 0 2383 2328"/>
                <a:gd name="T57" fmla="*/ T56 w 69"/>
                <a:gd name="T58" fmla="+- 0 594 522"/>
                <a:gd name="T59" fmla="*/ 594 h 80"/>
                <a:gd name="T60" fmla="+- 0 2377 2328"/>
                <a:gd name="T61" fmla="*/ T60 w 69"/>
                <a:gd name="T62" fmla="+- 0 602 522"/>
                <a:gd name="T63" fmla="*/ 60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</a:cxnLst>
              <a:rect l="0" t="0" r="r" b="b"/>
              <a:pathLst>
                <a:path w="69" h="80">
                  <a:moveTo>
                    <a:pt x="49" y="80"/>
                  </a:moveTo>
                  <a:lnTo>
                    <a:pt x="18" y="80"/>
                  </a:lnTo>
                  <a:lnTo>
                    <a:pt x="10" y="73"/>
                  </a:lnTo>
                  <a:lnTo>
                    <a:pt x="6" y="69"/>
                  </a:lnTo>
                  <a:lnTo>
                    <a:pt x="2" y="63"/>
                  </a:lnTo>
                  <a:lnTo>
                    <a:pt x="0" y="54"/>
                  </a:lnTo>
                  <a:lnTo>
                    <a:pt x="0" y="0"/>
                  </a:lnTo>
                  <a:lnTo>
                    <a:pt x="11" y="0"/>
                  </a:lnTo>
                  <a:lnTo>
                    <a:pt x="11" y="52"/>
                  </a:lnTo>
                  <a:lnTo>
                    <a:pt x="12" y="59"/>
                  </a:lnTo>
                  <a:lnTo>
                    <a:pt x="16" y="63"/>
                  </a:lnTo>
                  <a:lnTo>
                    <a:pt x="20" y="68"/>
                  </a:lnTo>
                  <a:lnTo>
                    <a:pt x="26" y="70"/>
                  </a:lnTo>
                  <a:lnTo>
                    <a:pt x="56" y="70"/>
                  </a:lnTo>
                  <a:lnTo>
                    <a:pt x="55" y="72"/>
                  </a:lnTo>
                  <a:lnTo>
                    <a:pt x="49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4" name="Freeform 4854">
              <a:extLst>
                <a:ext uri="{FF2B5EF4-FFF2-40B4-BE49-F238E27FC236}">
                  <a16:creationId xmlns:a16="http://schemas.microsoft.com/office/drawing/2014/main" id="{456D3AD1-733B-AD5C-2077-F4BDC073E818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84 2328"/>
                <a:gd name="T1" fmla="*/ T0 w 69"/>
                <a:gd name="T2" fmla="+- 0 592 522"/>
                <a:gd name="T3" fmla="*/ 592 h 80"/>
                <a:gd name="T4" fmla="+- 0 2368 2328"/>
                <a:gd name="T5" fmla="*/ T4 w 69"/>
                <a:gd name="T6" fmla="+- 0 592 522"/>
                <a:gd name="T7" fmla="*/ 592 h 80"/>
                <a:gd name="T8" fmla="+- 0 2373 2328"/>
                <a:gd name="T9" fmla="*/ T8 w 69"/>
                <a:gd name="T10" fmla="+- 0 590 522"/>
                <a:gd name="T11" fmla="*/ 590 h 80"/>
                <a:gd name="T12" fmla="+- 0 2377 2328"/>
                <a:gd name="T13" fmla="*/ T12 w 69"/>
                <a:gd name="T14" fmla="+- 0 586 522"/>
                <a:gd name="T15" fmla="*/ 586 h 80"/>
                <a:gd name="T16" fmla="+- 0 2381 2328"/>
                <a:gd name="T17" fmla="*/ T16 w 69"/>
                <a:gd name="T18" fmla="+- 0 582 522"/>
                <a:gd name="T19" fmla="*/ 582 h 80"/>
                <a:gd name="T20" fmla="+- 0 2385 2328"/>
                <a:gd name="T21" fmla="*/ T20 w 69"/>
                <a:gd name="T22" fmla="+- 0 577 522"/>
                <a:gd name="T23" fmla="*/ 577 h 80"/>
                <a:gd name="T24" fmla="+- 0 2385 2328"/>
                <a:gd name="T25" fmla="*/ T24 w 69"/>
                <a:gd name="T26" fmla="+- 0 564 522"/>
                <a:gd name="T27" fmla="*/ 564 h 80"/>
                <a:gd name="T28" fmla="+- 0 2385 2328"/>
                <a:gd name="T29" fmla="*/ T28 w 69"/>
                <a:gd name="T30" fmla="+- 0 522 522"/>
                <a:gd name="T31" fmla="*/ 522 h 80"/>
                <a:gd name="T32" fmla="+- 0 2396 2328"/>
                <a:gd name="T33" fmla="*/ T32 w 69"/>
                <a:gd name="T34" fmla="+- 0 522 522"/>
                <a:gd name="T35" fmla="*/ 522 h 80"/>
                <a:gd name="T36" fmla="+- 0 2396 2328"/>
                <a:gd name="T37" fmla="*/ T36 w 69"/>
                <a:gd name="T38" fmla="+- 0 590 522"/>
                <a:gd name="T39" fmla="*/ 590 h 80"/>
                <a:gd name="T40" fmla="+- 0 2386 2328"/>
                <a:gd name="T41" fmla="*/ T40 w 69"/>
                <a:gd name="T42" fmla="+- 0 590 522"/>
                <a:gd name="T43" fmla="*/ 590 h 80"/>
                <a:gd name="T44" fmla="+- 0 2384 2328"/>
                <a:gd name="T45" fmla="*/ T44 w 69"/>
                <a:gd name="T46" fmla="+- 0 592 522"/>
                <a:gd name="T47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69" h="80">
                  <a:moveTo>
                    <a:pt x="56" y="70"/>
                  </a:moveTo>
                  <a:lnTo>
                    <a:pt x="40" y="70"/>
                  </a:lnTo>
                  <a:lnTo>
                    <a:pt x="45" y="68"/>
                  </a:lnTo>
                  <a:lnTo>
                    <a:pt x="49" y="64"/>
                  </a:lnTo>
                  <a:lnTo>
                    <a:pt x="53" y="60"/>
                  </a:lnTo>
                  <a:lnTo>
                    <a:pt x="57" y="55"/>
                  </a:lnTo>
                  <a:lnTo>
                    <a:pt x="57" y="42"/>
                  </a:lnTo>
                  <a:lnTo>
                    <a:pt x="57" y="0"/>
                  </a:lnTo>
                  <a:lnTo>
                    <a:pt x="68" y="0"/>
                  </a:lnTo>
                  <a:lnTo>
                    <a:pt x="68" y="68"/>
                  </a:lnTo>
                  <a:lnTo>
                    <a:pt x="58" y="68"/>
                  </a:lnTo>
                  <a:lnTo>
                    <a:pt x="56" y="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5" name="Freeform 4853">
              <a:extLst>
                <a:ext uri="{FF2B5EF4-FFF2-40B4-BE49-F238E27FC236}">
                  <a16:creationId xmlns:a16="http://schemas.microsoft.com/office/drawing/2014/main" id="{381411DF-DEF4-EF9B-95AD-D44F23C038AF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96 2328"/>
                <a:gd name="T1" fmla="*/ T0 w 69"/>
                <a:gd name="T2" fmla="+- 0 600 522"/>
                <a:gd name="T3" fmla="*/ 600 h 80"/>
                <a:gd name="T4" fmla="+- 0 2386 2328"/>
                <a:gd name="T5" fmla="*/ T4 w 69"/>
                <a:gd name="T6" fmla="+- 0 600 522"/>
                <a:gd name="T7" fmla="*/ 600 h 80"/>
                <a:gd name="T8" fmla="+- 0 2386 2328"/>
                <a:gd name="T9" fmla="*/ T8 w 69"/>
                <a:gd name="T10" fmla="+- 0 590 522"/>
                <a:gd name="T11" fmla="*/ 590 h 80"/>
                <a:gd name="T12" fmla="+- 0 2396 2328"/>
                <a:gd name="T13" fmla="*/ T12 w 69"/>
                <a:gd name="T14" fmla="+- 0 590 522"/>
                <a:gd name="T15" fmla="*/ 590 h 80"/>
                <a:gd name="T16" fmla="+- 0 2396 2328"/>
                <a:gd name="T17" fmla="*/ T16 w 69"/>
                <a:gd name="T18" fmla="+- 0 600 522"/>
                <a:gd name="T1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69" h="80">
                  <a:moveTo>
                    <a:pt x="68" y="78"/>
                  </a:moveTo>
                  <a:lnTo>
                    <a:pt x="58" y="78"/>
                  </a:lnTo>
                  <a:lnTo>
                    <a:pt x="58" y="68"/>
                  </a:lnTo>
                  <a:lnTo>
                    <a:pt x="68" y="68"/>
                  </a:lnTo>
                  <a:lnTo>
                    <a:pt x="68" y="7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C2BF0D02-18FC-877B-CC1C-859462C85D14}"/>
              </a:ext>
            </a:extLst>
          </xdr:cNvPr>
          <xdr:cNvGrpSpPr>
            <a:grpSpLocks/>
          </xdr:cNvGrpSpPr>
        </xdr:nvGrpSpPr>
        <xdr:grpSpPr bwMode="auto">
          <a:xfrm>
            <a:off x="2411" y="520"/>
            <a:ext cx="79" cy="111"/>
            <a:chOff x="2411" y="520"/>
            <a:chExt cx="79" cy="111"/>
          </a:xfrm>
        </xdr:grpSpPr>
        <xdr:sp macro="" textlink="">
          <xdr:nvSpPr>
            <xdr:cNvPr id="48" name="Freeform 4851">
              <a:extLst>
                <a:ext uri="{FF2B5EF4-FFF2-40B4-BE49-F238E27FC236}">
                  <a16:creationId xmlns:a16="http://schemas.microsoft.com/office/drawing/2014/main" id="{093E9634-EB6D-CD1C-57B3-DC7465E7614B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36 2411"/>
                <a:gd name="T1" fmla="*/ T0 w 79"/>
                <a:gd name="T2" fmla="+- 0 600 520"/>
                <a:gd name="T3" fmla="*/ 600 h 111"/>
                <a:gd name="T4" fmla="+- 0 2423 2411"/>
                <a:gd name="T5" fmla="*/ T4 w 79"/>
                <a:gd name="T6" fmla="+- 0 590 520"/>
                <a:gd name="T7" fmla="*/ 590 h 111"/>
                <a:gd name="T8" fmla="+- 0 2414 2411"/>
                <a:gd name="T9" fmla="*/ T8 w 79"/>
                <a:gd name="T10" fmla="+- 0 571 520"/>
                <a:gd name="T11" fmla="*/ 571 h 111"/>
                <a:gd name="T12" fmla="+- 0 2414 2411"/>
                <a:gd name="T13" fmla="*/ T12 w 79"/>
                <a:gd name="T14" fmla="+- 0 541 520"/>
                <a:gd name="T15" fmla="*/ 541 h 111"/>
                <a:gd name="T16" fmla="+- 0 2429 2411"/>
                <a:gd name="T17" fmla="*/ T16 w 79"/>
                <a:gd name="T18" fmla="+- 0 526 520"/>
                <a:gd name="T19" fmla="*/ 526 h 111"/>
                <a:gd name="T20" fmla="+- 0 2449 2411"/>
                <a:gd name="T21" fmla="*/ T20 w 79"/>
                <a:gd name="T22" fmla="+- 0 520 520"/>
                <a:gd name="T23" fmla="*/ 520 h 111"/>
                <a:gd name="T24" fmla="+- 0 2455 2411"/>
                <a:gd name="T25" fmla="*/ T24 w 79"/>
                <a:gd name="T26" fmla="+- 0 520 520"/>
                <a:gd name="T27" fmla="*/ 520 h 111"/>
                <a:gd name="T28" fmla="+- 0 2469 2411"/>
                <a:gd name="T29" fmla="*/ T28 w 79"/>
                <a:gd name="T30" fmla="+- 0 522 520"/>
                <a:gd name="T31" fmla="*/ 522 h 111"/>
                <a:gd name="T32" fmla="+- 0 2475 2411"/>
                <a:gd name="T33" fmla="*/ T32 w 79"/>
                <a:gd name="T34" fmla="+- 0 531 520"/>
                <a:gd name="T35" fmla="*/ 531 h 111"/>
                <a:gd name="T36" fmla="+- 0 2443 2411"/>
                <a:gd name="T37" fmla="*/ T36 w 79"/>
                <a:gd name="T38" fmla="+- 0 531 520"/>
                <a:gd name="T39" fmla="*/ 531 h 111"/>
                <a:gd name="T40" fmla="+- 0 2426 2411"/>
                <a:gd name="T41" fmla="*/ T40 w 79"/>
                <a:gd name="T42" fmla="+- 0 542 520"/>
                <a:gd name="T43" fmla="*/ 542 h 111"/>
                <a:gd name="T44" fmla="+- 0 2420 2411"/>
                <a:gd name="T45" fmla="*/ T44 w 79"/>
                <a:gd name="T46" fmla="+- 0 565 520"/>
                <a:gd name="T47" fmla="*/ 565 h 111"/>
                <a:gd name="T48" fmla="+- 0 2429 2411"/>
                <a:gd name="T49" fmla="*/ T48 w 79"/>
                <a:gd name="T50" fmla="+- 0 584 520"/>
                <a:gd name="T51" fmla="*/ 584 h 111"/>
                <a:gd name="T52" fmla="+- 0 2449 2411"/>
                <a:gd name="T53" fmla="*/ T52 w 79"/>
                <a:gd name="T54" fmla="+- 0 592 520"/>
                <a:gd name="T55" fmla="*/ 592 h 111"/>
                <a:gd name="T56" fmla="+- 0 2474 2411"/>
                <a:gd name="T57" fmla="*/ T56 w 79"/>
                <a:gd name="T58" fmla="+- 0 592 520"/>
                <a:gd name="T59" fmla="*/ 592 h 111"/>
                <a:gd name="T60" fmla="+- 0 2461 2411"/>
                <a:gd name="T61" fmla="*/ T60 w 79"/>
                <a:gd name="T62" fmla="+- 0 599 520"/>
                <a:gd name="T63" fmla="*/ 599 h 111"/>
                <a:gd name="T64" fmla="+- 0 2436 2411"/>
                <a:gd name="T65" fmla="*/ T64 w 79"/>
                <a:gd name="T66" fmla="+- 0 600 520"/>
                <a:gd name="T67" fmla="*/ 600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9" h="111">
                  <a:moveTo>
                    <a:pt x="25" y="80"/>
                  </a:moveTo>
                  <a:lnTo>
                    <a:pt x="12" y="70"/>
                  </a:lnTo>
                  <a:lnTo>
                    <a:pt x="3" y="51"/>
                  </a:lnTo>
                  <a:lnTo>
                    <a:pt x="3" y="21"/>
                  </a:lnTo>
                  <a:lnTo>
                    <a:pt x="18" y="6"/>
                  </a:lnTo>
                  <a:lnTo>
                    <a:pt x="38" y="0"/>
                  </a:lnTo>
                  <a:lnTo>
                    <a:pt x="44" y="0"/>
                  </a:lnTo>
                  <a:lnTo>
                    <a:pt x="58" y="2"/>
                  </a:lnTo>
                  <a:lnTo>
                    <a:pt x="64" y="11"/>
                  </a:lnTo>
                  <a:lnTo>
                    <a:pt x="32" y="11"/>
                  </a:lnTo>
                  <a:lnTo>
                    <a:pt x="15" y="22"/>
                  </a:lnTo>
                  <a:lnTo>
                    <a:pt x="9" y="45"/>
                  </a:lnTo>
                  <a:lnTo>
                    <a:pt x="18" y="64"/>
                  </a:lnTo>
                  <a:lnTo>
                    <a:pt x="38" y="72"/>
                  </a:lnTo>
                  <a:lnTo>
                    <a:pt x="63" y="72"/>
                  </a:lnTo>
                  <a:lnTo>
                    <a:pt x="50" y="79"/>
                  </a:lnTo>
                  <a:lnTo>
                    <a:pt x="25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9" name="Freeform 4850">
              <a:extLst>
                <a:ext uri="{FF2B5EF4-FFF2-40B4-BE49-F238E27FC236}">
                  <a16:creationId xmlns:a16="http://schemas.microsoft.com/office/drawing/2014/main" id="{507EA9AA-79A8-3E0C-C680-1A9F5D85EC7E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89 2411"/>
                <a:gd name="T1" fmla="*/ T0 w 79"/>
                <a:gd name="T2" fmla="+- 0 535 520"/>
                <a:gd name="T3" fmla="*/ 535 h 111"/>
                <a:gd name="T4" fmla="+- 0 2478 2411"/>
                <a:gd name="T5" fmla="*/ T4 w 79"/>
                <a:gd name="T6" fmla="+- 0 535 520"/>
                <a:gd name="T7" fmla="*/ 535 h 111"/>
                <a:gd name="T8" fmla="+- 0 2478 2411"/>
                <a:gd name="T9" fmla="*/ T8 w 79"/>
                <a:gd name="T10" fmla="+- 0 522 520"/>
                <a:gd name="T11" fmla="*/ 522 h 111"/>
                <a:gd name="T12" fmla="+- 0 2489 2411"/>
                <a:gd name="T13" fmla="*/ T12 w 79"/>
                <a:gd name="T14" fmla="+- 0 522 520"/>
                <a:gd name="T15" fmla="*/ 522 h 111"/>
                <a:gd name="T16" fmla="+- 0 2489 2411"/>
                <a:gd name="T17" fmla="*/ T16 w 79"/>
                <a:gd name="T18" fmla="+- 0 535 520"/>
                <a:gd name="T19" fmla="*/ 535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9" h="111">
                  <a:moveTo>
                    <a:pt x="78" y="15"/>
                  </a:moveTo>
                  <a:lnTo>
                    <a:pt x="67" y="15"/>
                  </a:lnTo>
                  <a:lnTo>
                    <a:pt x="67" y="2"/>
                  </a:lnTo>
                  <a:lnTo>
                    <a:pt x="78" y="2"/>
                  </a:lnTo>
                  <a:lnTo>
                    <a:pt x="78" y="1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0" name="Freeform 4849">
              <a:extLst>
                <a:ext uri="{FF2B5EF4-FFF2-40B4-BE49-F238E27FC236}">
                  <a16:creationId xmlns:a16="http://schemas.microsoft.com/office/drawing/2014/main" id="{C53CCA1C-EA34-926D-7C04-46CD2D7D9908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74 2411"/>
                <a:gd name="T1" fmla="*/ T0 w 79"/>
                <a:gd name="T2" fmla="+- 0 592 520"/>
                <a:gd name="T3" fmla="*/ 592 h 111"/>
                <a:gd name="T4" fmla="+- 0 2449 2411"/>
                <a:gd name="T5" fmla="*/ T4 w 79"/>
                <a:gd name="T6" fmla="+- 0 592 520"/>
                <a:gd name="T7" fmla="*/ 592 h 111"/>
                <a:gd name="T8" fmla="+- 0 2460 2411"/>
                <a:gd name="T9" fmla="*/ T8 w 79"/>
                <a:gd name="T10" fmla="+- 0 590 520"/>
                <a:gd name="T11" fmla="*/ 590 h 111"/>
                <a:gd name="T12" fmla="+- 0 2474 2411"/>
                <a:gd name="T13" fmla="*/ T12 w 79"/>
                <a:gd name="T14" fmla="+- 0 576 520"/>
                <a:gd name="T15" fmla="*/ 576 h 111"/>
                <a:gd name="T16" fmla="+- 0 2478 2411"/>
                <a:gd name="T17" fmla="*/ T16 w 79"/>
                <a:gd name="T18" fmla="+- 0 553 520"/>
                <a:gd name="T19" fmla="*/ 553 h 111"/>
                <a:gd name="T20" fmla="+- 0 2466 2411"/>
                <a:gd name="T21" fmla="*/ T20 w 79"/>
                <a:gd name="T22" fmla="+- 0 537 520"/>
                <a:gd name="T23" fmla="*/ 537 h 111"/>
                <a:gd name="T24" fmla="+- 0 2443 2411"/>
                <a:gd name="T25" fmla="*/ T24 w 79"/>
                <a:gd name="T26" fmla="+- 0 531 520"/>
                <a:gd name="T27" fmla="*/ 531 h 111"/>
                <a:gd name="T28" fmla="+- 0 2475 2411"/>
                <a:gd name="T29" fmla="*/ T28 w 79"/>
                <a:gd name="T30" fmla="+- 0 531 520"/>
                <a:gd name="T31" fmla="*/ 531 h 111"/>
                <a:gd name="T32" fmla="+- 0 2478 2411"/>
                <a:gd name="T33" fmla="*/ T32 w 79"/>
                <a:gd name="T34" fmla="+- 0 535 520"/>
                <a:gd name="T35" fmla="*/ 535 h 111"/>
                <a:gd name="T36" fmla="+- 0 2489 2411"/>
                <a:gd name="T37" fmla="*/ T36 w 79"/>
                <a:gd name="T38" fmla="+- 0 535 520"/>
                <a:gd name="T39" fmla="*/ 535 h 111"/>
                <a:gd name="T40" fmla="+- 0 2489 2411"/>
                <a:gd name="T41" fmla="*/ T40 w 79"/>
                <a:gd name="T42" fmla="+- 0 591 520"/>
                <a:gd name="T43" fmla="*/ 591 h 111"/>
                <a:gd name="T44" fmla="+- 0 2476 2411"/>
                <a:gd name="T45" fmla="*/ T44 w 79"/>
                <a:gd name="T46" fmla="+- 0 591 520"/>
                <a:gd name="T47" fmla="*/ 591 h 111"/>
                <a:gd name="T48" fmla="+- 0 2474 2411"/>
                <a:gd name="T49" fmla="*/ T48 w 79"/>
                <a:gd name="T50" fmla="+- 0 592 520"/>
                <a:gd name="T51" fmla="*/ 592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79" h="111">
                  <a:moveTo>
                    <a:pt x="63" y="72"/>
                  </a:moveTo>
                  <a:lnTo>
                    <a:pt x="38" y="72"/>
                  </a:lnTo>
                  <a:lnTo>
                    <a:pt x="49" y="70"/>
                  </a:lnTo>
                  <a:lnTo>
                    <a:pt x="63" y="56"/>
                  </a:lnTo>
                  <a:lnTo>
                    <a:pt x="67" y="33"/>
                  </a:lnTo>
                  <a:lnTo>
                    <a:pt x="55" y="17"/>
                  </a:lnTo>
                  <a:lnTo>
                    <a:pt x="32" y="11"/>
                  </a:lnTo>
                  <a:lnTo>
                    <a:pt x="64" y="11"/>
                  </a:lnTo>
                  <a:lnTo>
                    <a:pt x="67" y="15"/>
                  </a:lnTo>
                  <a:lnTo>
                    <a:pt x="78" y="15"/>
                  </a:lnTo>
                  <a:lnTo>
                    <a:pt x="78" y="71"/>
                  </a:lnTo>
                  <a:lnTo>
                    <a:pt x="65" y="71"/>
                  </a:lnTo>
                  <a:lnTo>
                    <a:pt x="63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1" name="Freeform 4848">
              <a:extLst>
                <a:ext uri="{FF2B5EF4-FFF2-40B4-BE49-F238E27FC236}">
                  <a16:creationId xmlns:a16="http://schemas.microsoft.com/office/drawing/2014/main" id="{73B33CE7-80D8-BB5A-5382-971C6BEC45A9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79 2411"/>
                <a:gd name="T1" fmla="*/ T0 w 79"/>
                <a:gd name="T2" fmla="+- 0 621 520"/>
                <a:gd name="T3" fmla="*/ 621 h 111"/>
                <a:gd name="T4" fmla="+- 0 2464 2411"/>
                <a:gd name="T5" fmla="*/ T4 w 79"/>
                <a:gd name="T6" fmla="+- 0 621 520"/>
                <a:gd name="T7" fmla="*/ 621 h 111"/>
                <a:gd name="T8" fmla="+- 0 2478 2411"/>
                <a:gd name="T9" fmla="*/ T8 w 79"/>
                <a:gd name="T10" fmla="+- 0 613 520"/>
                <a:gd name="T11" fmla="*/ 613 h 111"/>
                <a:gd name="T12" fmla="+- 0 2478 2411"/>
                <a:gd name="T13" fmla="*/ T12 w 79"/>
                <a:gd name="T14" fmla="+- 0 592 520"/>
                <a:gd name="T15" fmla="*/ 592 h 111"/>
                <a:gd name="T16" fmla="+- 0 2476 2411"/>
                <a:gd name="T17" fmla="*/ T16 w 79"/>
                <a:gd name="T18" fmla="+- 0 591 520"/>
                <a:gd name="T19" fmla="*/ 591 h 111"/>
                <a:gd name="T20" fmla="+- 0 2489 2411"/>
                <a:gd name="T21" fmla="*/ T20 w 79"/>
                <a:gd name="T22" fmla="+- 0 591 520"/>
                <a:gd name="T23" fmla="*/ 591 h 111"/>
                <a:gd name="T24" fmla="+- 0 2489 2411"/>
                <a:gd name="T25" fmla="*/ T24 w 79"/>
                <a:gd name="T26" fmla="+- 0 607 520"/>
                <a:gd name="T27" fmla="*/ 607 h 111"/>
                <a:gd name="T28" fmla="+- 0 2482 2411"/>
                <a:gd name="T29" fmla="*/ T28 w 79"/>
                <a:gd name="T30" fmla="+- 0 616 520"/>
                <a:gd name="T31" fmla="*/ 616 h 111"/>
                <a:gd name="T32" fmla="+- 0 2479 2411"/>
                <a:gd name="T33" fmla="*/ T32 w 79"/>
                <a:gd name="T34" fmla="+- 0 621 520"/>
                <a:gd name="T35" fmla="*/ 621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79" h="111">
                  <a:moveTo>
                    <a:pt x="68" y="101"/>
                  </a:moveTo>
                  <a:lnTo>
                    <a:pt x="53" y="101"/>
                  </a:lnTo>
                  <a:lnTo>
                    <a:pt x="67" y="93"/>
                  </a:lnTo>
                  <a:lnTo>
                    <a:pt x="67" y="72"/>
                  </a:lnTo>
                  <a:lnTo>
                    <a:pt x="65" y="71"/>
                  </a:lnTo>
                  <a:lnTo>
                    <a:pt x="78" y="71"/>
                  </a:lnTo>
                  <a:lnTo>
                    <a:pt x="78" y="87"/>
                  </a:lnTo>
                  <a:lnTo>
                    <a:pt x="71" y="96"/>
                  </a:lnTo>
                  <a:lnTo>
                    <a:pt x="68" y="10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2" name="Freeform 4847">
              <a:extLst>
                <a:ext uri="{FF2B5EF4-FFF2-40B4-BE49-F238E27FC236}">
                  <a16:creationId xmlns:a16="http://schemas.microsoft.com/office/drawing/2014/main" id="{2F77DDF3-9E12-D9AB-D779-52A5CE97DC33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53 2411"/>
                <a:gd name="T1" fmla="*/ T0 w 79"/>
                <a:gd name="T2" fmla="+- 0 631 520"/>
                <a:gd name="T3" fmla="*/ 631 h 111"/>
                <a:gd name="T4" fmla="+- 0 2446 2411"/>
                <a:gd name="T5" fmla="*/ T4 w 79"/>
                <a:gd name="T6" fmla="+- 0 630 520"/>
                <a:gd name="T7" fmla="*/ 630 h 111"/>
                <a:gd name="T8" fmla="+- 0 2427 2411"/>
                <a:gd name="T9" fmla="*/ T8 w 79"/>
                <a:gd name="T10" fmla="+- 0 624 520"/>
                <a:gd name="T11" fmla="*/ 624 h 111"/>
                <a:gd name="T12" fmla="+- 0 2411 2411"/>
                <a:gd name="T13" fmla="*/ T12 w 79"/>
                <a:gd name="T14" fmla="+- 0 602 520"/>
                <a:gd name="T15" fmla="*/ 602 h 111"/>
                <a:gd name="T16" fmla="+- 0 2411 2411"/>
                <a:gd name="T17" fmla="*/ T16 w 79"/>
                <a:gd name="T18" fmla="+- 0 601 520"/>
                <a:gd name="T19" fmla="*/ 601 h 111"/>
                <a:gd name="T20" fmla="+- 0 2423 2411"/>
                <a:gd name="T21" fmla="*/ T20 w 79"/>
                <a:gd name="T22" fmla="+- 0 601 520"/>
                <a:gd name="T23" fmla="*/ 601 h 111"/>
                <a:gd name="T24" fmla="+- 0 2423 2411"/>
                <a:gd name="T25" fmla="*/ T24 w 79"/>
                <a:gd name="T26" fmla="+- 0 602 520"/>
                <a:gd name="T27" fmla="*/ 602 h 111"/>
                <a:gd name="T28" fmla="+- 0 2425 2411"/>
                <a:gd name="T29" fmla="*/ T28 w 79"/>
                <a:gd name="T30" fmla="+- 0 607 520"/>
                <a:gd name="T31" fmla="*/ 607 h 111"/>
                <a:gd name="T32" fmla="+- 0 2433 2411"/>
                <a:gd name="T33" fmla="*/ T32 w 79"/>
                <a:gd name="T34" fmla="+- 0 621 520"/>
                <a:gd name="T35" fmla="*/ 621 h 111"/>
                <a:gd name="T36" fmla="+- 0 2479 2411"/>
                <a:gd name="T37" fmla="*/ T36 w 79"/>
                <a:gd name="T38" fmla="+- 0 621 520"/>
                <a:gd name="T39" fmla="*/ 621 h 111"/>
                <a:gd name="T40" fmla="+- 0 2472 2411"/>
                <a:gd name="T41" fmla="*/ T40 w 79"/>
                <a:gd name="T42" fmla="+- 0 630 520"/>
                <a:gd name="T43" fmla="*/ 630 h 111"/>
                <a:gd name="T44" fmla="+- 0 2453 2411"/>
                <a:gd name="T45" fmla="*/ T44 w 79"/>
                <a:gd name="T46" fmla="+- 0 631 520"/>
                <a:gd name="T47" fmla="*/ 631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79" h="111">
                  <a:moveTo>
                    <a:pt x="42" y="111"/>
                  </a:moveTo>
                  <a:lnTo>
                    <a:pt x="35" y="110"/>
                  </a:lnTo>
                  <a:lnTo>
                    <a:pt x="16" y="104"/>
                  </a:lnTo>
                  <a:lnTo>
                    <a:pt x="0" y="82"/>
                  </a:lnTo>
                  <a:lnTo>
                    <a:pt x="0" y="81"/>
                  </a:lnTo>
                  <a:lnTo>
                    <a:pt x="12" y="81"/>
                  </a:lnTo>
                  <a:lnTo>
                    <a:pt x="12" y="82"/>
                  </a:lnTo>
                  <a:lnTo>
                    <a:pt x="14" y="87"/>
                  </a:lnTo>
                  <a:lnTo>
                    <a:pt x="22" y="101"/>
                  </a:lnTo>
                  <a:lnTo>
                    <a:pt x="68" y="101"/>
                  </a:lnTo>
                  <a:lnTo>
                    <a:pt x="61" y="110"/>
                  </a:lnTo>
                  <a:lnTo>
                    <a:pt x="42" y="11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7E94E3DA-F94C-134F-EF0D-BAC415048E7A}"/>
              </a:ext>
            </a:extLst>
          </xdr:cNvPr>
          <xdr:cNvGrpSpPr>
            <a:grpSpLocks/>
          </xdr:cNvGrpSpPr>
        </xdr:nvGrpSpPr>
        <xdr:grpSpPr bwMode="auto">
          <a:xfrm>
            <a:off x="2506" y="520"/>
            <a:ext cx="115" cy="81"/>
            <a:chOff x="2506" y="520"/>
            <a:chExt cx="115" cy="81"/>
          </a:xfrm>
        </xdr:grpSpPr>
        <xdr:sp macro="" textlink="">
          <xdr:nvSpPr>
            <xdr:cNvPr id="43" name="Freeform 4845">
              <a:extLst>
                <a:ext uri="{FF2B5EF4-FFF2-40B4-BE49-F238E27FC236}">
                  <a16:creationId xmlns:a16="http://schemas.microsoft.com/office/drawing/2014/main" id="{D50A955F-1860-B542-F75E-37A670304A72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61 2506"/>
                <a:gd name="T1" fmla="*/ T0 w 115"/>
                <a:gd name="T2" fmla="+- 0 530 520"/>
                <a:gd name="T3" fmla="*/ 530 h 81"/>
                <a:gd name="T4" fmla="+- 0 2517 2506"/>
                <a:gd name="T5" fmla="*/ T4 w 115"/>
                <a:gd name="T6" fmla="+- 0 530 520"/>
                <a:gd name="T7" fmla="*/ 530 h 81"/>
                <a:gd name="T8" fmla="+- 0 2522 2506"/>
                <a:gd name="T9" fmla="*/ T8 w 115"/>
                <a:gd name="T10" fmla="+- 0 523 520"/>
                <a:gd name="T11" fmla="*/ 523 h 81"/>
                <a:gd name="T12" fmla="+- 0 2530 2506"/>
                <a:gd name="T13" fmla="*/ T12 w 115"/>
                <a:gd name="T14" fmla="+- 0 520 520"/>
                <a:gd name="T15" fmla="*/ 520 h 81"/>
                <a:gd name="T16" fmla="+- 0 2544 2506"/>
                <a:gd name="T17" fmla="*/ T16 w 115"/>
                <a:gd name="T18" fmla="+- 0 520 520"/>
                <a:gd name="T19" fmla="*/ 520 h 81"/>
                <a:gd name="T20" fmla="+- 0 2557 2506"/>
                <a:gd name="T21" fmla="*/ T20 w 115"/>
                <a:gd name="T22" fmla="+- 0 523 520"/>
                <a:gd name="T23" fmla="*/ 523 h 81"/>
                <a:gd name="T24" fmla="+- 0 2561 2506"/>
                <a:gd name="T25" fmla="*/ T24 w 115"/>
                <a:gd name="T26" fmla="+- 0 530 520"/>
                <a:gd name="T27" fmla="*/ 53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15" h="81">
                  <a:moveTo>
                    <a:pt x="55" y="10"/>
                  </a:moveTo>
                  <a:lnTo>
                    <a:pt x="11" y="10"/>
                  </a:lnTo>
                  <a:lnTo>
                    <a:pt x="16" y="3"/>
                  </a:lnTo>
                  <a:lnTo>
                    <a:pt x="24" y="0"/>
                  </a:lnTo>
                  <a:lnTo>
                    <a:pt x="38" y="0"/>
                  </a:lnTo>
                  <a:lnTo>
                    <a:pt x="51" y="3"/>
                  </a:lnTo>
                  <a:lnTo>
                    <a:pt x="55" y="1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4" name="Freeform 4844">
              <a:extLst>
                <a:ext uri="{FF2B5EF4-FFF2-40B4-BE49-F238E27FC236}">
                  <a16:creationId xmlns:a16="http://schemas.microsoft.com/office/drawing/2014/main" id="{1FFAB7F0-2438-B27E-3972-F7C195BC4B6B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75 2506"/>
                <a:gd name="T1" fmla="*/ T0 w 115"/>
                <a:gd name="T2" fmla="+- 0 534 520"/>
                <a:gd name="T3" fmla="*/ 534 h 81"/>
                <a:gd name="T4" fmla="+- 0 2563 2506"/>
                <a:gd name="T5" fmla="*/ T4 w 115"/>
                <a:gd name="T6" fmla="+- 0 534 520"/>
                <a:gd name="T7" fmla="*/ 534 h 81"/>
                <a:gd name="T8" fmla="+- 0 2569 2506"/>
                <a:gd name="T9" fmla="*/ T8 w 115"/>
                <a:gd name="T10" fmla="+- 0 523 520"/>
                <a:gd name="T11" fmla="*/ 523 h 81"/>
                <a:gd name="T12" fmla="+- 0 2582 2506"/>
                <a:gd name="T13" fmla="*/ T12 w 115"/>
                <a:gd name="T14" fmla="+- 0 520 520"/>
                <a:gd name="T15" fmla="*/ 520 h 81"/>
                <a:gd name="T16" fmla="+- 0 2589 2506"/>
                <a:gd name="T17" fmla="*/ T16 w 115"/>
                <a:gd name="T18" fmla="+- 0 520 520"/>
                <a:gd name="T19" fmla="*/ 520 h 81"/>
                <a:gd name="T20" fmla="+- 0 2594 2506"/>
                <a:gd name="T21" fmla="*/ T20 w 115"/>
                <a:gd name="T22" fmla="+- 0 521 520"/>
                <a:gd name="T23" fmla="*/ 521 h 81"/>
                <a:gd name="T24" fmla="+- 0 2612 2506"/>
                <a:gd name="T25" fmla="*/ T24 w 115"/>
                <a:gd name="T26" fmla="+- 0 529 520"/>
                <a:gd name="T27" fmla="*/ 529 h 81"/>
                <a:gd name="T28" fmla="+- 0 2612 2506"/>
                <a:gd name="T29" fmla="*/ T28 w 115"/>
                <a:gd name="T30" fmla="+- 0 530 520"/>
                <a:gd name="T31" fmla="*/ 530 h 81"/>
                <a:gd name="T32" fmla="+- 0 2582 2506"/>
                <a:gd name="T33" fmla="*/ T32 w 115"/>
                <a:gd name="T34" fmla="+- 0 530 520"/>
                <a:gd name="T35" fmla="*/ 530 h 81"/>
                <a:gd name="T36" fmla="+- 0 2576 2506"/>
                <a:gd name="T37" fmla="*/ T36 w 115"/>
                <a:gd name="T38" fmla="+- 0 534 520"/>
                <a:gd name="T39" fmla="*/ 534 h 81"/>
                <a:gd name="T40" fmla="+- 0 2575 2506"/>
                <a:gd name="T41" fmla="*/ T40 w 115"/>
                <a:gd name="T42" fmla="+- 0 534 520"/>
                <a:gd name="T43" fmla="*/ 534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15" h="81">
                  <a:moveTo>
                    <a:pt x="69" y="14"/>
                  </a:moveTo>
                  <a:lnTo>
                    <a:pt x="57" y="14"/>
                  </a:lnTo>
                  <a:lnTo>
                    <a:pt x="63" y="3"/>
                  </a:lnTo>
                  <a:lnTo>
                    <a:pt x="76" y="0"/>
                  </a:lnTo>
                  <a:lnTo>
                    <a:pt x="83" y="0"/>
                  </a:lnTo>
                  <a:lnTo>
                    <a:pt x="88" y="1"/>
                  </a:lnTo>
                  <a:lnTo>
                    <a:pt x="106" y="9"/>
                  </a:lnTo>
                  <a:lnTo>
                    <a:pt x="106" y="10"/>
                  </a:lnTo>
                  <a:lnTo>
                    <a:pt x="76" y="10"/>
                  </a:lnTo>
                  <a:lnTo>
                    <a:pt x="70" y="14"/>
                  </a:lnTo>
                  <a:lnTo>
                    <a:pt x="69" y="14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5" name="Freeform 4843">
              <a:extLst>
                <a:ext uri="{FF2B5EF4-FFF2-40B4-BE49-F238E27FC236}">
                  <a16:creationId xmlns:a16="http://schemas.microsoft.com/office/drawing/2014/main" id="{D84DE9F9-B6DA-FE0A-12A8-0D70239C187D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17 2506"/>
                <a:gd name="T1" fmla="*/ T0 w 115"/>
                <a:gd name="T2" fmla="+- 0 601 520"/>
                <a:gd name="T3" fmla="*/ 601 h 81"/>
                <a:gd name="T4" fmla="+- 0 2506 2506"/>
                <a:gd name="T5" fmla="*/ T4 w 115"/>
                <a:gd name="T6" fmla="+- 0 601 520"/>
                <a:gd name="T7" fmla="*/ 601 h 81"/>
                <a:gd name="T8" fmla="+- 0 2506 2506"/>
                <a:gd name="T9" fmla="*/ T8 w 115"/>
                <a:gd name="T10" fmla="+- 0 522 520"/>
                <a:gd name="T11" fmla="*/ 522 h 81"/>
                <a:gd name="T12" fmla="+- 0 2517 2506"/>
                <a:gd name="T13" fmla="*/ T12 w 115"/>
                <a:gd name="T14" fmla="+- 0 522 520"/>
                <a:gd name="T15" fmla="*/ 522 h 81"/>
                <a:gd name="T16" fmla="+- 0 2517 2506"/>
                <a:gd name="T17" fmla="*/ T16 w 115"/>
                <a:gd name="T18" fmla="+- 0 530 520"/>
                <a:gd name="T19" fmla="*/ 530 h 81"/>
                <a:gd name="T20" fmla="+- 0 2561 2506"/>
                <a:gd name="T21" fmla="*/ T20 w 115"/>
                <a:gd name="T22" fmla="+- 0 530 520"/>
                <a:gd name="T23" fmla="*/ 530 h 81"/>
                <a:gd name="T24" fmla="+- 0 2561 2506"/>
                <a:gd name="T25" fmla="*/ T24 w 115"/>
                <a:gd name="T26" fmla="+- 0 530 520"/>
                <a:gd name="T27" fmla="*/ 530 h 81"/>
                <a:gd name="T28" fmla="+- 0 2530 2506"/>
                <a:gd name="T29" fmla="*/ T28 w 115"/>
                <a:gd name="T30" fmla="+- 0 530 520"/>
                <a:gd name="T31" fmla="*/ 530 h 81"/>
                <a:gd name="T32" fmla="+- 0 2524 2506"/>
                <a:gd name="T33" fmla="*/ T32 w 115"/>
                <a:gd name="T34" fmla="+- 0 534 520"/>
                <a:gd name="T35" fmla="*/ 534 h 81"/>
                <a:gd name="T36" fmla="+- 0 2520 2506"/>
                <a:gd name="T37" fmla="*/ T36 w 115"/>
                <a:gd name="T38" fmla="+- 0 540 520"/>
                <a:gd name="T39" fmla="*/ 540 h 81"/>
                <a:gd name="T40" fmla="+- 0 2518 2506"/>
                <a:gd name="T41" fmla="*/ T40 w 115"/>
                <a:gd name="T42" fmla="+- 0 543 520"/>
                <a:gd name="T43" fmla="*/ 543 h 81"/>
                <a:gd name="T44" fmla="+- 0 2517 2506"/>
                <a:gd name="T45" fmla="*/ T44 w 115"/>
                <a:gd name="T46" fmla="+- 0 547 520"/>
                <a:gd name="T47" fmla="*/ 547 h 81"/>
                <a:gd name="T48" fmla="+- 0 2517 2506"/>
                <a:gd name="T49" fmla="*/ T48 w 115"/>
                <a:gd name="T50" fmla="+- 0 601 520"/>
                <a:gd name="T51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115" h="81">
                  <a:moveTo>
                    <a:pt x="11" y="81"/>
                  </a:moveTo>
                  <a:lnTo>
                    <a:pt x="0" y="81"/>
                  </a:lnTo>
                  <a:lnTo>
                    <a:pt x="0" y="2"/>
                  </a:lnTo>
                  <a:lnTo>
                    <a:pt x="11" y="2"/>
                  </a:lnTo>
                  <a:lnTo>
                    <a:pt x="11" y="10"/>
                  </a:lnTo>
                  <a:lnTo>
                    <a:pt x="55" y="10"/>
                  </a:lnTo>
                  <a:lnTo>
                    <a:pt x="24" y="10"/>
                  </a:lnTo>
                  <a:lnTo>
                    <a:pt x="18" y="14"/>
                  </a:lnTo>
                  <a:lnTo>
                    <a:pt x="14" y="20"/>
                  </a:lnTo>
                  <a:lnTo>
                    <a:pt x="12" y="23"/>
                  </a:lnTo>
                  <a:lnTo>
                    <a:pt x="11" y="27"/>
                  </a:lnTo>
                  <a:lnTo>
                    <a:pt x="11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6" name="Freeform 4842">
              <a:extLst>
                <a:ext uri="{FF2B5EF4-FFF2-40B4-BE49-F238E27FC236}">
                  <a16:creationId xmlns:a16="http://schemas.microsoft.com/office/drawing/2014/main" id="{D1A9675E-78F8-75B7-6A0D-822E3B89814D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69 2506"/>
                <a:gd name="T1" fmla="*/ T0 w 115"/>
                <a:gd name="T2" fmla="+- 0 601 520"/>
                <a:gd name="T3" fmla="*/ 601 h 81"/>
                <a:gd name="T4" fmla="+- 0 2558 2506"/>
                <a:gd name="T5" fmla="*/ T4 w 115"/>
                <a:gd name="T6" fmla="+- 0 601 520"/>
                <a:gd name="T7" fmla="*/ 601 h 81"/>
                <a:gd name="T8" fmla="+- 0 2558 2506"/>
                <a:gd name="T9" fmla="*/ T8 w 115"/>
                <a:gd name="T10" fmla="+- 0 547 520"/>
                <a:gd name="T11" fmla="*/ 547 h 81"/>
                <a:gd name="T12" fmla="+- 0 2556 2506"/>
                <a:gd name="T13" fmla="*/ T12 w 115"/>
                <a:gd name="T14" fmla="+- 0 543 520"/>
                <a:gd name="T15" fmla="*/ 543 h 81"/>
                <a:gd name="T16" fmla="+- 0 2554 2506"/>
                <a:gd name="T17" fmla="*/ T16 w 115"/>
                <a:gd name="T18" fmla="+- 0 540 520"/>
                <a:gd name="T19" fmla="*/ 540 h 81"/>
                <a:gd name="T20" fmla="+- 0 2551 2506"/>
                <a:gd name="T21" fmla="*/ T20 w 115"/>
                <a:gd name="T22" fmla="+- 0 534 520"/>
                <a:gd name="T23" fmla="*/ 534 h 81"/>
                <a:gd name="T24" fmla="+- 0 2545 2506"/>
                <a:gd name="T25" fmla="*/ T24 w 115"/>
                <a:gd name="T26" fmla="+- 0 530 520"/>
                <a:gd name="T27" fmla="*/ 530 h 81"/>
                <a:gd name="T28" fmla="+- 0 2561 2506"/>
                <a:gd name="T29" fmla="*/ T28 w 115"/>
                <a:gd name="T30" fmla="+- 0 530 520"/>
                <a:gd name="T31" fmla="*/ 530 h 81"/>
                <a:gd name="T32" fmla="+- 0 2563 2506"/>
                <a:gd name="T33" fmla="*/ T32 w 115"/>
                <a:gd name="T34" fmla="+- 0 534 520"/>
                <a:gd name="T35" fmla="*/ 534 h 81"/>
                <a:gd name="T36" fmla="+- 0 2575 2506"/>
                <a:gd name="T37" fmla="*/ T36 w 115"/>
                <a:gd name="T38" fmla="+- 0 534 520"/>
                <a:gd name="T39" fmla="*/ 534 h 81"/>
                <a:gd name="T40" fmla="+- 0 2572 2506"/>
                <a:gd name="T41" fmla="*/ T40 w 115"/>
                <a:gd name="T42" fmla="+- 0 540 520"/>
                <a:gd name="T43" fmla="*/ 540 h 81"/>
                <a:gd name="T44" fmla="+- 0 2570 2506"/>
                <a:gd name="T45" fmla="*/ T44 w 115"/>
                <a:gd name="T46" fmla="+- 0 543 520"/>
                <a:gd name="T47" fmla="*/ 543 h 81"/>
                <a:gd name="T48" fmla="+- 0 2569 2506"/>
                <a:gd name="T49" fmla="*/ T48 w 115"/>
                <a:gd name="T50" fmla="+- 0 547 520"/>
                <a:gd name="T51" fmla="*/ 547 h 81"/>
                <a:gd name="T52" fmla="+- 0 2569 2506"/>
                <a:gd name="T53" fmla="*/ T52 w 115"/>
                <a:gd name="T54" fmla="+- 0 601 520"/>
                <a:gd name="T55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115" h="81">
                  <a:moveTo>
                    <a:pt x="63" y="81"/>
                  </a:moveTo>
                  <a:lnTo>
                    <a:pt x="52" y="81"/>
                  </a:lnTo>
                  <a:lnTo>
                    <a:pt x="52" y="27"/>
                  </a:lnTo>
                  <a:lnTo>
                    <a:pt x="50" y="23"/>
                  </a:lnTo>
                  <a:lnTo>
                    <a:pt x="48" y="20"/>
                  </a:lnTo>
                  <a:lnTo>
                    <a:pt x="45" y="14"/>
                  </a:lnTo>
                  <a:lnTo>
                    <a:pt x="39" y="10"/>
                  </a:lnTo>
                  <a:lnTo>
                    <a:pt x="55" y="10"/>
                  </a:lnTo>
                  <a:lnTo>
                    <a:pt x="57" y="14"/>
                  </a:lnTo>
                  <a:lnTo>
                    <a:pt x="69" y="14"/>
                  </a:lnTo>
                  <a:lnTo>
                    <a:pt x="66" y="20"/>
                  </a:lnTo>
                  <a:lnTo>
                    <a:pt x="64" y="23"/>
                  </a:lnTo>
                  <a:lnTo>
                    <a:pt x="63" y="27"/>
                  </a:lnTo>
                  <a:lnTo>
                    <a:pt x="63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7" name="Freeform 4841">
              <a:extLst>
                <a:ext uri="{FF2B5EF4-FFF2-40B4-BE49-F238E27FC236}">
                  <a16:creationId xmlns:a16="http://schemas.microsoft.com/office/drawing/2014/main" id="{9A1F173B-8953-DC77-FEC6-63D95BF129B8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620 2506"/>
                <a:gd name="T1" fmla="*/ T0 w 115"/>
                <a:gd name="T2" fmla="+- 0 601 520"/>
                <a:gd name="T3" fmla="*/ 601 h 81"/>
                <a:gd name="T4" fmla="+- 0 2609 2506"/>
                <a:gd name="T5" fmla="*/ T4 w 115"/>
                <a:gd name="T6" fmla="+- 0 601 520"/>
                <a:gd name="T7" fmla="*/ 601 h 81"/>
                <a:gd name="T8" fmla="+- 0 2609 2506"/>
                <a:gd name="T9" fmla="*/ T8 w 115"/>
                <a:gd name="T10" fmla="+- 0 547 520"/>
                <a:gd name="T11" fmla="*/ 547 h 81"/>
                <a:gd name="T12" fmla="+- 0 2608 2506"/>
                <a:gd name="T13" fmla="*/ T12 w 115"/>
                <a:gd name="T14" fmla="+- 0 543 520"/>
                <a:gd name="T15" fmla="*/ 543 h 81"/>
                <a:gd name="T16" fmla="+- 0 2606 2506"/>
                <a:gd name="T17" fmla="*/ T16 w 115"/>
                <a:gd name="T18" fmla="+- 0 540 520"/>
                <a:gd name="T19" fmla="*/ 540 h 81"/>
                <a:gd name="T20" fmla="+- 0 2603 2506"/>
                <a:gd name="T21" fmla="*/ T20 w 115"/>
                <a:gd name="T22" fmla="+- 0 534 520"/>
                <a:gd name="T23" fmla="*/ 534 h 81"/>
                <a:gd name="T24" fmla="+- 0 2596 2506"/>
                <a:gd name="T25" fmla="*/ T24 w 115"/>
                <a:gd name="T26" fmla="+- 0 530 520"/>
                <a:gd name="T27" fmla="*/ 530 h 81"/>
                <a:gd name="T28" fmla="+- 0 2612 2506"/>
                <a:gd name="T29" fmla="*/ T28 w 115"/>
                <a:gd name="T30" fmla="+- 0 530 520"/>
                <a:gd name="T31" fmla="*/ 530 h 81"/>
                <a:gd name="T32" fmla="+- 0 2620 2506"/>
                <a:gd name="T33" fmla="*/ T32 w 115"/>
                <a:gd name="T34" fmla="+- 0 554 520"/>
                <a:gd name="T35" fmla="*/ 554 h 81"/>
                <a:gd name="T36" fmla="+- 0 2620 2506"/>
                <a:gd name="T37" fmla="*/ T36 w 115"/>
                <a:gd name="T38" fmla="+- 0 601 520"/>
                <a:gd name="T39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15" h="81">
                  <a:moveTo>
                    <a:pt x="114" y="81"/>
                  </a:moveTo>
                  <a:lnTo>
                    <a:pt x="103" y="81"/>
                  </a:lnTo>
                  <a:lnTo>
                    <a:pt x="103" y="27"/>
                  </a:lnTo>
                  <a:lnTo>
                    <a:pt x="102" y="23"/>
                  </a:lnTo>
                  <a:lnTo>
                    <a:pt x="100" y="20"/>
                  </a:lnTo>
                  <a:lnTo>
                    <a:pt x="97" y="14"/>
                  </a:lnTo>
                  <a:lnTo>
                    <a:pt x="90" y="10"/>
                  </a:lnTo>
                  <a:lnTo>
                    <a:pt x="106" y="10"/>
                  </a:lnTo>
                  <a:lnTo>
                    <a:pt x="114" y="34"/>
                  </a:lnTo>
                  <a:lnTo>
                    <a:pt x="114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E4CACB2B-8BE7-BC5D-0CD9-25223C6B4F97}"/>
              </a:ext>
            </a:extLst>
          </xdr:cNvPr>
          <xdr:cNvGrpSpPr>
            <a:grpSpLocks/>
          </xdr:cNvGrpSpPr>
        </xdr:nvGrpSpPr>
        <xdr:grpSpPr bwMode="auto">
          <a:xfrm>
            <a:off x="2638" y="520"/>
            <a:ext cx="78" cy="80"/>
            <a:chOff x="2638" y="520"/>
            <a:chExt cx="78" cy="80"/>
          </a:xfrm>
        </xdr:grpSpPr>
        <xdr:sp macro="" textlink="">
          <xdr:nvSpPr>
            <xdr:cNvPr id="40" name="Freeform 4839">
              <a:extLst>
                <a:ext uri="{FF2B5EF4-FFF2-40B4-BE49-F238E27FC236}">
                  <a16:creationId xmlns:a16="http://schemas.microsoft.com/office/drawing/2014/main" id="{B5961B17-2782-7147-E124-0618000C57AD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661 2638"/>
                <a:gd name="T1" fmla="*/ T0 w 78"/>
                <a:gd name="T2" fmla="+- 0 600 520"/>
                <a:gd name="T3" fmla="*/ 600 h 80"/>
                <a:gd name="T4" fmla="+- 0 2647 2638"/>
                <a:gd name="T5" fmla="*/ T4 w 78"/>
                <a:gd name="T6" fmla="+- 0 590 520"/>
                <a:gd name="T7" fmla="*/ 590 h 80"/>
                <a:gd name="T8" fmla="+- 0 2639 2638"/>
                <a:gd name="T9" fmla="*/ T8 w 78"/>
                <a:gd name="T10" fmla="+- 0 571 520"/>
                <a:gd name="T11" fmla="*/ 571 h 80"/>
                <a:gd name="T12" fmla="+- 0 2638 2638"/>
                <a:gd name="T13" fmla="*/ T12 w 78"/>
                <a:gd name="T14" fmla="+- 0 542 520"/>
                <a:gd name="T15" fmla="*/ 542 h 80"/>
                <a:gd name="T16" fmla="+- 0 2653 2638"/>
                <a:gd name="T17" fmla="*/ T16 w 78"/>
                <a:gd name="T18" fmla="+- 0 527 520"/>
                <a:gd name="T19" fmla="*/ 527 h 80"/>
                <a:gd name="T20" fmla="+- 0 2674 2638"/>
                <a:gd name="T21" fmla="*/ T20 w 78"/>
                <a:gd name="T22" fmla="+- 0 520 520"/>
                <a:gd name="T23" fmla="*/ 520 h 80"/>
                <a:gd name="T24" fmla="+- 0 2696 2638"/>
                <a:gd name="T25" fmla="*/ T24 w 78"/>
                <a:gd name="T26" fmla="+- 0 527 520"/>
                <a:gd name="T27" fmla="*/ 527 h 80"/>
                <a:gd name="T28" fmla="+- 0 2699 2638"/>
                <a:gd name="T29" fmla="*/ T28 w 78"/>
                <a:gd name="T30" fmla="+- 0 530 520"/>
                <a:gd name="T31" fmla="*/ 530 h 80"/>
                <a:gd name="T32" fmla="+- 0 2661 2638"/>
                <a:gd name="T33" fmla="*/ T32 w 78"/>
                <a:gd name="T34" fmla="+- 0 530 520"/>
                <a:gd name="T35" fmla="*/ 530 h 80"/>
                <a:gd name="T36" fmla="+- 0 2648 2638"/>
                <a:gd name="T37" fmla="*/ T36 w 78"/>
                <a:gd name="T38" fmla="+- 0 539 520"/>
                <a:gd name="T39" fmla="*/ 539 h 80"/>
                <a:gd name="T40" fmla="+- 0 2645 2638"/>
                <a:gd name="T41" fmla="*/ T40 w 78"/>
                <a:gd name="T42" fmla="+- 0 556 520"/>
                <a:gd name="T43" fmla="*/ 556 h 80"/>
                <a:gd name="T44" fmla="+- 0 2715 2638"/>
                <a:gd name="T45" fmla="*/ T44 w 78"/>
                <a:gd name="T46" fmla="+- 0 556 520"/>
                <a:gd name="T47" fmla="*/ 556 h 80"/>
                <a:gd name="T48" fmla="+- 0 2715 2638"/>
                <a:gd name="T49" fmla="*/ T48 w 78"/>
                <a:gd name="T50" fmla="+- 0 565 520"/>
                <a:gd name="T51" fmla="*/ 565 h 80"/>
                <a:gd name="T52" fmla="+- 0 2714 2638"/>
                <a:gd name="T53" fmla="*/ T52 w 78"/>
                <a:gd name="T54" fmla="+- 0 565 520"/>
                <a:gd name="T55" fmla="*/ 565 h 80"/>
                <a:gd name="T56" fmla="+- 0 2645 2638"/>
                <a:gd name="T57" fmla="*/ T56 w 78"/>
                <a:gd name="T58" fmla="+- 0 565 520"/>
                <a:gd name="T59" fmla="*/ 565 h 80"/>
                <a:gd name="T60" fmla="+- 0 2646 2638"/>
                <a:gd name="T61" fmla="*/ T60 w 78"/>
                <a:gd name="T62" fmla="+- 0 580 520"/>
                <a:gd name="T63" fmla="*/ 580 h 80"/>
                <a:gd name="T64" fmla="+- 0 2659 2638"/>
                <a:gd name="T65" fmla="*/ T64 w 78"/>
                <a:gd name="T66" fmla="+- 0 592 520"/>
                <a:gd name="T67" fmla="*/ 592 h 80"/>
                <a:gd name="T68" fmla="+- 0 2697 2638"/>
                <a:gd name="T69" fmla="*/ T68 w 78"/>
                <a:gd name="T70" fmla="+- 0 592 520"/>
                <a:gd name="T71" fmla="*/ 592 h 80"/>
                <a:gd name="T72" fmla="+- 0 2687 2638"/>
                <a:gd name="T73" fmla="*/ T72 w 78"/>
                <a:gd name="T74" fmla="+- 0 598 520"/>
                <a:gd name="T75" fmla="*/ 598 h 80"/>
                <a:gd name="T76" fmla="+- 0 2661 2638"/>
                <a:gd name="T77" fmla="*/ T76 w 78"/>
                <a:gd name="T78" fmla="+- 0 600 520"/>
                <a:gd name="T7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8" h="80">
                  <a:moveTo>
                    <a:pt x="23" y="80"/>
                  </a:moveTo>
                  <a:lnTo>
                    <a:pt x="9" y="70"/>
                  </a:lnTo>
                  <a:lnTo>
                    <a:pt x="1" y="51"/>
                  </a:lnTo>
                  <a:lnTo>
                    <a:pt x="0" y="22"/>
                  </a:lnTo>
                  <a:lnTo>
                    <a:pt x="15" y="7"/>
                  </a:lnTo>
                  <a:lnTo>
                    <a:pt x="36" y="0"/>
                  </a:lnTo>
                  <a:lnTo>
                    <a:pt x="58" y="7"/>
                  </a:lnTo>
                  <a:lnTo>
                    <a:pt x="61" y="10"/>
                  </a:lnTo>
                  <a:lnTo>
                    <a:pt x="23" y="10"/>
                  </a:lnTo>
                  <a:lnTo>
                    <a:pt x="10" y="19"/>
                  </a:lnTo>
                  <a:lnTo>
                    <a:pt x="7" y="36"/>
                  </a:lnTo>
                  <a:lnTo>
                    <a:pt x="77" y="36"/>
                  </a:lnTo>
                  <a:lnTo>
                    <a:pt x="77" y="45"/>
                  </a:lnTo>
                  <a:lnTo>
                    <a:pt x="76" y="45"/>
                  </a:lnTo>
                  <a:lnTo>
                    <a:pt x="7" y="45"/>
                  </a:lnTo>
                  <a:lnTo>
                    <a:pt x="8" y="60"/>
                  </a:lnTo>
                  <a:lnTo>
                    <a:pt x="21" y="72"/>
                  </a:lnTo>
                  <a:lnTo>
                    <a:pt x="59" y="72"/>
                  </a:lnTo>
                  <a:lnTo>
                    <a:pt x="49" y="78"/>
                  </a:lnTo>
                  <a:lnTo>
                    <a:pt x="23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1" name="Freeform 4838">
              <a:extLst>
                <a:ext uri="{FF2B5EF4-FFF2-40B4-BE49-F238E27FC236}">
                  <a16:creationId xmlns:a16="http://schemas.microsoft.com/office/drawing/2014/main" id="{FB288DE5-3522-985C-E37B-3381878E9FB7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715 2638"/>
                <a:gd name="T1" fmla="*/ T0 w 78"/>
                <a:gd name="T2" fmla="+- 0 556 520"/>
                <a:gd name="T3" fmla="*/ 556 h 80"/>
                <a:gd name="T4" fmla="+- 0 2703 2638"/>
                <a:gd name="T5" fmla="*/ T4 w 78"/>
                <a:gd name="T6" fmla="+- 0 556 520"/>
                <a:gd name="T7" fmla="*/ 556 h 80"/>
                <a:gd name="T8" fmla="+- 0 2700 2638"/>
                <a:gd name="T9" fmla="*/ T8 w 78"/>
                <a:gd name="T10" fmla="+- 0 538 520"/>
                <a:gd name="T11" fmla="*/ 538 h 80"/>
                <a:gd name="T12" fmla="+- 0 2686 2638"/>
                <a:gd name="T13" fmla="*/ T12 w 78"/>
                <a:gd name="T14" fmla="+- 0 530 520"/>
                <a:gd name="T15" fmla="*/ 530 h 80"/>
                <a:gd name="T16" fmla="+- 0 2699 2638"/>
                <a:gd name="T17" fmla="*/ T16 w 78"/>
                <a:gd name="T18" fmla="+- 0 530 520"/>
                <a:gd name="T19" fmla="*/ 530 h 80"/>
                <a:gd name="T20" fmla="+- 0 2709 2638"/>
                <a:gd name="T21" fmla="*/ T20 w 78"/>
                <a:gd name="T22" fmla="+- 0 540 520"/>
                <a:gd name="T23" fmla="*/ 540 h 80"/>
                <a:gd name="T24" fmla="+- 0 2713 2638"/>
                <a:gd name="T25" fmla="*/ T24 w 78"/>
                <a:gd name="T26" fmla="+- 0 547 520"/>
                <a:gd name="T27" fmla="*/ 547 h 80"/>
                <a:gd name="T28" fmla="+- 0 2715 2638"/>
                <a:gd name="T29" fmla="*/ T28 w 78"/>
                <a:gd name="T30" fmla="+- 0 556 520"/>
                <a:gd name="T31" fmla="*/ 556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77" y="36"/>
                  </a:moveTo>
                  <a:lnTo>
                    <a:pt x="65" y="36"/>
                  </a:lnTo>
                  <a:lnTo>
                    <a:pt x="62" y="18"/>
                  </a:lnTo>
                  <a:lnTo>
                    <a:pt x="48" y="10"/>
                  </a:lnTo>
                  <a:lnTo>
                    <a:pt x="61" y="10"/>
                  </a:lnTo>
                  <a:lnTo>
                    <a:pt x="71" y="20"/>
                  </a:lnTo>
                  <a:lnTo>
                    <a:pt x="75" y="27"/>
                  </a:lnTo>
                  <a:lnTo>
                    <a:pt x="77" y="3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2" name="Freeform 4837">
              <a:extLst>
                <a:ext uri="{FF2B5EF4-FFF2-40B4-BE49-F238E27FC236}">
                  <a16:creationId xmlns:a16="http://schemas.microsoft.com/office/drawing/2014/main" id="{3B056CF3-AB30-1D09-DA60-4DA55C5D3432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697 2638"/>
                <a:gd name="T1" fmla="*/ T0 w 78"/>
                <a:gd name="T2" fmla="+- 0 592 520"/>
                <a:gd name="T3" fmla="*/ 592 h 80"/>
                <a:gd name="T4" fmla="+- 0 2674 2638"/>
                <a:gd name="T5" fmla="*/ T4 w 78"/>
                <a:gd name="T6" fmla="+- 0 592 520"/>
                <a:gd name="T7" fmla="*/ 592 h 80"/>
                <a:gd name="T8" fmla="+- 0 2689 2638"/>
                <a:gd name="T9" fmla="*/ T8 w 78"/>
                <a:gd name="T10" fmla="+- 0 592 520"/>
                <a:gd name="T11" fmla="*/ 592 h 80"/>
                <a:gd name="T12" fmla="+- 0 2698 2638"/>
                <a:gd name="T13" fmla="*/ T12 w 78"/>
                <a:gd name="T14" fmla="+- 0 582 520"/>
                <a:gd name="T15" fmla="*/ 582 h 80"/>
                <a:gd name="T16" fmla="+- 0 2701 2638"/>
                <a:gd name="T17" fmla="*/ T16 w 78"/>
                <a:gd name="T18" fmla="+- 0 574 520"/>
                <a:gd name="T19" fmla="*/ 574 h 80"/>
                <a:gd name="T20" fmla="+- 0 2713 2638"/>
                <a:gd name="T21" fmla="*/ T20 w 78"/>
                <a:gd name="T22" fmla="+- 0 574 520"/>
                <a:gd name="T23" fmla="*/ 574 h 80"/>
                <a:gd name="T24" fmla="+- 0 2704 2638"/>
                <a:gd name="T25" fmla="*/ T24 w 78"/>
                <a:gd name="T26" fmla="+- 0 589 520"/>
                <a:gd name="T27" fmla="*/ 589 h 80"/>
                <a:gd name="T28" fmla="+- 0 2697 2638"/>
                <a:gd name="T29" fmla="*/ T28 w 78"/>
                <a:gd name="T30" fmla="+- 0 592 520"/>
                <a:gd name="T31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59" y="72"/>
                  </a:moveTo>
                  <a:lnTo>
                    <a:pt x="36" y="72"/>
                  </a:lnTo>
                  <a:lnTo>
                    <a:pt x="51" y="72"/>
                  </a:lnTo>
                  <a:lnTo>
                    <a:pt x="60" y="62"/>
                  </a:lnTo>
                  <a:lnTo>
                    <a:pt x="63" y="54"/>
                  </a:lnTo>
                  <a:lnTo>
                    <a:pt x="75" y="54"/>
                  </a:lnTo>
                  <a:lnTo>
                    <a:pt x="66" y="69"/>
                  </a:lnTo>
                  <a:lnTo>
                    <a:pt x="59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39A66E94-3963-E045-ACB8-8471D5D27BDC}"/>
              </a:ext>
            </a:extLst>
          </xdr:cNvPr>
          <xdr:cNvGrpSpPr>
            <a:grpSpLocks/>
          </xdr:cNvGrpSpPr>
        </xdr:nvGrpSpPr>
        <xdr:grpSpPr bwMode="auto">
          <a:xfrm>
            <a:off x="2729" y="520"/>
            <a:ext cx="69" cy="81"/>
            <a:chOff x="2729" y="520"/>
            <a:chExt cx="69" cy="81"/>
          </a:xfrm>
        </xdr:grpSpPr>
        <xdr:sp macro="" textlink="">
          <xdr:nvSpPr>
            <xdr:cNvPr id="37" name="Freeform 4835">
              <a:extLst>
                <a:ext uri="{FF2B5EF4-FFF2-40B4-BE49-F238E27FC236}">
                  <a16:creationId xmlns:a16="http://schemas.microsoft.com/office/drawing/2014/main" id="{32367690-CA52-22B8-19D1-5583209BED22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53 2729"/>
                <a:gd name="T1" fmla="*/ T0 w 69"/>
                <a:gd name="T2" fmla="+- 0 531 520"/>
                <a:gd name="T3" fmla="*/ 531 h 81"/>
                <a:gd name="T4" fmla="+- 0 2740 2729"/>
                <a:gd name="T5" fmla="*/ T4 w 69"/>
                <a:gd name="T6" fmla="+- 0 531 520"/>
                <a:gd name="T7" fmla="*/ 531 h 81"/>
                <a:gd name="T8" fmla="+- 0 2744 2729"/>
                <a:gd name="T9" fmla="*/ T8 w 69"/>
                <a:gd name="T10" fmla="+- 0 526 520"/>
                <a:gd name="T11" fmla="*/ 526 h 81"/>
                <a:gd name="T12" fmla="+- 0 2752 2729"/>
                <a:gd name="T13" fmla="*/ T12 w 69"/>
                <a:gd name="T14" fmla="+- 0 520 520"/>
                <a:gd name="T15" fmla="*/ 520 h 81"/>
                <a:gd name="T16" fmla="+- 0 2774 2729"/>
                <a:gd name="T17" fmla="*/ T16 w 69"/>
                <a:gd name="T18" fmla="+- 0 520 520"/>
                <a:gd name="T19" fmla="*/ 520 h 81"/>
                <a:gd name="T20" fmla="+- 0 2782 2729"/>
                <a:gd name="T21" fmla="*/ T20 w 69"/>
                <a:gd name="T22" fmla="+- 0 523 520"/>
                <a:gd name="T23" fmla="*/ 523 h 81"/>
                <a:gd name="T24" fmla="+- 0 2789 2729"/>
                <a:gd name="T25" fmla="*/ T24 w 69"/>
                <a:gd name="T26" fmla="+- 0 530 520"/>
                <a:gd name="T27" fmla="*/ 530 h 81"/>
                <a:gd name="T28" fmla="+- 0 2761 2729"/>
                <a:gd name="T29" fmla="*/ T28 w 69"/>
                <a:gd name="T30" fmla="+- 0 530 520"/>
                <a:gd name="T31" fmla="*/ 530 h 81"/>
                <a:gd name="T32" fmla="+- 0 2753 2729"/>
                <a:gd name="T33" fmla="*/ T32 w 69"/>
                <a:gd name="T34" fmla="+- 0 531 520"/>
                <a:gd name="T35" fmla="*/ 531 h 81"/>
                <a:gd name="T36" fmla="+- 0 2753 2729"/>
                <a:gd name="T37" fmla="*/ T36 w 69"/>
                <a:gd name="T38" fmla="+- 0 531 520"/>
                <a:gd name="T39" fmla="*/ 53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9" h="81">
                  <a:moveTo>
                    <a:pt x="24" y="11"/>
                  </a:moveTo>
                  <a:lnTo>
                    <a:pt x="11" y="11"/>
                  </a:lnTo>
                  <a:lnTo>
                    <a:pt x="15" y="6"/>
                  </a:lnTo>
                  <a:lnTo>
                    <a:pt x="23" y="0"/>
                  </a:lnTo>
                  <a:lnTo>
                    <a:pt x="45" y="0"/>
                  </a:lnTo>
                  <a:lnTo>
                    <a:pt x="53" y="3"/>
                  </a:lnTo>
                  <a:lnTo>
                    <a:pt x="60" y="10"/>
                  </a:lnTo>
                  <a:lnTo>
                    <a:pt x="32" y="10"/>
                  </a:lnTo>
                  <a:lnTo>
                    <a:pt x="24" y="1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8" name="Freeform 4834">
              <a:extLst>
                <a:ext uri="{FF2B5EF4-FFF2-40B4-BE49-F238E27FC236}">
                  <a16:creationId xmlns:a16="http://schemas.microsoft.com/office/drawing/2014/main" id="{5C02D015-D6E9-9167-657E-AC3C77B6DD0F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40 2729"/>
                <a:gd name="T1" fmla="*/ T0 w 69"/>
                <a:gd name="T2" fmla="+- 0 601 520"/>
                <a:gd name="T3" fmla="*/ 601 h 81"/>
                <a:gd name="T4" fmla="+- 0 2729 2729"/>
                <a:gd name="T5" fmla="*/ T4 w 69"/>
                <a:gd name="T6" fmla="+- 0 601 520"/>
                <a:gd name="T7" fmla="*/ 601 h 81"/>
                <a:gd name="T8" fmla="+- 0 2729 2729"/>
                <a:gd name="T9" fmla="*/ T8 w 69"/>
                <a:gd name="T10" fmla="+- 0 522 520"/>
                <a:gd name="T11" fmla="*/ 522 h 81"/>
                <a:gd name="T12" fmla="+- 0 2740 2729"/>
                <a:gd name="T13" fmla="*/ T12 w 69"/>
                <a:gd name="T14" fmla="+- 0 522 520"/>
                <a:gd name="T15" fmla="*/ 522 h 81"/>
                <a:gd name="T16" fmla="+- 0 2740 2729"/>
                <a:gd name="T17" fmla="*/ T16 w 69"/>
                <a:gd name="T18" fmla="+- 0 531 520"/>
                <a:gd name="T19" fmla="*/ 531 h 81"/>
                <a:gd name="T20" fmla="+- 0 2753 2729"/>
                <a:gd name="T21" fmla="*/ T20 w 69"/>
                <a:gd name="T22" fmla="+- 0 531 520"/>
                <a:gd name="T23" fmla="*/ 531 h 81"/>
                <a:gd name="T24" fmla="+- 0 2747 2729"/>
                <a:gd name="T25" fmla="*/ T24 w 69"/>
                <a:gd name="T26" fmla="+- 0 537 520"/>
                <a:gd name="T27" fmla="*/ 537 h 81"/>
                <a:gd name="T28" fmla="+- 0 2743 2729"/>
                <a:gd name="T29" fmla="*/ T28 w 69"/>
                <a:gd name="T30" fmla="+- 0 541 520"/>
                <a:gd name="T31" fmla="*/ 541 h 81"/>
                <a:gd name="T32" fmla="+- 0 2740 2729"/>
                <a:gd name="T33" fmla="*/ T32 w 69"/>
                <a:gd name="T34" fmla="+- 0 549 520"/>
                <a:gd name="T35" fmla="*/ 549 h 81"/>
                <a:gd name="T36" fmla="+- 0 2740 2729"/>
                <a:gd name="T37" fmla="*/ T36 w 69"/>
                <a:gd name="T38" fmla="+- 0 558 520"/>
                <a:gd name="T39" fmla="*/ 558 h 81"/>
                <a:gd name="T40" fmla="+- 0 2740 2729"/>
                <a:gd name="T41" fmla="*/ T40 w 69"/>
                <a:gd name="T42" fmla="+- 0 601 520"/>
                <a:gd name="T43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69" h="81">
                  <a:moveTo>
                    <a:pt x="11" y="81"/>
                  </a:moveTo>
                  <a:lnTo>
                    <a:pt x="0" y="81"/>
                  </a:lnTo>
                  <a:lnTo>
                    <a:pt x="0" y="2"/>
                  </a:lnTo>
                  <a:lnTo>
                    <a:pt x="11" y="2"/>
                  </a:lnTo>
                  <a:lnTo>
                    <a:pt x="11" y="11"/>
                  </a:lnTo>
                  <a:lnTo>
                    <a:pt x="24" y="11"/>
                  </a:lnTo>
                  <a:lnTo>
                    <a:pt x="18" y="17"/>
                  </a:lnTo>
                  <a:lnTo>
                    <a:pt x="14" y="21"/>
                  </a:lnTo>
                  <a:lnTo>
                    <a:pt x="11" y="29"/>
                  </a:lnTo>
                  <a:lnTo>
                    <a:pt x="11" y="38"/>
                  </a:lnTo>
                  <a:lnTo>
                    <a:pt x="11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9" name="Freeform 4833">
              <a:extLst>
                <a:ext uri="{FF2B5EF4-FFF2-40B4-BE49-F238E27FC236}">
                  <a16:creationId xmlns:a16="http://schemas.microsoft.com/office/drawing/2014/main" id="{F2E2D6F0-06F4-BADB-BA46-AD9902E94D52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98 2729"/>
                <a:gd name="T1" fmla="*/ T0 w 69"/>
                <a:gd name="T2" fmla="+- 0 600 520"/>
                <a:gd name="T3" fmla="*/ 600 h 81"/>
                <a:gd name="T4" fmla="+- 0 2787 2729"/>
                <a:gd name="T5" fmla="*/ T4 w 69"/>
                <a:gd name="T6" fmla="+- 0 600 520"/>
                <a:gd name="T7" fmla="*/ 600 h 81"/>
                <a:gd name="T8" fmla="+- 0 2787 2729"/>
                <a:gd name="T9" fmla="*/ T8 w 69"/>
                <a:gd name="T10" fmla="+- 0 549 520"/>
                <a:gd name="T11" fmla="*/ 549 h 81"/>
                <a:gd name="T12" fmla="+- 0 2784 2729"/>
                <a:gd name="T13" fmla="*/ T12 w 69"/>
                <a:gd name="T14" fmla="+- 0 541 520"/>
                <a:gd name="T15" fmla="*/ 541 h 81"/>
                <a:gd name="T16" fmla="+- 0 2774 2729"/>
                <a:gd name="T17" fmla="*/ T16 w 69"/>
                <a:gd name="T18" fmla="+- 0 531 520"/>
                <a:gd name="T19" fmla="*/ 531 h 81"/>
                <a:gd name="T20" fmla="+- 0 2766 2729"/>
                <a:gd name="T21" fmla="*/ T20 w 69"/>
                <a:gd name="T22" fmla="+- 0 530 520"/>
                <a:gd name="T23" fmla="*/ 530 h 81"/>
                <a:gd name="T24" fmla="+- 0 2789 2729"/>
                <a:gd name="T25" fmla="*/ T24 w 69"/>
                <a:gd name="T26" fmla="+- 0 530 520"/>
                <a:gd name="T27" fmla="*/ 530 h 81"/>
                <a:gd name="T28" fmla="+- 0 2795 2729"/>
                <a:gd name="T29" fmla="*/ T28 w 69"/>
                <a:gd name="T30" fmla="+- 0 536 520"/>
                <a:gd name="T31" fmla="*/ 536 h 81"/>
                <a:gd name="T32" fmla="+- 0 2798 2729"/>
                <a:gd name="T33" fmla="*/ T32 w 69"/>
                <a:gd name="T34" fmla="+- 0 546 520"/>
                <a:gd name="T35" fmla="*/ 546 h 81"/>
                <a:gd name="T36" fmla="+- 0 2798 2729"/>
                <a:gd name="T37" fmla="*/ T36 w 69"/>
                <a:gd name="T38" fmla="+- 0 600 520"/>
                <a:gd name="T39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9" h="81">
                  <a:moveTo>
                    <a:pt x="69" y="80"/>
                  </a:moveTo>
                  <a:lnTo>
                    <a:pt x="58" y="80"/>
                  </a:lnTo>
                  <a:lnTo>
                    <a:pt x="58" y="29"/>
                  </a:lnTo>
                  <a:lnTo>
                    <a:pt x="55" y="21"/>
                  </a:lnTo>
                  <a:lnTo>
                    <a:pt x="45" y="11"/>
                  </a:lnTo>
                  <a:lnTo>
                    <a:pt x="37" y="10"/>
                  </a:lnTo>
                  <a:lnTo>
                    <a:pt x="60" y="10"/>
                  </a:lnTo>
                  <a:lnTo>
                    <a:pt x="66" y="16"/>
                  </a:lnTo>
                  <a:lnTo>
                    <a:pt x="69" y="26"/>
                  </a:lnTo>
                  <a:lnTo>
                    <a:pt x="69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21EA1FCD-8FF1-33D9-7D1E-4C60D6C0F212}"/>
              </a:ext>
            </a:extLst>
          </xdr:cNvPr>
          <xdr:cNvGrpSpPr>
            <a:grpSpLocks/>
          </xdr:cNvGrpSpPr>
        </xdr:nvGrpSpPr>
        <xdr:grpSpPr bwMode="auto">
          <a:xfrm>
            <a:off x="2810" y="495"/>
            <a:ext cx="46" cy="106"/>
            <a:chOff x="2810" y="495"/>
            <a:chExt cx="46" cy="106"/>
          </a:xfrm>
        </xdr:grpSpPr>
        <xdr:sp macro="" textlink="">
          <xdr:nvSpPr>
            <xdr:cNvPr id="34" name="Freeform 4831">
              <a:extLst>
                <a:ext uri="{FF2B5EF4-FFF2-40B4-BE49-F238E27FC236}">
                  <a16:creationId xmlns:a16="http://schemas.microsoft.com/office/drawing/2014/main" id="{D6E732FC-C948-8A4F-25D7-BF6F00A897FA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37 2810"/>
                <a:gd name="T1" fmla="*/ T0 w 46"/>
                <a:gd name="T2" fmla="+- 0 522 495"/>
                <a:gd name="T3" fmla="*/ 522 h 106"/>
                <a:gd name="T4" fmla="+- 0 2826 2810"/>
                <a:gd name="T5" fmla="*/ T4 w 46"/>
                <a:gd name="T6" fmla="+- 0 522 495"/>
                <a:gd name="T7" fmla="*/ 522 h 106"/>
                <a:gd name="T8" fmla="+- 0 2826 2810"/>
                <a:gd name="T9" fmla="*/ T8 w 46"/>
                <a:gd name="T10" fmla="+- 0 495 495"/>
                <a:gd name="T11" fmla="*/ 495 h 106"/>
                <a:gd name="T12" fmla="+- 0 2837 2810"/>
                <a:gd name="T13" fmla="*/ T12 w 46"/>
                <a:gd name="T14" fmla="+- 0 495 495"/>
                <a:gd name="T15" fmla="*/ 495 h 106"/>
                <a:gd name="T16" fmla="+- 0 2837 2810"/>
                <a:gd name="T17" fmla="*/ T16 w 46"/>
                <a:gd name="T18" fmla="+- 0 522 495"/>
                <a:gd name="T19" fmla="*/ 52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27" y="27"/>
                  </a:moveTo>
                  <a:lnTo>
                    <a:pt x="16" y="27"/>
                  </a:lnTo>
                  <a:lnTo>
                    <a:pt x="16" y="0"/>
                  </a:lnTo>
                  <a:lnTo>
                    <a:pt x="27" y="0"/>
                  </a:lnTo>
                  <a:lnTo>
                    <a:pt x="27" y="2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5" name="Freeform 4830">
              <a:extLst>
                <a:ext uri="{FF2B5EF4-FFF2-40B4-BE49-F238E27FC236}">
                  <a16:creationId xmlns:a16="http://schemas.microsoft.com/office/drawing/2014/main" id="{314B67A5-2F6B-1D5A-68FE-7EBB98344492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56 2810"/>
                <a:gd name="T1" fmla="*/ T0 w 46"/>
                <a:gd name="T2" fmla="+- 0 532 495"/>
                <a:gd name="T3" fmla="*/ 532 h 106"/>
                <a:gd name="T4" fmla="+- 0 2810 2810"/>
                <a:gd name="T5" fmla="*/ T4 w 46"/>
                <a:gd name="T6" fmla="+- 0 532 495"/>
                <a:gd name="T7" fmla="*/ 532 h 106"/>
                <a:gd name="T8" fmla="+- 0 2810 2810"/>
                <a:gd name="T9" fmla="*/ T8 w 46"/>
                <a:gd name="T10" fmla="+- 0 522 495"/>
                <a:gd name="T11" fmla="*/ 522 h 106"/>
                <a:gd name="T12" fmla="+- 0 2856 2810"/>
                <a:gd name="T13" fmla="*/ T12 w 46"/>
                <a:gd name="T14" fmla="+- 0 522 495"/>
                <a:gd name="T15" fmla="*/ 522 h 106"/>
                <a:gd name="T16" fmla="+- 0 2856 2810"/>
                <a:gd name="T17" fmla="*/ T16 w 46"/>
                <a:gd name="T18" fmla="+- 0 532 495"/>
                <a:gd name="T19" fmla="*/ 53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46" y="37"/>
                  </a:moveTo>
                  <a:lnTo>
                    <a:pt x="0" y="37"/>
                  </a:lnTo>
                  <a:lnTo>
                    <a:pt x="0" y="27"/>
                  </a:lnTo>
                  <a:lnTo>
                    <a:pt x="46" y="27"/>
                  </a:lnTo>
                  <a:lnTo>
                    <a:pt x="46" y="3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6" name="Freeform 4829">
              <a:extLst>
                <a:ext uri="{FF2B5EF4-FFF2-40B4-BE49-F238E27FC236}">
                  <a16:creationId xmlns:a16="http://schemas.microsoft.com/office/drawing/2014/main" id="{736BEEA9-F50B-D471-DC73-D3C24C477B7E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37 2810"/>
                <a:gd name="T1" fmla="*/ T0 w 46"/>
                <a:gd name="T2" fmla="+- 0 601 495"/>
                <a:gd name="T3" fmla="*/ 601 h 106"/>
                <a:gd name="T4" fmla="+- 0 2826 2810"/>
                <a:gd name="T5" fmla="*/ T4 w 46"/>
                <a:gd name="T6" fmla="+- 0 601 495"/>
                <a:gd name="T7" fmla="*/ 601 h 106"/>
                <a:gd name="T8" fmla="+- 0 2826 2810"/>
                <a:gd name="T9" fmla="*/ T8 w 46"/>
                <a:gd name="T10" fmla="+- 0 532 495"/>
                <a:gd name="T11" fmla="*/ 532 h 106"/>
                <a:gd name="T12" fmla="+- 0 2837 2810"/>
                <a:gd name="T13" fmla="*/ T12 w 46"/>
                <a:gd name="T14" fmla="+- 0 532 495"/>
                <a:gd name="T15" fmla="*/ 532 h 106"/>
                <a:gd name="T16" fmla="+- 0 2837 2810"/>
                <a:gd name="T17" fmla="*/ T16 w 46"/>
                <a:gd name="T18" fmla="+- 0 601 495"/>
                <a:gd name="T19" fmla="*/ 601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27" y="106"/>
                  </a:moveTo>
                  <a:lnTo>
                    <a:pt x="16" y="106"/>
                  </a:lnTo>
                  <a:lnTo>
                    <a:pt x="16" y="37"/>
                  </a:lnTo>
                  <a:lnTo>
                    <a:pt x="27" y="37"/>
                  </a:lnTo>
                  <a:lnTo>
                    <a:pt x="27" y="10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A2FEF3A9-3A99-A0B3-1CDD-C66E6643359A}"/>
              </a:ext>
            </a:extLst>
          </xdr:cNvPr>
          <xdr:cNvGrpSpPr>
            <a:grpSpLocks/>
          </xdr:cNvGrpSpPr>
        </xdr:nvGrpSpPr>
        <xdr:grpSpPr bwMode="auto">
          <a:xfrm>
            <a:off x="2867" y="520"/>
            <a:ext cx="78" cy="80"/>
            <a:chOff x="2867" y="520"/>
            <a:chExt cx="78" cy="80"/>
          </a:xfrm>
        </xdr:grpSpPr>
        <xdr:sp macro="" textlink="">
          <xdr:nvSpPr>
            <xdr:cNvPr id="31" name="Freeform 4827">
              <a:extLst>
                <a:ext uri="{FF2B5EF4-FFF2-40B4-BE49-F238E27FC236}">
                  <a16:creationId xmlns:a16="http://schemas.microsoft.com/office/drawing/2014/main" id="{FF8551DC-DDDC-F3AE-A7DE-ADD776826D95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890 2867"/>
                <a:gd name="T1" fmla="*/ T0 w 78"/>
                <a:gd name="T2" fmla="+- 0 600 520"/>
                <a:gd name="T3" fmla="*/ 600 h 80"/>
                <a:gd name="T4" fmla="+- 0 2876 2867"/>
                <a:gd name="T5" fmla="*/ T4 w 78"/>
                <a:gd name="T6" fmla="+- 0 590 520"/>
                <a:gd name="T7" fmla="*/ 590 h 80"/>
                <a:gd name="T8" fmla="+- 0 2867 2867"/>
                <a:gd name="T9" fmla="*/ T8 w 78"/>
                <a:gd name="T10" fmla="+- 0 571 520"/>
                <a:gd name="T11" fmla="*/ 571 h 80"/>
                <a:gd name="T12" fmla="+- 0 2867 2867"/>
                <a:gd name="T13" fmla="*/ T12 w 78"/>
                <a:gd name="T14" fmla="+- 0 542 520"/>
                <a:gd name="T15" fmla="*/ 542 h 80"/>
                <a:gd name="T16" fmla="+- 0 2881 2867"/>
                <a:gd name="T17" fmla="*/ T16 w 78"/>
                <a:gd name="T18" fmla="+- 0 527 520"/>
                <a:gd name="T19" fmla="*/ 527 h 80"/>
                <a:gd name="T20" fmla="+- 0 2902 2867"/>
                <a:gd name="T21" fmla="*/ T20 w 78"/>
                <a:gd name="T22" fmla="+- 0 520 520"/>
                <a:gd name="T23" fmla="*/ 520 h 80"/>
                <a:gd name="T24" fmla="+- 0 2924 2867"/>
                <a:gd name="T25" fmla="*/ T24 w 78"/>
                <a:gd name="T26" fmla="+- 0 527 520"/>
                <a:gd name="T27" fmla="*/ 527 h 80"/>
                <a:gd name="T28" fmla="+- 0 2928 2867"/>
                <a:gd name="T29" fmla="*/ T28 w 78"/>
                <a:gd name="T30" fmla="+- 0 530 520"/>
                <a:gd name="T31" fmla="*/ 530 h 80"/>
                <a:gd name="T32" fmla="+- 0 2890 2867"/>
                <a:gd name="T33" fmla="*/ T32 w 78"/>
                <a:gd name="T34" fmla="+- 0 530 520"/>
                <a:gd name="T35" fmla="*/ 530 h 80"/>
                <a:gd name="T36" fmla="+- 0 2876 2867"/>
                <a:gd name="T37" fmla="*/ T36 w 78"/>
                <a:gd name="T38" fmla="+- 0 539 520"/>
                <a:gd name="T39" fmla="*/ 539 h 80"/>
                <a:gd name="T40" fmla="+- 0 2873 2867"/>
                <a:gd name="T41" fmla="*/ T40 w 78"/>
                <a:gd name="T42" fmla="+- 0 555 520"/>
                <a:gd name="T43" fmla="*/ 555 h 80"/>
                <a:gd name="T44" fmla="+- 0 2944 2867"/>
                <a:gd name="T45" fmla="*/ T44 w 78"/>
                <a:gd name="T46" fmla="+- 0 555 520"/>
                <a:gd name="T47" fmla="*/ 555 h 80"/>
                <a:gd name="T48" fmla="+- 0 2943 2867"/>
                <a:gd name="T49" fmla="*/ T48 w 78"/>
                <a:gd name="T50" fmla="+- 0 565 520"/>
                <a:gd name="T51" fmla="*/ 565 h 80"/>
                <a:gd name="T52" fmla="+- 0 2943 2867"/>
                <a:gd name="T53" fmla="*/ T52 w 78"/>
                <a:gd name="T54" fmla="+- 0 565 520"/>
                <a:gd name="T55" fmla="*/ 565 h 80"/>
                <a:gd name="T56" fmla="+- 0 2873 2867"/>
                <a:gd name="T57" fmla="*/ T56 w 78"/>
                <a:gd name="T58" fmla="+- 0 565 520"/>
                <a:gd name="T59" fmla="*/ 565 h 80"/>
                <a:gd name="T60" fmla="+- 0 2874 2867"/>
                <a:gd name="T61" fmla="*/ T60 w 78"/>
                <a:gd name="T62" fmla="+- 0 580 520"/>
                <a:gd name="T63" fmla="*/ 580 h 80"/>
                <a:gd name="T64" fmla="+- 0 2888 2867"/>
                <a:gd name="T65" fmla="*/ T64 w 78"/>
                <a:gd name="T66" fmla="+- 0 592 520"/>
                <a:gd name="T67" fmla="*/ 592 h 80"/>
                <a:gd name="T68" fmla="+- 0 2926 2867"/>
                <a:gd name="T69" fmla="*/ T68 w 78"/>
                <a:gd name="T70" fmla="+- 0 592 520"/>
                <a:gd name="T71" fmla="*/ 592 h 80"/>
                <a:gd name="T72" fmla="+- 0 2915 2867"/>
                <a:gd name="T73" fmla="*/ T72 w 78"/>
                <a:gd name="T74" fmla="+- 0 598 520"/>
                <a:gd name="T75" fmla="*/ 598 h 80"/>
                <a:gd name="T76" fmla="+- 0 2890 2867"/>
                <a:gd name="T77" fmla="*/ T76 w 78"/>
                <a:gd name="T78" fmla="+- 0 600 520"/>
                <a:gd name="T7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8" h="80">
                  <a:moveTo>
                    <a:pt x="23" y="80"/>
                  </a:moveTo>
                  <a:lnTo>
                    <a:pt x="9" y="70"/>
                  </a:lnTo>
                  <a:lnTo>
                    <a:pt x="0" y="51"/>
                  </a:lnTo>
                  <a:lnTo>
                    <a:pt x="0" y="22"/>
                  </a:lnTo>
                  <a:lnTo>
                    <a:pt x="14" y="7"/>
                  </a:lnTo>
                  <a:lnTo>
                    <a:pt x="35" y="0"/>
                  </a:lnTo>
                  <a:lnTo>
                    <a:pt x="57" y="7"/>
                  </a:lnTo>
                  <a:lnTo>
                    <a:pt x="61" y="10"/>
                  </a:lnTo>
                  <a:lnTo>
                    <a:pt x="23" y="10"/>
                  </a:lnTo>
                  <a:lnTo>
                    <a:pt x="9" y="19"/>
                  </a:lnTo>
                  <a:lnTo>
                    <a:pt x="6" y="35"/>
                  </a:lnTo>
                  <a:lnTo>
                    <a:pt x="77" y="35"/>
                  </a:lnTo>
                  <a:lnTo>
                    <a:pt x="76" y="45"/>
                  </a:lnTo>
                  <a:lnTo>
                    <a:pt x="6" y="45"/>
                  </a:lnTo>
                  <a:lnTo>
                    <a:pt x="7" y="60"/>
                  </a:lnTo>
                  <a:lnTo>
                    <a:pt x="21" y="72"/>
                  </a:lnTo>
                  <a:lnTo>
                    <a:pt x="59" y="72"/>
                  </a:lnTo>
                  <a:lnTo>
                    <a:pt x="48" y="78"/>
                  </a:lnTo>
                  <a:lnTo>
                    <a:pt x="23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2" name="Freeform 4826">
              <a:extLst>
                <a:ext uri="{FF2B5EF4-FFF2-40B4-BE49-F238E27FC236}">
                  <a16:creationId xmlns:a16="http://schemas.microsoft.com/office/drawing/2014/main" id="{CB2EEE98-39A9-6C21-7888-D2F334162895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944 2867"/>
                <a:gd name="T1" fmla="*/ T0 w 78"/>
                <a:gd name="T2" fmla="+- 0 555 520"/>
                <a:gd name="T3" fmla="*/ 555 h 80"/>
                <a:gd name="T4" fmla="+- 0 2932 2867"/>
                <a:gd name="T5" fmla="*/ T4 w 78"/>
                <a:gd name="T6" fmla="+- 0 555 520"/>
                <a:gd name="T7" fmla="*/ 555 h 80"/>
                <a:gd name="T8" fmla="+- 0 2929 2867"/>
                <a:gd name="T9" fmla="*/ T8 w 78"/>
                <a:gd name="T10" fmla="+- 0 538 520"/>
                <a:gd name="T11" fmla="*/ 538 h 80"/>
                <a:gd name="T12" fmla="+- 0 2914 2867"/>
                <a:gd name="T13" fmla="*/ T12 w 78"/>
                <a:gd name="T14" fmla="+- 0 530 520"/>
                <a:gd name="T15" fmla="*/ 530 h 80"/>
                <a:gd name="T16" fmla="+- 0 2928 2867"/>
                <a:gd name="T17" fmla="*/ T16 w 78"/>
                <a:gd name="T18" fmla="+- 0 530 520"/>
                <a:gd name="T19" fmla="*/ 530 h 80"/>
                <a:gd name="T20" fmla="+- 0 2937 2867"/>
                <a:gd name="T21" fmla="*/ T20 w 78"/>
                <a:gd name="T22" fmla="+- 0 540 520"/>
                <a:gd name="T23" fmla="*/ 540 h 80"/>
                <a:gd name="T24" fmla="+- 0 2942 2867"/>
                <a:gd name="T25" fmla="*/ T24 w 78"/>
                <a:gd name="T26" fmla="+- 0 547 520"/>
                <a:gd name="T27" fmla="*/ 547 h 80"/>
                <a:gd name="T28" fmla="+- 0 2944 2867"/>
                <a:gd name="T29" fmla="*/ T28 w 78"/>
                <a:gd name="T30" fmla="+- 0 555 520"/>
                <a:gd name="T31" fmla="*/ 555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77" y="35"/>
                  </a:moveTo>
                  <a:lnTo>
                    <a:pt x="65" y="35"/>
                  </a:lnTo>
                  <a:lnTo>
                    <a:pt x="62" y="18"/>
                  </a:lnTo>
                  <a:lnTo>
                    <a:pt x="47" y="10"/>
                  </a:lnTo>
                  <a:lnTo>
                    <a:pt x="61" y="10"/>
                  </a:lnTo>
                  <a:lnTo>
                    <a:pt x="70" y="20"/>
                  </a:lnTo>
                  <a:lnTo>
                    <a:pt x="75" y="27"/>
                  </a:lnTo>
                  <a:lnTo>
                    <a:pt x="77" y="3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3" name="Freeform 4825">
              <a:extLst>
                <a:ext uri="{FF2B5EF4-FFF2-40B4-BE49-F238E27FC236}">
                  <a16:creationId xmlns:a16="http://schemas.microsoft.com/office/drawing/2014/main" id="{CB719E25-F8DB-6F71-41B2-1AC695C59243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926 2867"/>
                <a:gd name="T1" fmla="*/ T0 w 78"/>
                <a:gd name="T2" fmla="+- 0 592 520"/>
                <a:gd name="T3" fmla="*/ 592 h 80"/>
                <a:gd name="T4" fmla="+- 0 2902 2867"/>
                <a:gd name="T5" fmla="*/ T4 w 78"/>
                <a:gd name="T6" fmla="+- 0 592 520"/>
                <a:gd name="T7" fmla="*/ 592 h 80"/>
                <a:gd name="T8" fmla="+- 0 2918 2867"/>
                <a:gd name="T9" fmla="*/ T8 w 78"/>
                <a:gd name="T10" fmla="+- 0 592 520"/>
                <a:gd name="T11" fmla="*/ 592 h 80"/>
                <a:gd name="T12" fmla="+- 0 2926 2867"/>
                <a:gd name="T13" fmla="*/ T12 w 78"/>
                <a:gd name="T14" fmla="+- 0 582 520"/>
                <a:gd name="T15" fmla="*/ 582 h 80"/>
                <a:gd name="T16" fmla="+- 0 2930 2867"/>
                <a:gd name="T17" fmla="*/ T16 w 78"/>
                <a:gd name="T18" fmla="+- 0 574 520"/>
                <a:gd name="T19" fmla="*/ 574 h 80"/>
                <a:gd name="T20" fmla="+- 0 2941 2867"/>
                <a:gd name="T21" fmla="*/ T20 w 78"/>
                <a:gd name="T22" fmla="+- 0 574 520"/>
                <a:gd name="T23" fmla="*/ 574 h 80"/>
                <a:gd name="T24" fmla="+- 0 2932 2867"/>
                <a:gd name="T25" fmla="*/ T24 w 78"/>
                <a:gd name="T26" fmla="+- 0 589 520"/>
                <a:gd name="T27" fmla="*/ 589 h 80"/>
                <a:gd name="T28" fmla="+- 0 2926 2867"/>
                <a:gd name="T29" fmla="*/ T28 w 78"/>
                <a:gd name="T30" fmla="+- 0 592 520"/>
                <a:gd name="T31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59" y="72"/>
                  </a:moveTo>
                  <a:lnTo>
                    <a:pt x="35" y="72"/>
                  </a:lnTo>
                  <a:lnTo>
                    <a:pt x="51" y="72"/>
                  </a:lnTo>
                  <a:lnTo>
                    <a:pt x="59" y="62"/>
                  </a:lnTo>
                  <a:lnTo>
                    <a:pt x="63" y="54"/>
                  </a:lnTo>
                  <a:lnTo>
                    <a:pt x="74" y="54"/>
                  </a:lnTo>
                  <a:lnTo>
                    <a:pt x="65" y="69"/>
                  </a:lnTo>
                  <a:lnTo>
                    <a:pt x="59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85C523EE-2EE5-5720-C4D5-1477D006BB21}"/>
              </a:ext>
            </a:extLst>
          </xdr:cNvPr>
          <xdr:cNvGrpSpPr>
            <a:grpSpLocks/>
          </xdr:cNvGrpSpPr>
        </xdr:nvGrpSpPr>
        <xdr:grpSpPr bwMode="auto">
          <a:xfrm>
            <a:off x="2958" y="495"/>
            <a:ext cx="78" cy="106"/>
            <a:chOff x="2958" y="495"/>
            <a:chExt cx="78" cy="106"/>
          </a:xfrm>
        </xdr:grpSpPr>
        <xdr:sp macro="" textlink="">
          <xdr:nvSpPr>
            <xdr:cNvPr id="27" name="Freeform 4823">
              <a:extLst>
                <a:ext uri="{FF2B5EF4-FFF2-40B4-BE49-F238E27FC236}">
                  <a16:creationId xmlns:a16="http://schemas.microsoft.com/office/drawing/2014/main" id="{DF523425-CADD-107C-7E81-FCD0EBE8DDDD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36 2958"/>
                <a:gd name="T1" fmla="*/ T0 w 78"/>
                <a:gd name="T2" fmla="+- 0 535 495"/>
                <a:gd name="T3" fmla="*/ 535 h 106"/>
                <a:gd name="T4" fmla="+- 0 3025 2958"/>
                <a:gd name="T5" fmla="*/ T4 w 78"/>
                <a:gd name="T6" fmla="+- 0 535 495"/>
                <a:gd name="T7" fmla="*/ 535 h 106"/>
                <a:gd name="T8" fmla="+- 0 3025 2958"/>
                <a:gd name="T9" fmla="*/ T8 w 78"/>
                <a:gd name="T10" fmla="+- 0 495 495"/>
                <a:gd name="T11" fmla="*/ 495 h 106"/>
                <a:gd name="T12" fmla="+- 0 3036 2958"/>
                <a:gd name="T13" fmla="*/ T12 w 78"/>
                <a:gd name="T14" fmla="+- 0 495 495"/>
                <a:gd name="T15" fmla="*/ 495 h 106"/>
                <a:gd name="T16" fmla="+- 0 3036 2958"/>
                <a:gd name="T17" fmla="*/ T16 w 78"/>
                <a:gd name="T18" fmla="+- 0 535 495"/>
                <a:gd name="T19" fmla="*/ 535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106">
                  <a:moveTo>
                    <a:pt x="78" y="40"/>
                  </a:moveTo>
                  <a:lnTo>
                    <a:pt x="67" y="40"/>
                  </a:lnTo>
                  <a:lnTo>
                    <a:pt x="67" y="0"/>
                  </a:lnTo>
                  <a:lnTo>
                    <a:pt x="78" y="0"/>
                  </a:lnTo>
                  <a:lnTo>
                    <a:pt x="78" y="4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8" name="Freeform 4822">
              <a:extLst>
                <a:ext uri="{FF2B5EF4-FFF2-40B4-BE49-F238E27FC236}">
                  <a16:creationId xmlns:a16="http://schemas.microsoft.com/office/drawing/2014/main" id="{B9E44D94-49E0-9C2A-774C-B99676655CAE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2982 2958"/>
                <a:gd name="T1" fmla="*/ T0 w 78"/>
                <a:gd name="T2" fmla="+- 0 600 495"/>
                <a:gd name="T3" fmla="*/ 600 h 106"/>
                <a:gd name="T4" fmla="+- 0 2968 2958"/>
                <a:gd name="T5" fmla="*/ T4 w 78"/>
                <a:gd name="T6" fmla="+- 0 590 495"/>
                <a:gd name="T7" fmla="*/ 590 h 106"/>
                <a:gd name="T8" fmla="+- 0 2959 2958"/>
                <a:gd name="T9" fmla="*/ T8 w 78"/>
                <a:gd name="T10" fmla="+- 0 571 495"/>
                <a:gd name="T11" fmla="*/ 571 h 106"/>
                <a:gd name="T12" fmla="+- 0 2958 2958"/>
                <a:gd name="T13" fmla="*/ T12 w 78"/>
                <a:gd name="T14" fmla="+- 0 543 495"/>
                <a:gd name="T15" fmla="*/ 543 h 106"/>
                <a:gd name="T16" fmla="+- 0 2973 2958"/>
                <a:gd name="T17" fmla="*/ T16 w 78"/>
                <a:gd name="T18" fmla="+- 0 527 495"/>
                <a:gd name="T19" fmla="*/ 527 h 106"/>
                <a:gd name="T20" fmla="+- 0 2996 2958"/>
                <a:gd name="T21" fmla="*/ T20 w 78"/>
                <a:gd name="T22" fmla="+- 0 520 495"/>
                <a:gd name="T23" fmla="*/ 520 h 106"/>
                <a:gd name="T24" fmla="+- 0 3000 2958"/>
                <a:gd name="T25" fmla="*/ T24 w 78"/>
                <a:gd name="T26" fmla="+- 0 520 495"/>
                <a:gd name="T27" fmla="*/ 520 h 106"/>
                <a:gd name="T28" fmla="+- 0 3016 2958"/>
                <a:gd name="T29" fmla="*/ T28 w 78"/>
                <a:gd name="T30" fmla="+- 0 521 495"/>
                <a:gd name="T31" fmla="*/ 521 h 106"/>
                <a:gd name="T32" fmla="+- 0 3023 2958"/>
                <a:gd name="T33" fmla="*/ T32 w 78"/>
                <a:gd name="T34" fmla="+- 0 531 495"/>
                <a:gd name="T35" fmla="*/ 531 h 106"/>
                <a:gd name="T36" fmla="+- 0 2989 2958"/>
                <a:gd name="T37" fmla="*/ T36 w 78"/>
                <a:gd name="T38" fmla="+- 0 531 495"/>
                <a:gd name="T39" fmla="*/ 531 h 106"/>
                <a:gd name="T40" fmla="+- 0 2972 2958"/>
                <a:gd name="T41" fmla="*/ T40 w 78"/>
                <a:gd name="T42" fmla="+- 0 542 495"/>
                <a:gd name="T43" fmla="*/ 542 h 106"/>
                <a:gd name="T44" fmla="+- 0 2965 2958"/>
                <a:gd name="T45" fmla="*/ T44 w 78"/>
                <a:gd name="T46" fmla="+- 0 566 495"/>
                <a:gd name="T47" fmla="*/ 566 h 106"/>
                <a:gd name="T48" fmla="+- 0 2975 2958"/>
                <a:gd name="T49" fmla="*/ T48 w 78"/>
                <a:gd name="T50" fmla="+- 0 585 495"/>
                <a:gd name="T51" fmla="*/ 585 h 106"/>
                <a:gd name="T52" fmla="+- 0 2996 2958"/>
                <a:gd name="T53" fmla="*/ T52 w 78"/>
                <a:gd name="T54" fmla="+- 0 592 495"/>
                <a:gd name="T55" fmla="*/ 592 h 106"/>
                <a:gd name="T56" fmla="+- 0 3021 2958"/>
                <a:gd name="T57" fmla="*/ T56 w 78"/>
                <a:gd name="T58" fmla="+- 0 592 495"/>
                <a:gd name="T59" fmla="*/ 592 h 106"/>
                <a:gd name="T60" fmla="+- 0 3007 2958"/>
                <a:gd name="T61" fmla="*/ T60 w 78"/>
                <a:gd name="T62" fmla="+- 0 599 495"/>
                <a:gd name="T63" fmla="*/ 599 h 106"/>
                <a:gd name="T64" fmla="+- 0 2982 2958"/>
                <a:gd name="T65" fmla="*/ T64 w 78"/>
                <a:gd name="T66" fmla="+- 0 600 495"/>
                <a:gd name="T67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8" h="106">
                  <a:moveTo>
                    <a:pt x="24" y="105"/>
                  </a:moveTo>
                  <a:lnTo>
                    <a:pt x="10" y="95"/>
                  </a:lnTo>
                  <a:lnTo>
                    <a:pt x="1" y="76"/>
                  </a:lnTo>
                  <a:lnTo>
                    <a:pt x="0" y="48"/>
                  </a:lnTo>
                  <a:lnTo>
                    <a:pt x="15" y="32"/>
                  </a:lnTo>
                  <a:lnTo>
                    <a:pt x="38" y="25"/>
                  </a:lnTo>
                  <a:lnTo>
                    <a:pt x="42" y="25"/>
                  </a:lnTo>
                  <a:lnTo>
                    <a:pt x="58" y="26"/>
                  </a:lnTo>
                  <a:lnTo>
                    <a:pt x="65" y="36"/>
                  </a:lnTo>
                  <a:lnTo>
                    <a:pt x="31" y="36"/>
                  </a:lnTo>
                  <a:lnTo>
                    <a:pt x="14" y="47"/>
                  </a:lnTo>
                  <a:lnTo>
                    <a:pt x="7" y="71"/>
                  </a:lnTo>
                  <a:lnTo>
                    <a:pt x="17" y="90"/>
                  </a:lnTo>
                  <a:lnTo>
                    <a:pt x="38" y="97"/>
                  </a:lnTo>
                  <a:lnTo>
                    <a:pt x="63" y="97"/>
                  </a:lnTo>
                  <a:lnTo>
                    <a:pt x="49" y="104"/>
                  </a:lnTo>
                  <a:lnTo>
                    <a:pt x="24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9" name="Freeform 4821">
              <a:extLst>
                <a:ext uri="{FF2B5EF4-FFF2-40B4-BE49-F238E27FC236}">
                  <a16:creationId xmlns:a16="http://schemas.microsoft.com/office/drawing/2014/main" id="{C1FF2B13-34CF-ECB4-4178-056066B8AB1F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21 2958"/>
                <a:gd name="T1" fmla="*/ T0 w 78"/>
                <a:gd name="T2" fmla="+- 0 592 495"/>
                <a:gd name="T3" fmla="*/ 592 h 106"/>
                <a:gd name="T4" fmla="+- 0 2996 2958"/>
                <a:gd name="T5" fmla="*/ T4 w 78"/>
                <a:gd name="T6" fmla="+- 0 592 495"/>
                <a:gd name="T7" fmla="*/ 592 h 106"/>
                <a:gd name="T8" fmla="+- 0 3006 2958"/>
                <a:gd name="T9" fmla="*/ T8 w 78"/>
                <a:gd name="T10" fmla="+- 0 590 495"/>
                <a:gd name="T11" fmla="*/ 590 h 106"/>
                <a:gd name="T12" fmla="+- 0 3020 2958"/>
                <a:gd name="T13" fmla="*/ T12 w 78"/>
                <a:gd name="T14" fmla="+- 0 578 495"/>
                <a:gd name="T15" fmla="*/ 578 h 106"/>
                <a:gd name="T16" fmla="+- 0 3025 2958"/>
                <a:gd name="T17" fmla="*/ T16 w 78"/>
                <a:gd name="T18" fmla="+- 0 552 495"/>
                <a:gd name="T19" fmla="*/ 552 h 106"/>
                <a:gd name="T20" fmla="+- 0 3013 2958"/>
                <a:gd name="T21" fmla="*/ T20 w 78"/>
                <a:gd name="T22" fmla="+- 0 537 495"/>
                <a:gd name="T23" fmla="*/ 537 h 106"/>
                <a:gd name="T24" fmla="+- 0 2989 2958"/>
                <a:gd name="T25" fmla="*/ T24 w 78"/>
                <a:gd name="T26" fmla="+- 0 531 495"/>
                <a:gd name="T27" fmla="*/ 531 h 106"/>
                <a:gd name="T28" fmla="+- 0 3023 2958"/>
                <a:gd name="T29" fmla="*/ T28 w 78"/>
                <a:gd name="T30" fmla="+- 0 531 495"/>
                <a:gd name="T31" fmla="*/ 531 h 106"/>
                <a:gd name="T32" fmla="+- 0 3025 2958"/>
                <a:gd name="T33" fmla="*/ T32 w 78"/>
                <a:gd name="T34" fmla="+- 0 535 495"/>
                <a:gd name="T35" fmla="*/ 535 h 106"/>
                <a:gd name="T36" fmla="+- 0 3036 2958"/>
                <a:gd name="T37" fmla="*/ T36 w 78"/>
                <a:gd name="T38" fmla="+- 0 535 495"/>
                <a:gd name="T39" fmla="*/ 535 h 106"/>
                <a:gd name="T40" fmla="+- 0 3036 2958"/>
                <a:gd name="T41" fmla="*/ T40 w 78"/>
                <a:gd name="T42" fmla="+- 0 592 495"/>
                <a:gd name="T43" fmla="*/ 592 h 106"/>
                <a:gd name="T44" fmla="+- 0 3022 2958"/>
                <a:gd name="T45" fmla="*/ T44 w 78"/>
                <a:gd name="T46" fmla="+- 0 592 495"/>
                <a:gd name="T47" fmla="*/ 592 h 106"/>
                <a:gd name="T48" fmla="+- 0 3021 2958"/>
                <a:gd name="T49" fmla="*/ T48 w 78"/>
                <a:gd name="T50" fmla="+- 0 592 495"/>
                <a:gd name="T51" fmla="*/ 59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78" h="106">
                  <a:moveTo>
                    <a:pt x="63" y="97"/>
                  </a:moveTo>
                  <a:lnTo>
                    <a:pt x="38" y="97"/>
                  </a:lnTo>
                  <a:lnTo>
                    <a:pt x="48" y="95"/>
                  </a:lnTo>
                  <a:lnTo>
                    <a:pt x="62" y="83"/>
                  </a:lnTo>
                  <a:lnTo>
                    <a:pt x="67" y="57"/>
                  </a:lnTo>
                  <a:lnTo>
                    <a:pt x="55" y="42"/>
                  </a:lnTo>
                  <a:lnTo>
                    <a:pt x="31" y="36"/>
                  </a:lnTo>
                  <a:lnTo>
                    <a:pt x="65" y="36"/>
                  </a:lnTo>
                  <a:lnTo>
                    <a:pt x="67" y="40"/>
                  </a:lnTo>
                  <a:lnTo>
                    <a:pt x="78" y="40"/>
                  </a:lnTo>
                  <a:lnTo>
                    <a:pt x="78" y="97"/>
                  </a:lnTo>
                  <a:lnTo>
                    <a:pt x="64" y="97"/>
                  </a:lnTo>
                  <a:lnTo>
                    <a:pt x="63" y="9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" name="Freeform 4820">
              <a:extLst>
                <a:ext uri="{FF2B5EF4-FFF2-40B4-BE49-F238E27FC236}">
                  <a16:creationId xmlns:a16="http://schemas.microsoft.com/office/drawing/2014/main" id="{F94D9972-1D6A-81EE-259B-3AD96011D89A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36 2958"/>
                <a:gd name="T1" fmla="*/ T0 w 78"/>
                <a:gd name="T2" fmla="+- 0 600 495"/>
                <a:gd name="T3" fmla="*/ 600 h 106"/>
                <a:gd name="T4" fmla="+- 0 3025 2958"/>
                <a:gd name="T5" fmla="*/ T4 w 78"/>
                <a:gd name="T6" fmla="+- 0 600 495"/>
                <a:gd name="T7" fmla="*/ 600 h 106"/>
                <a:gd name="T8" fmla="+- 0 3022 2958"/>
                <a:gd name="T9" fmla="*/ T8 w 78"/>
                <a:gd name="T10" fmla="+- 0 592 495"/>
                <a:gd name="T11" fmla="*/ 592 h 106"/>
                <a:gd name="T12" fmla="+- 0 3036 2958"/>
                <a:gd name="T13" fmla="*/ T12 w 78"/>
                <a:gd name="T14" fmla="+- 0 592 495"/>
                <a:gd name="T15" fmla="*/ 592 h 106"/>
                <a:gd name="T16" fmla="+- 0 3036 2958"/>
                <a:gd name="T17" fmla="*/ T16 w 78"/>
                <a:gd name="T18" fmla="+- 0 600 495"/>
                <a:gd name="T19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106">
                  <a:moveTo>
                    <a:pt x="78" y="105"/>
                  </a:moveTo>
                  <a:lnTo>
                    <a:pt x="67" y="105"/>
                  </a:lnTo>
                  <a:lnTo>
                    <a:pt x="64" y="97"/>
                  </a:lnTo>
                  <a:lnTo>
                    <a:pt x="78" y="97"/>
                  </a:lnTo>
                  <a:lnTo>
                    <a:pt x="78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D23E59B1-E363-7321-FE1A-D0C20FE39CD6}"/>
              </a:ext>
            </a:extLst>
          </xdr:cNvPr>
          <xdr:cNvGrpSpPr>
            <a:grpSpLocks/>
          </xdr:cNvGrpSpPr>
        </xdr:nvGrpSpPr>
        <xdr:grpSpPr bwMode="auto">
          <a:xfrm>
            <a:off x="2174" y="575"/>
            <a:ext cx="28" cy="28"/>
            <a:chOff x="2174" y="575"/>
            <a:chExt cx="28" cy="28"/>
          </a:xfrm>
        </xdr:grpSpPr>
        <xdr:sp macro="" textlink="">
          <xdr:nvSpPr>
            <xdr:cNvPr id="26" name="Freeform 4818">
              <a:extLst>
                <a:ext uri="{FF2B5EF4-FFF2-40B4-BE49-F238E27FC236}">
                  <a16:creationId xmlns:a16="http://schemas.microsoft.com/office/drawing/2014/main" id="{9A911132-E0B2-9234-6083-7C98FD95ACEA}"/>
                </a:ext>
              </a:extLst>
            </xdr:cNvPr>
            <xdr:cNvSpPr>
              <a:spLocks/>
            </xdr:cNvSpPr>
          </xdr:nvSpPr>
          <xdr:spPr bwMode="auto">
            <a:xfrm>
              <a:off x="2174" y="575"/>
              <a:ext cx="28" cy="28"/>
            </a:xfrm>
            <a:custGeom>
              <a:avLst/>
              <a:gdLst>
                <a:gd name="T0" fmla="+- 0 2195 2174"/>
                <a:gd name="T1" fmla="*/ T0 w 28"/>
                <a:gd name="T2" fmla="+- 0 603 575"/>
                <a:gd name="T3" fmla="*/ 603 h 28"/>
                <a:gd name="T4" fmla="+- 0 2180 2174"/>
                <a:gd name="T5" fmla="*/ T4 w 28"/>
                <a:gd name="T6" fmla="+- 0 603 575"/>
                <a:gd name="T7" fmla="*/ 603 h 28"/>
                <a:gd name="T8" fmla="+- 0 2174 2174"/>
                <a:gd name="T9" fmla="*/ T8 w 28"/>
                <a:gd name="T10" fmla="+- 0 596 575"/>
                <a:gd name="T11" fmla="*/ 596 h 28"/>
                <a:gd name="T12" fmla="+- 0 2174 2174"/>
                <a:gd name="T13" fmla="*/ T12 w 28"/>
                <a:gd name="T14" fmla="+- 0 581 575"/>
                <a:gd name="T15" fmla="*/ 581 h 28"/>
                <a:gd name="T16" fmla="+- 0 2180 2174"/>
                <a:gd name="T17" fmla="*/ T16 w 28"/>
                <a:gd name="T18" fmla="+- 0 575 575"/>
                <a:gd name="T19" fmla="*/ 575 h 28"/>
                <a:gd name="T20" fmla="+- 0 2195 2174"/>
                <a:gd name="T21" fmla="*/ T20 w 28"/>
                <a:gd name="T22" fmla="+- 0 575 575"/>
                <a:gd name="T23" fmla="*/ 575 h 28"/>
                <a:gd name="T24" fmla="+- 0 2201 2174"/>
                <a:gd name="T25" fmla="*/ T24 w 28"/>
                <a:gd name="T26" fmla="+- 0 581 575"/>
                <a:gd name="T27" fmla="*/ 581 h 28"/>
                <a:gd name="T28" fmla="+- 0 2201 2174"/>
                <a:gd name="T29" fmla="*/ T28 w 28"/>
                <a:gd name="T30" fmla="+- 0 596 575"/>
                <a:gd name="T31" fmla="*/ 596 h 28"/>
                <a:gd name="T32" fmla="+- 0 2195 2174"/>
                <a:gd name="T33" fmla="*/ T32 w 28"/>
                <a:gd name="T34" fmla="+- 0 603 575"/>
                <a:gd name="T35" fmla="*/ 603 h 2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8" h="28">
                  <a:moveTo>
                    <a:pt x="21" y="28"/>
                  </a:moveTo>
                  <a:lnTo>
                    <a:pt x="6" y="28"/>
                  </a:lnTo>
                  <a:lnTo>
                    <a:pt x="0" y="21"/>
                  </a:lnTo>
                  <a:lnTo>
                    <a:pt x="0" y="6"/>
                  </a:lnTo>
                  <a:lnTo>
                    <a:pt x="6" y="0"/>
                  </a:lnTo>
                  <a:lnTo>
                    <a:pt x="21" y="0"/>
                  </a:lnTo>
                  <a:lnTo>
                    <a:pt x="27" y="6"/>
                  </a:lnTo>
                  <a:lnTo>
                    <a:pt x="27" y="21"/>
                  </a:lnTo>
                  <a:lnTo>
                    <a:pt x="21" y="2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twoCellAnchor editAs="oneCell">
    <xdr:from>
      <xdr:col>8</xdr:col>
      <xdr:colOff>99333</xdr:colOff>
      <xdr:row>18</xdr:row>
      <xdr:rowOff>146956</xdr:rowOff>
    </xdr:from>
    <xdr:to>
      <xdr:col>15</xdr:col>
      <xdr:colOff>393973</xdr:colOff>
      <xdr:row>29</xdr:row>
      <xdr:rowOff>68036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BB74957C-A13D-5141-4802-FB1305969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4154" y="1466849"/>
          <a:ext cx="4391024" cy="204823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317426</xdr:colOff>
      <xdr:row>114</xdr:row>
      <xdr:rowOff>111088</xdr:rowOff>
    </xdr:from>
    <xdr:to>
      <xdr:col>4</xdr:col>
      <xdr:colOff>47363</xdr:colOff>
      <xdr:row>129</xdr:row>
      <xdr:rowOff>48416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0EC7BB-8A7D-B56A-B9F2-E78D88E20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0014" y="16576264"/>
          <a:ext cx="6304055" cy="26267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562866</xdr:colOff>
      <xdr:row>33</xdr:row>
      <xdr:rowOff>48298</xdr:rowOff>
    </xdr:from>
    <xdr:to>
      <xdr:col>13</xdr:col>
      <xdr:colOff>358919</xdr:colOff>
      <xdr:row>64</xdr:row>
      <xdr:rowOff>106568</xdr:rowOff>
    </xdr:to>
    <xdr:graphicFrame macro="">
      <xdr:nvGraphicFramePr>
        <xdr:cNvPr id="3" name="Chart 9">
          <a:extLst>
            <a:ext uri="{FF2B5EF4-FFF2-40B4-BE49-F238E27FC236}">
              <a16:creationId xmlns:a16="http://schemas.microsoft.com/office/drawing/2014/main" id="{D0702F89-0F88-435B-8B50-F22BC0502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449878</xdr:colOff>
      <xdr:row>65</xdr:row>
      <xdr:rowOff>7207</xdr:rowOff>
    </xdr:from>
    <xdr:to>
      <xdr:col>20</xdr:col>
      <xdr:colOff>402814</xdr:colOff>
      <xdr:row>88</xdr:row>
      <xdr:rowOff>9448</xdr:rowOff>
    </xdr:to>
    <xdr:graphicFrame macro="">
      <xdr:nvGraphicFramePr>
        <xdr:cNvPr id="4" name="Chart 14">
          <a:extLst>
            <a:ext uri="{FF2B5EF4-FFF2-40B4-BE49-F238E27FC236}">
              <a16:creationId xmlns:a16="http://schemas.microsoft.com/office/drawing/2014/main" id="{4EAEA1A3-94E5-4B01-9F1A-8311EA4FB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562866</xdr:colOff>
      <xdr:row>88</xdr:row>
      <xdr:rowOff>89010</xdr:rowOff>
    </xdr:from>
    <xdr:to>
      <xdr:col>13</xdr:col>
      <xdr:colOff>358919</xdr:colOff>
      <xdr:row>112</xdr:row>
      <xdr:rowOff>50481</xdr:rowOff>
    </xdr:to>
    <xdr:graphicFrame macro="">
      <xdr:nvGraphicFramePr>
        <xdr:cNvPr id="5" name="Chart 9">
          <a:extLst>
            <a:ext uri="{FF2B5EF4-FFF2-40B4-BE49-F238E27FC236}">
              <a16:creationId xmlns:a16="http://schemas.microsoft.com/office/drawing/2014/main" id="{E7F15047-CC51-4085-91A0-670A602DC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444659</xdr:colOff>
      <xdr:row>88</xdr:row>
      <xdr:rowOff>89382</xdr:rowOff>
    </xdr:from>
    <xdr:to>
      <xdr:col>20</xdr:col>
      <xdr:colOff>397595</xdr:colOff>
      <xdr:row>112</xdr:row>
      <xdr:rowOff>50481</xdr:rowOff>
    </xdr:to>
    <xdr:graphicFrame macro="">
      <xdr:nvGraphicFramePr>
        <xdr:cNvPr id="6" name="Chart 14">
          <a:extLst>
            <a:ext uri="{FF2B5EF4-FFF2-40B4-BE49-F238E27FC236}">
              <a16:creationId xmlns:a16="http://schemas.microsoft.com/office/drawing/2014/main" id="{01D1FB5F-5F9C-40C4-A382-E9C02A296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562866</xdr:colOff>
      <xdr:row>65</xdr:row>
      <xdr:rowOff>7021</xdr:rowOff>
    </xdr:from>
    <xdr:to>
      <xdr:col>13</xdr:col>
      <xdr:colOff>358919</xdr:colOff>
      <xdr:row>88</xdr:row>
      <xdr:rowOff>9262</xdr:rowOff>
    </xdr:to>
    <xdr:graphicFrame macro="">
      <xdr:nvGraphicFramePr>
        <xdr:cNvPr id="7" name="Chart 9">
          <a:extLst>
            <a:ext uri="{FF2B5EF4-FFF2-40B4-BE49-F238E27FC236}">
              <a16:creationId xmlns:a16="http://schemas.microsoft.com/office/drawing/2014/main" id="{EDAEF022-F712-4A7A-8B4C-32A294AA8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444659</xdr:colOff>
      <xdr:row>33</xdr:row>
      <xdr:rowOff>48298</xdr:rowOff>
    </xdr:from>
    <xdr:to>
      <xdr:col>20</xdr:col>
      <xdr:colOff>397595</xdr:colOff>
      <xdr:row>64</xdr:row>
      <xdr:rowOff>106568</xdr:rowOff>
    </xdr:to>
    <xdr:graphicFrame macro="">
      <xdr:nvGraphicFramePr>
        <xdr:cNvPr id="8" name="Chart 14">
          <a:extLst>
            <a:ext uri="{FF2B5EF4-FFF2-40B4-BE49-F238E27FC236}">
              <a16:creationId xmlns:a16="http://schemas.microsoft.com/office/drawing/2014/main" id="{372A44C5-6825-4149-AD67-4AD532958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33618</xdr:colOff>
      <xdr:row>8</xdr:row>
      <xdr:rowOff>11206</xdr:rowOff>
    </xdr:from>
    <xdr:to>
      <xdr:col>1</xdr:col>
      <xdr:colOff>789940</xdr:colOff>
      <xdr:row>9</xdr:row>
      <xdr:rowOff>176082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AF731621-5B98-4D52-85F6-49F2238E1399}"/>
            </a:ext>
          </a:extLst>
        </xdr:cNvPr>
        <xdr:cNvGrpSpPr>
          <a:grpSpLocks/>
        </xdr:cNvGrpSpPr>
      </xdr:nvGrpSpPr>
      <xdr:grpSpPr bwMode="auto">
        <a:xfrm>
          <a:off x="33618" y="192181"/>
          <a:ext cx="1337347" cy="345851"/>
          <a:chOff x="892" y="153"/>
          <a:chExt cx="2144" cy="552"/>
        </a:xfrm>
      </xdr:grpSpPr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4EBE9776-FA09-852B-544F-6E46DC2E7143}"/>
              </a:ext>
            </a:extLst>
          </xdr:cNvPr>
          <xdr:cNvGrpSpPr>
            <a:grpSpLocks/>
          </xdr:cNvGrpSpPr>
        </xdr:nvGrpSpPr>
        <xdr:grpSpPr bwMode="auto">
          <a:xfrm>
            <a:off x="892" y="153"/>
            <a:ext cx="1036" cy="452"/>
            <a:chOff x="892" y="153"/>
            <a:chExt cx="1036" cy="452"/>
          </a:xfrm>
        </xdr:grpSpPr>
        <xdr:sp macro="" textlink="">
          <xdr:nvSpPr>
            <xdr:cNvPr id="77" name="Freeform 4884">
              <a:extLst>
                <a:ext uri="{FF2B5EF4-FFF2-40B4-BE49-F238E27FC236}">
                  <a16:creationId xmlns:a16="http://schemas.microsoft.com/office/drawing/2014/main" id="{61E19852-34CC-B43E-7711-E432526EE339}"/>
                </a:ext>
              </a:extLst>
            </xdr:cNvPr>
            <xdr:cNvSpPr>
              <a:spLocks/>
            </xdr:cNvSpPr>
          </xdr:nvSpPr>
          <xdr:spPr bwMode="auto">
            <a:xfrm>
              <a:off x="892" y="153"/>
              <a:ext cx="1036" cy="452"/>
            </a:xfrm>
            <a:custGeom>
              <a:avLst/>
              <a:gdLst>
                <a:gd name="T0" fmla="+- 0 1239 892"/>
                <a:gd name="T1" fmla="*/ T0 w 1036"/>
                <a:gd name="T2" fmla="+- 0 604 153"/>
                <a:gd name="T3" fmla="*/ 604 h 452"/>
                <a:gd name="T4" fmla="+- 0 895 892"/>
                <a:gd name="T5" fmla="*/ T4 w 1036"/>
                <a:gd name="T6" fmla="+- 0 604 153"/>
                <a:gd name="T7" fmla="*/ 604 h 452"/>
                <a:gd name="T8" fmla="+- 0 892 892"/>
                <a:gd name="T9" fmla="*/ T8 w 1036"/>
                <a:gd name="T10" fmla="+- 0 601 153"/>
                <a:gd name="T11" fmla="*/ 601 h 452"/>
                <a:gd name="T12" fmla="+- 0 892 892"/>
                <a:gd name="T13" fmla="*/ T12 w 1036"/>
                <a:gd name="T14" fmla="+- 0 595 153"/>
                <a:gd name="T15" fmla="*/ 595 h 452"/>
                <a:gd name="T16" fmla="+- 0 892 892"/>
                <a:gd name="T17" fmla="*/ T16 w 1036"/>
                <a:gd name="T18" fmla="+- 0 594 153"/>
                <a:gd name="T19" fmla="*/ 594 h 452"/>
                <a:gd name="T20" fmla="+- 0 1046 892"/>
                <a:gd name="T21" fmla="*/ T20 w 1036"/>
                <a:gd name="T22" fmla="+- 0 225 153"/>
                <a:gd name="T23" fmla="*/ 225 h 452"/>
                <a:gd name="T24" fmla="+- 0 1087 892"/>
                <a:gd name="T25" fmla="*/ T24 w 1036"/>
                <a:gd name="T26" fmla="+- 0 178 153"/>
                <a:gd name="T27" fmla="*/ 178 h 452"/>
                <a:gd name="T28" fmla="+- 0 1146 892"/>
                <a:gd name="T29" fmla="*/ T28 w 1036"/>
                <a:gd name="T30" fmla="+- 0 155 153"/>
                <a:gd name="T31" fmla="*/ 155 h 452"/>
                <a:gd name="T32" fmla="+- 0 1919 892"/>
                <a:gd name="T33" fmla="*/ T32 w 1036"/>
                <a:gd name="T34" fmla="+- 0 153 153"/>
                <a:gd name="T35" fmla="*/ 153 h 452"/>
                <a:gd name="T36" fmla="+- 0 1923 892"/>
                <a:gd name="T37" fmla="*/ T36 w 1036"/>
                <a:gd name="T38" fmla="+- 0 153 153"/>
                <a:gd name="T39" fmla="*/ 153 h 452"/>
                <a:gd name="T40" fmla="+- 0 1927 892"/>
                <a:gd name="T41" fmla="*/ T40 w 1036"/>
                <a:gd name="T42" fmla="+- 0 156 153"/>
                <a:gd name="T43" fmla="*/ 156 h 452"/>
                <a:gd name="T44" fmla="+- 0 1927 892"/>
                <a:gd name="T45" fmla="*/ T44 w 1036"/>
                <a:gd name="T46" fmla="+- 0 162 153"/>
                <a:gd name="T47" fmla="*/ 162 h 452"/>
                <a:gd name="T48" fmla="+- 0 1927 892"/>
                <a:gd name="T49" fmla="*/ T48 w 1036"/>
                <a:gd name="T50" fmla="+- 0 163 153"/>
                <a:gd name="T51" fmla="*/ 163 h 452"/>
                <a:gd name="T52" fmla="+- 0 1900 892"/>
                <a:gd name="T53" fmla="*/ T52 w 1036"/>
                <a:gd name="T54" fmla="+- 0 227 153"/>
                <a:gd name="T55" fmla="*/ 227 h 452"/>
                <a:gd name="T56" fmla="+- 0 1899 892"/>
                <a:gd name="T57" fmla="*/ T56 w 1036"/>
                <a:gd name="T58" fmla="+- 0 230 153"/>
                <a:gd name="T59" fmla="*/ 230 h 452"/>
                <a:gd name="T60" fmla="+- 0 1896 892"/>
                <a:gd name="T61" fmla="*/ T60 w 1036"/>
                <a:gd name="T62" fmla="+- 0 232 153"/>
                <a:gd name="T63" fmla="*/ 232 h 452"/>
                <a:gd name="T64" fmla="+- 0 1212 892"/>
                <a:gd name="T65" fmla="*/ T64 w 1036"/>
                <a:gd name="T66" fmla="+- 0 233 153"/>
                <a:gd name="T67" fmla="*/ 233 h 452"/>
                <a:gd name="T68" fmla="+- 0 1189 892"/>
                <a:gd name="T69" fmla="*/ T68 w 1036"/>
                <a:gd name="T70" fmla="+- 0 237 153"/>
                <a:gd name="T71" fmla="*/ 237 h 452"/>
                <a:gd name="T72" fmla="+- 0 1135 892"/>
                <a:gd name="T73" fmla="*/ T72 w 1036"/>
                <a:gd name="T74" fmla="+- 0 266 153"/>
                <a:gd name="T75" fmla="*/ 266 h 452"/>
                <a:gd name="T76" fmla="+- 0 1100 892"/>
                <a:gd name="T77" fmla="*/ T76 w 1036"/>
                <a:gd name="T78" fmla="+- 0 330 153"/>
                <a:gd name="T79" fmla="*/ 330 h 452"/>
                <a:gd name="T80" fmla="+- 0 1096 892"/>
                <a:gd name="T81" fmla="*/ T80 w 1036"/>
                <a:gd name="T82" fmla="+- 0 366 153"/>
                <a:gd name="T83" fmla="*/ 366 h 452"/>
                <a:gd name="T84" fmla="+- 0 1098 892"/>
                <a:gd name="T85" fmla="*/ T84 w 1036"/>
                <a:gd name="T86" fmla="+- 0 384 153"/>
                <a:gd name="T87" fmla="*/ 384 h 452"/>
                <a:gd name="T88" fmla="+- 0 1130 892"/>
                <a:gd name="T89" fmla="*/ T88 w 1036"/>
                <a:gd name="T90" fmla="+- 0 446 153"/>
                <a:gd name="T91" fmla="*/ 446 h 452"/>
                <a:gd name="T92" fmla="+- 0 1260 892"/>
                <a:gd name="T93" fmla="*/ T92 w 1036"/>
                <a:gd name="T94" fmla="+- 0 569 153"/>
                <a:gd name="T95" fmla="*/ 569 h 452"/>
                <a:gd name="T96" fmla="+- 0 1264 892"/>
                <a:gd name="T97" fmla="*/ T96 w 1036"/>
                <a:gd name="T98" fmla="+- 0 586 153"/>
                <a:gd name="T99" fmla="*/ 586 h 452"/>
                <a:gd name="T100" fmla="+- 0 1256 892"/>
                <a:gd name="T101" fmla="*/ T100 w 1036"/>
                <a:gd name="T102" fmla="+- 0 599 153"/>
                <a:gd name="T103" fmla="*/ 599 h 452"/>
                <a:gd name="T104" fmla="+- 0 1239 892"/>
                <a:gd name="T105" fmla="*/ T104 w 1036"/>
                <a:gd name="T106" fmla="+- 0 604 153"/>
                <a:gd name="T107" fmla="*/ 604 h 45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  <a:cxn ang="0">
                  <a:pos x="T105" y="T107"/>
                </a:cxn>
              </a:cxnLst>
              <a:rect l="0" t="0" r="r" b="b"/>
              <a:pathLst>
                <a:path w="1036" h="452">
                  <a:moveTo>
                    <a:pt x="347" y="451"/>
                  </a:moveTo>
                  <a:lnTo>
                    <a:pt x="3" y="451"/>
                  </a:lnTo>
                  <a:lnTo>
                    <a:pt x="0" y="448"/>
                  </a:lnTo>
                  <a:lnTo>
                    <a:pt x="0" y="442"/>
                  </a:lnTo>
                  <a:lnTo>
                    <a:pt x="0" y="441"/>
                  </a:lnTo>
                  <a:lnTo>
                    <a:pt x="154" y="72"/>
                  </a:lnTo>
                  <a:lnTo>
                    <a:pt x="195" y="25"/>
                  </a:lnTo>
                  <a:lnTo>
                    <a:pt x="254" y="2"/>
                  </a:lnTo>
                  <a:lnTo>
                    <a:pt x="1027" y="0"/>
                  </a:lnTo>
                  <a:lnTo>
                    <a:pt x="1031" y="0"/>
                  </a:lnTo>
                  <a:lnTo>
                    <a:pt x="1035" y="3"/>
                  </a:lnTo>
                  <a:lnTo>
                    <a:pt x="1035" y="9"/>
                  </a:lnTo>
                  <a:lnTo>
                    <a:pt x="1035" y="10"/>
                  </a:lnTo>
                  <a:lnTo>
                    <a:pt x="1008" y="74"/>
                  </a:lnTo>
                  <a:lnTo>
                    <a:pt x="1007" y="77"/>
                  </a:lnTo>
                  <a:lnTo>
                    <a:pt x="1004" y="79"/>
                  </a:lnTo>
                  <a:lnTo>
                    <a:pt x="320" y="80"/>
                  </a:lnTo>
                  <a:lnTo>
                    <a:pt x="297" y="84"/>
                  </a:lnTo>
                  <a:lnTo>
                    <a:pt x="243" y="113"/>
                  </a:lnTo>
                  <a:lnTo>
                    <a:pt x="208" y="177"/>
                  </a:lnTo>
                  <a:lnTo>
                    <a:pt x="204" y="213"/>
                  </a:lnTo>
                  <a:lnTo>
                    <a:pt x="206" y="231"/>
                  </a:lnTo>
                  <a:lnTo>
                    <a:pt x="238" y="293"/>
                  </a:lnTo>
                  <a:lnTo>
                    <a:pt x="368" y="416"/>
                  </a:lnTo>
                  <a:lnTo>
                    <a:pt x="372" y="433"/>
                  </a:lnTo>
                  <a:lnTo>
                    <a:pt x="364" y="446"/>
                  </a:lnTo>
                  <a:lnTo>
                    <a:pt x="347" y="45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9D0C93EB-8AB4-26DC-6569-9E908A9E0C48}"/>
              </a:ext>
            </a:extLst>
          </xdr:cNvPr>
          <xdr:cNvGrpSpPr>
            <a:grpSpLocks/>
          </xdr:cNvGrpSpPr>
        </xdr:nvGrpSpPr>
        <xdr:grpSpPr bwMode="auto">
          <a:xfrm>
            <a:off x="1554" y="335"/>
            <a:ext cx="299" cy="370"/>
            <a:chOff x="1554" y="335"/>
            <a:chExt cx="299" cy="370"/>
          </a:xfrm>
        </xdr:grpSpPr>
        <xdr:sp macro="" textlink="">
          <xdr:nvSpPr>
            <xdr:cNvPr id="75" name="Freeform 4882">
              <a:extLst>
                <a:ext uri="{FF2B5EF4-FFF2-40B4-BE49-F238E27FC236}">
                  <a16:creationId xmlns:a16="http://schemas.microsoft.com/office/drawing/2014/main" id="{2265937D-A14E-1C04-AFD7-A04901B20ED4}"/>
                </a:ext>
              </a:extLst>
            </xdr:cNvPr>
            <xdr:cNvSpPr>
              <a:spLocks/>
            </xdr:cNvSpPr>
          </xdr:nvSpPr>
          <xdr:spPr bwMode="auto">
            <a:xfrm>
              <a:off x="1554" y="335"/>
              <a:ext cx="299" cy="370"/>
            </a:xfrm>
            <a:custGeom>
              <a:avLst/>
              <a:gdLst>
                <a:gd name="T0" fmla="+- 0 1557 1554"/>
                <a:gd name="T1" fmla="*/ T0 w 299"/>
                <a:gd name="T2" fmla="+- 0 705 335"/>
                <a:gd name="T3" fmla="*/ 705 h 370"/>
                <a:gd name="T4" fmla="+- 0 1554 1554"/>
                <a:gd name="T5" fmla="*/ T4 w 299"/>
                <a:gd name="T6" fmla="+- 0 701 335"/>
                <a:gd name="T7" fmla="*/ 701 h 370"/>
                <a:gd name="T8" fmla="+- 0 1554 1554"/>
                <a:gd name="T9" fmla="*/ T8 w 299"/>
                <a:gd name="T10" fmla="+- 0 696 335"/>
                <a:gd name="T11" fmla="*/ 696 h 370"/>
                <a:gd name="T12" fmla="+- 0 1554 1554"/>
                <a:gd name="T13" fmla="*/ T12 w 299"/>
                <a:gd name="T14" fmla="+- 0 694 335"/>
                <a:gd name="T15" fmla="*/ 694 h 370"/>
                <a:gd name="T16" fmla="+- 0 1555 1554"/>
                <a:gd name="T17" fmla="*/ T16 w 299"/>
                <a:gd name="T18" fmla="+- 0 693 335"/>
                <a:gd name="T19" fmla="*/ 693 h 370"/>
                <a:gd name="T20" fmla="+- 0 1701 1554"/>
                <a:gd name="T21" fmla="*/ T20 w 299"/>
                <a:gd name="T22" fmla="+- 0 340 335"/>
                <a:gd name="T23" fmla="*/ 340 h 370"/>
                <a:gd name="T24" fmla="+- 0 1708 1554"/>
                <a:gd name="T25" fmla="*/ T24 w 299"/>
                <a:gd name="T26" fmla="+- 0 335 335"/>
                <a:gd name="T27" fmla="*/ 335 h 370"/>
                <a:gd name="T28" fmla="+- 0 1848 1554"/>
                <a:gd name="T29" fmla="*/ T28 w 299"/>
                <a:gd name="T30" fmla="+- 0 335 335"/>
                <a:gd name="T31" fmla="*/ 335 h 370"/>
                <a:gd name="T32" fmla="+- 0 1852 1554"/>
                <a:gd name="T33" fmla="*/ T32 w 299"/>
                <a:gd name="T34" fmla="+- 0 338 335"/>
                <a:gd name="T35" fmla="*/ 338 h 370"/>
                <a:gd name="T36" fmla="+- 0 1852 1554"/>
                <a:gd name="T37" fmla="*/ T36 w 299"/>
                <a:gd name="T38" fmla="+- 0 340 335"/>
                <a:gd name="T39" fmla="*/ 340 h 370"/>
                <a:gd name="T40" fmla="+- 0 1852 1554"/>
                <a:gd name="T41" fmla="*/ T40 w 299"/>
                <a:gd name="T42" fmla="+- 0 344 335"/>
                <a:gd name="T43" fmla="*/ 344 h 370"/>
                <a:gd name="T44" fmla="+- 0 1852 1554"/>
                <a:gd name="T45" fmla="*/ T44 w 299"/>
                <a:gd name="T46" fmla="+- 0 345 335"/>
                <a:gd name="T47" fmla="*/ 345 h 370"/>
                <a:gd name="T48" fmla="+- 0 1851 1554"/>
                <a:gd name="T49" fmla="*/ T48 w 299"/>
                <a:gd name="T50" fmla="+- 0 345 335"/>
                <a:gd name="T51" fmla="*/ 345 h 370"/>
                <a:gd name="T52" fmla="+- 0 1738 1554"/>
                <a:gd name="T53" fmla="*/ T52 w 299"/>
                <a:gd name="T54" fmla="+- 0 620 335"/>
                <a:gd name="T55" fmla="*/ 620 h 370"/>
                <a:gd name="T56" fmla="+- 0 1731 1554"/>
                <a:gd name="T57" fmla="*/ T56 w 299"/>
                <a:gd name="T58" fmla="+- 0 633 335"/>
                <a:gd name="T59" fmla="*/ 633 h 370"/>
                <a:gd name="T60" fmla="+- 0 1690 1554"/>
                <a:gd name="T61" fmla="*/ T60 w 299"/>
                <a:gd name="T62" fmla="+- 0 679 335"/>
                <a:gd name="T63" fmla="*/ 679 h 370"/>
                <a:gd name="T64" fmla="+- 0 1631 1554"/>
                <a:gd name="T65" fmla="*/ T64 w 299"/>
                <a:gd name="T66" fmla="+- 0 703 335"/>
                <a:gd name="T67" fmla="*/ 703 h 370"/>
                <a:gd name="T68" fmla="+- 0 1609 1554"/>
                <a:gd name="T69" fmla="*/ T68 w 299"/>
                <a:gd name="T70" fmla="+- 0 705 335"/>
                <a:gd name="T71" fmla="*/ 705 h 370"/>
                <a:gd name="T72" fmla="+- 0 1557 1554"/>
                <a:gd name="T73" fmla="*/ T72 w 299"/>
                <a:gd name="T74" fmla="+- 0 705 335"/>
                <a:gd name="T75" fmla="*/ 705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</a:cxnLst>
              <a:rect l="0" t="0" r="r" b="b"/>
              <a:pathLst>
                <a:path w="299" h="370">
                  <a:moveTo>
                    <a:pt x="3" y="370"/>
                  </a:moveTo>
                  <a:lnTo>
                    <a:pt x="0" y="366"/>
                  </a:lnTo>
                  <a:lnTo>
                    <a:pt x="0" y="361"/>
                  </a:lnTo>
                  <a:lnTo>
                    <a:pt x="0" y="359"/>
                  </a:lnTo>
                  <a:lnTo>
                    <a:pt x="1" y="358"/>
                  </a:lnTo>
                  <a:lnTo>
                    <a:pt x="147" y="5"/>
                  </a:lnTo>
                  <a:lnTo>
                    <a:pt x="154" y="0"/>
                  </a:lnTo>
                  <a:lnTo>
                    <a:pt x="294" y="0"/>
                  </a:lnTo>
                  <a:lnTo>
                    <a:pt x="298" y="3"/>
                  </a:lnTo>
                  <a:lnTo>
                    <a:pt x="298" y="5"/>
                  </a:lnTo>
                  <a:lnTo>
                    <a:pt x="298" y="9"/>
                  </a:lnTo>
                  <a:lnTo>
                    <a:pt x="298" y="10"/>
                  </a:lnTo>
                  <a:lnTo>
                    <a:pt x="297" y="10"/>
                  </a:lnTo>
                  <a:lnTo>
                    <a:pt x="184" y="285"/>
                  </a:lnTo>
                  <a:lnTo>
                    <a:pt x="177" y="298"/>
                  </a:lnTo>
                  <a:lnTo>
                    <a:pt x="136" y="344"/>
                  </a:lnTo>
                  <a:lnTo>
                    <a:pt x="77" y="368"/>
                  </a:lnTo>
                  <a:lnTo>
                    <a:pt x="55" y="370"/>
                  </a:lnTo>
                  <a:lnTo>
                    <a:pt x="3" y="3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6" name="Freeform 4881">
              <a:extLst>
                <a:ext uri="{FF2B5EF4-FFF2-40B4-BE49-F238E27FC236}">
                  <a16:creationId xmlns:a16="http://schemas.microsoft.com/office/drawing/2014/main" id="{3D43A1E2-B748-DD56-3DE2-DAD11929FEE6}"/>
                </a:ext>
              </a:extLst>
            </xdr:cNvPr>
            <xdr:cNvSpPr>
              <a:spLocks/>
            </xdr:cNvSpPr>
          </xdr:nvSpPr>
          <xdr:spPr bwMode="auto">
            <a:xfrm>
              <a:off x="1554" y="335"/>
              <a:ext cx="299" cy="370"/>
            </a:xfrm>
            <a:custGeom>
              <a:avLst/>
              <a:gdLst>
                <a:gd name="T0" fmla="+- 0 1738 1554"/>
                <a:gd name="T1" fmla="*/ T0 w 299"/>
                <a:gd name="T2" fmla="+- 0 620 335"/>
                <a:gd name="T3" fmla="*/ 620 h 370"/>
                <a:gd name="T4" fmla="+- 0 1738 1554"/>
                <a:gd name="T5" fmla="*/ T4 w 299"/>
                <a:gd name="T6" fmla="+- 0 620 335"/>
                <a:gd name="T7" fmla="*/ 620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299" h="370">
                  <a:moveTo>
                    <a:pt x="184" y="285"/>
                  </a:moveTo>
                  <a:lnTo>
                    <a:pt x="184" y="28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9F94D29B-1215-C986-02A1-DFEA1B9A5E3E}"/>
              </a:ext>
            </a:extLst>
          </xdr:cNvPr>
          <xdr:cNvGrpSpPr>
            <a:grpSpLocks/>
          </xdr:cNvGrpSpPr>
        </xdr:nvGrpSpPr>
        <xdr:grpSpPr bwMode="auto">
          <a:xfrm>
            <a:off x="1200" y="335"/>
            <a:ext cx="394" cy="370"/>
            <a:chOff x="1200" y="335"/>
            <a:chExt cx="394" cy="370"/>
          </a:xfrm>
        </xdr:grpSpPr>
        <xdr:sp macro="" textlink="">
          <xdr:nvSpPr>
            <xdr:cNvPr id="74" name="Freeform 4879">
              <a:extLst>
                <a:ext uri="{FF2B5EF4-FFF2-40B4-BE49-F238E27FC236}">
                  <a16:creationId xmlns:a16="http://schemas.microsoft.com/office/drawing/2014/main" id="{E446CE24-C75B-8CE9-BCF7-B482621944E0}"/>
                </a:ext>
              </a:extLst>
            </xdr:cNvPr>
            <xdr:cNvSpPr>
              <a:spLocks/>
            </xdr:cNvSpPr>
          </xdr:nvSpPr>
          <xdr:spPr bwMode="auto">
            <a:xfrm>
              <a:off x="1200" y="335"/>
              <a:ext cx="394" cy="370"/>
            </a:xfrm>
            <a:custGeom>
              <a:avLst/>
              <a:gdLst>
                <a:gd name="T0" fmla="+- 0 1439 1200"/>
                <a:gd name="T1" fmla="*/ T0 w 394"/>
                <a:gd name="T2" fmla="+- 0 705 335"/>
                <a:gd name="T3" fmla="*/ 705 h 370"/>
                <a:gd name="T4" fmla="+- 0 1290 1200"/>
                <a:gd name="T5" fmla="*/ T4 w 394"/>
                <a:gd name="T6" fmla="+- 0 705 335"/>
                <a:gd name="T7" fmla="*/ 705 h 370"/>
                <a:gd name="T8" fmla="+- 0 1289 1200"/>
                <a:gd name="T9" fmla="*/ T8 w 394"/>
                <a:gd name="T10" fmla="+- 0 704 335"/>
                <a:gd name="T11" fmla="*/ 704 h 370"/>
                <a:gd name="T12" fmla="+- 0 1289 1200"/>
                <a:gd name="T13" fmla="*/ T12 w 394"/>
                <a:gd name="T14" fmla="+- 0 702 335"/>
                <a:gd name="T15" fmla="*/ 702 h 370"/>
                <a:gd name="T16" fmla="+- 0 1290 1200"/>
                <a:gd name="T17" fmla="*/ T16 w 394"/>
                <a:gd name="T18" fmla="+- 0 701 335"/>
                <a:gd name="T19" fmla="*/ 701 h 370"/>
                <a:gd name="T20" fmla="+- 0 1298 1200"/>
                <a:gd name="T21" fmla="*/ T20 w 394"/>
                <a:gd name="T22" fmla="+- 0 697 335"/>
                <a:gd name="T23" fmla="*/ 697 h 370"/>
                <a:gd name="T24" fmla="+- 0 1312 1200"/>
                <a:gd name="T25" fmla="*/ T24 w 394"/>
                <a:gd name="T26" fmla="+- 0 688 335"/>
                <a:gd name="T27" fmla="*/ 688 h 370"/>
                <a:gd name="T28" fmla="+- 0 1351 1200"/>
                <a:gd name="T29" fmla="*/ T28 w 394"/>
                <a:gd name="T30" fmla="+- 0 641 335"/>
                <a:gd name="T31" fmla="*/ 641 h 370"/>
                <a:gd name="T32" fmla="+- 0 1366 1200"/>
                <a:gd name="T33" fmla="*/ T32 w 394"/>
                <a:gd name="T34" fmla="+- 0 593 335"/>
                <a:gd name="T35" fmla="*/ 593 h 370"/>
                <a:gd name="T36" fmla="+- 0 1366 1200"/>
                <a:gd name="T37" fmla="*/ T36 w 394"/>
                <a:gd name="T38" fmla="+- 0 564 335"/>
                <a:gd name="T39" fmla="*/ 564 h 370"/>
                <a:gd name="T40" fmla="+- 0 1339 1200"/>
                <a:gd name="T41" fmla="*/ T40 w 394"/>
                <a:gd name="T42" fmla="+- 0 503 335"/>
                <a:gd name="T43" fmla="*/ 503 h 370"/>
                <a:gd name="T44" fmla="+- 0 1201 1200"/>
                <a:gd name="T45" fmla="*/ T44 w 394"/>
                <a:gd name="T46" fmla="+- 0 368 335"/>
                <a:gd name="T47" fmla="*/ 368 h 370"/>
                <a:gd name="T48" fmla="+- 0 1200 1200"/>
                <a:gd name="T49" fmla="*/ T48 w 394"/>
                <a:gd name="T50" fmla="+- 0 352 335"/>
                <a:gd name="T51" fmla="*/ 352 h 370"/>
                <a:gd name="T52" fmla="+- 0 1209 1200"/>
                <a:gd name="T53" fmla="*/ T52 w 394"/>
                <a:gd name="T54" fmla="+- 0 340 335"/>
                <a:gd name="T55" fmla="*/ 340 h 370"/>
                <a:gd name="T56" fmla="+- 0 1224 1200"/>
                <a:gd name="T57" fmla="*/ T56 w 394"/>
                <a:gd name="T58" fmla="+- 0 335 335"/>
                <a:gd name="T59" fmla="*/ 335 h 370"/>
                <a:gd name="T60" fmla="+- 0 1590 1200"/>
                <a:gd name="T61" fmla="*/ T60 w 394"/>
                <a:gd name="T62" fmla="+- 0 335 335"/>
                <a:gd name="T63" fmla="*/ 335 h 370"/>
                <a:gd name="T64" fmla="+- 0 1593 1200"/>
                <a:gd name="T65" fmla="*/ T64 w 394"/>
                <a:gd name="T66" fmla="+- 0 338 335"/>
                <a:gd name="T67" fmla="*/ 338 h 370"/>
                <a:gd name="T68" fmla="+- 0 1593 1200"/>
                <a:gd name="T69" fmla="*/ T68 w 394"/>
                <a:gd name="T70" fmla="+- 0 344 335"/>
                <a:gd name="T71" fmla="*/ 344 h 370"/>
                <a:gd name="T72" fmla="+- 0 1593 1200"/>
                <a:gd name="T73" fmla="*/ T72 w 394"/>
                <a:gd name="T74" fmla="+- 0 345 335"/>
                <a:gd name="T75" fmla="*/ 345 h 370"/>
                <a:gd name="T76" fmla="+- 0 1593 1200"/>
                <a:gd name="T77" fmla="*/ T76 w 394"/>
                <a:gd name="T78" fmla="+- 0 345 335"/>
                <a:gd name="T79" fmla="*/ 345 h 370"/>
                <a:gd name="T80" fmla="+- 0 1446 1200"/>
                <a:gd name="T81" fmla="*/ T80 w 394"/>
                <a:gd name="T82" fmla="+- 0 700 335"/>
                <a:gd name="T83" fmla="*/ 700 h 370"/>
                <a:gd name="T84" fmla="+- 0 1439 1200"/>
                <a:gd name="T85" fmla="*/ T84 w 394"/>
                <a:gd name="T86" fmla="+- 0 705 335"/>
                <a:gd name="T87" fmla="*/ 705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</a:cxnLst>
              <a:rect l="0" t="0" r="r" b="b"/>
              <a:pathLst>
                <a:path w="394" h="370">
                  <a:moveTo>
                    <a:pt x="239" y="370"/>
                  </a:moveTo>
                  <a:lnTo>
                    <a:pt x="90" y="370"/>
                  </a:lnTo>
                  <a:lnTo>
                    <a:pt x="89" y="369"/>
                  </a:lnTo>
                  <a:lnTo>
                    <a:pt x="89" y="367"/>
                  </a:lnTo>
                  <a:lnTo>
                    <a:pt x="90" y="366"/>
                  </a:lnTo>
                  <a:lnTo>
                    <a:pt x="98" y="362"/>
                  </a:lnTo>
                  <a:lnTo>
                    <a:pt x="112" y="353"/>
                  </a:lnTo>
                  <a:lnTo>
                    <a:pt x="151" y="306"/>
                  </a:lnTo>
                  <a:lnTo>
                    <a:pt x="166" y="258"/>
                  </a:lnTo>
                  <a:lnTo>
                    <a:pt x="166" y="229"/>
                  </a:lnTo>
                  <a:lnTo>
                    <a:pt x="139" y="168"/>
                  </a:lnTo>
                  <a:lnTo>
                    <a:pt x="1" y="33"/>
                  </a:lnTo>
                  <a:lnTo>
                    <a:pt x="0" y="17"/>
                  </a:lnTo>
                  <a:lnTo>
                    <a:pt x="9" y="5"/>
                  </a:lnTo>
                  <a:lnTo>
                    <a:pt x="24" y="0"/>
                  </a:lnTo>
                  <a:lnTo>
                    <a:pt x="390" y="0"/>
                  </a:lnTo>
                  <a:lnTo>
                    <a:pt x="393" y="3"/>
                  </a:lnTo>
                  <a:lnTo>
                    <a:pt x="393" y="9"/>
                  </a:lnTo>
                  <a:lnTo>
                    <a:pt x="393" y="10"/>
                  </a:lnTo>
                  <a:lnTo>
                    <a:pt x="246" y="365"/>
                  </a:lnTo>
                  <a:lnTo>
                    <a:pt x="239" y="3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7E249900-017E-2C20-9C33-F08AB7C9B6F0}"/>
              </a:ext>
            </a:extLst>
          </xdr:cNvPr>
          <xdr:cNvGrpSpPr>
            <a:grpSpLocks/>
          </xdr:cNvGrpSpPr>
        </xdr:nvGrpSpPr>
        <xdr:grpSpPr bwMode="auto">
          <a:xfrm>
            <a:off x="1986" y="492"/>
            <a:ext cx="11" cy="16"/>
            <a:chOff x="1986" y="492"/>
            <a:chExt cx="11" cy="16"/>
          </a:xfrm>
        </xdr:grpSpPr>
        <xdr:sp macro="" textlink="">
          <xdr:nvSpPr>
            <xdr:cNvPr id="73" name="Freeform 4877">
              <a:extLst>
                <a:ext uri="{FF2B5EF4-FFF2-40B4-BE49-F238E27FC236}">
                  <a16:creationId xmlns:a16="http://schemas.microsoft.com/office/drawing/2014/main" id="{2AFA9B7C-F262-26FD-2135-4A95DF0DA73B}"/>
                </a:ext>
              </a:extLst>
            </xdr:cNvPr>
            <xdr:cNvSpPr>
              <a:spLocks/>
            </xdr:cNvSpPr>
          </xdr:nvSpPr>
          <xdr:spPr bwMode="auto">
            <a:xfrm>
              <a:off x="1986" y="492"/>
              <a:ext cx="11" cy="16"/>
            </a:xfrm>
            <a:custGeom>
              <a:avLst/>
              <a:gdLst>
                <a:gd name="T0" fmla="+- 0 1986 1986"/>
                <a:gd name="T1" fmla="*/ T0 w 11"/>
                <a:gd name="T2" fmla="+- 0 500 492"/>
                <a:gd name="T3" fmla="*/ 500 h 16"/>
                <a:gd name="T4" fmla="+- 0 1997 1986"/>
                <a:gd name="T5" fmla="*/ T4 w 11"/>
                <a:gd name="T6" fmla="+- 0 500 492"/>
                <a:gd name="T7" fmla="*/ 500 h 1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11" h="16">
                  <a:moveTo>
                    <a:pt x="0" y="8"/>
                  </a:moveTo>
                  <a:lnTo>
                    <a:pt x="11" y="8"/>
                  </a:lnTo>
                </a:path>
              </a:pathLst>
            </a:custGeom>
            <a:noFill/>
            <a:ln w="11238">
              <a:solidFill>
                <a:srgbClr val="001E4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920FDF1A-688F-E3EE-0574-89352E1DB8F5}"/>
              </a:ext>
            </a:extLst>
          </xdr:cNvPr>
          <xdr:cNvGrpSpPr>
            <a:grpSpLocks/>
          </xdr:cNvGrpSpPr>
        </xdr:nvGrpSpPr>
        <xdr:grpSpPr bwMode="auto">
          <a:xfrm>
            <a:off x="1927" y="495"/>
            <a:ext cx="36" cy="106"/>
            <a:chOff x="1927" y="495"/>
            <a:chExt cx="36" cy="106"/>
          </a:xfrm>
        </xdr:grpSpPr>
        <xdr:sp macro="" textlink="">
          <xdr:nvSpPr>
            <xdr:cNvPr id="71" name="Freeform 4875">
              <a:extLst>
                <a:ext uri="{FF2B5EF4-FFF2-40B4-BE49-F238E27FC236}">
                  <a16:creationId xmlns:a16="http://schemas.microsoft.com/office/drawing/2014/main" id="{FE9B63D3-AC37-26D0-9281-FBFD6AB8B52C}"/>
                </a:ext>
              </a:extLst>
            </xdr:cNvPr>
            <xdr:cNvSpPr>
              <a:spLocks/>
            </xdr:cNvSpPr>
          </xdr:nvSpPr>
          <xdr:spPr bwMode="auto">
            <a:xfrm>
              <a:off x="1927" y="495"/>
              <a:ext cx="36" cy="106"/>
            </a:xfrm>
            <a:custGeom>
              <a:avLst/>
              <a:gdLst>
                <a:gd name="T0" fmla="+- 0 1951 1927"/>
                <a:gd name="T1" fmla="*/ T0 w 36"/>
                <a:gd name="T2" fmla="+- 0 591 495"/>
                <a:gd name="T3" fmla="*/ 591 h 106"/>
                <a:gd name="T4" fmla="+- 0 1940 1927"/>
                <a:gd name="T5" fmla="*/ T4 w 36"/>
                <a:gd name="T6" fmla="+- 0 591 495"/>
                <a:gd name="T7" fmla="*/ 591 h 106"/>
                <a:gd name="T8" fmla="+- 0 1940 1927"/>
                <a:gd name="T9" fmla="*/ T8 w 36"/>
                <a:gd name="T10" fmla="+- 0 505 495"/>
                <a:gd name="T11" fmla="*/ 505 h 106"/>
                <a:gd name="T12" fmla="+- 0 1928 1927"/>
                <a:gd name="T13" fmla="*/ T12 w 36"/>
                <a:gd name="T14" fmla="+- 0 505 495"/>
                <a:gd name="T15" fmla="*/ 505 h 106"/>
                <a:gd name="T16" fmla="+- 0 1928 1927"/>
                <a:gd name="T17" fmla="*/ T16 w 36"/>
                <a:gd name="T18" fmla="+- 0 495 495"/>
                <a:gd name="T19" fmla="*/ 495 h 106"/>
                <a:gd name="T20" fmla="+- 0 1951 1927"/>
                <a:gd name="T21" fmla="*/ T20 w 36"/>
                <a:gd name="T22" fmla="+- 0 495 495"/>
                <a:gd name="T23" fmla="*/ 495 h 106"/>
                <a:gd name="T24" fmla="+- 0 1951 1927"/>
                <a:gd name="T25" fmla="*/ T24 w 36"/>
                <a:gd name="T26" fmla="+- 0 591 495"/>
                <a:gd name="T27" fmla="*/ 591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6" h="106">
                  <a:moveTo>
                    <a:pt x="24" y="96"/>
                  </a:moveTo>
                  <a:lnTo>
                    <a:pt x="13" y="96"/>
                  </a:lnTo>
                  <a:lnTo>
                    <a:pt x="13" y="10"/>
                  </a:lnTo>
                  <a:lnTo>
                    <a:pt x="1" y="10"/>
                  </a:lnTo>
                  <a:lnTo>
                    <a:pt x="1" y="0"/>
                  </a:lnTo>
                  <a:lnTo>
                    <a:pt x="24" y="0"/>
                  </a:lnTo>
                  <a:lnTo>
                    <a:pt x="24" y="9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2" name="Freeform 4874">
              <a:extLst>
                <a:ext uri="{FF2B5EF4-FFF2-40B4-BE49-F238E27FC236}">
                  <a16:creationId xmlns:a16="http://schemas.microsoft.com/office/drawing/2014/main" id="{FAC69EF0-510F-6727-A8C9-94E4F887962F}"/>
                </a:ext>
              </a:extLst>
            </xdr:cNvPr>
            <xdr:cNvSpPr>
              <a:spLocks/>
            </xdr:cNvSpPr>
          </xdr:nvSpPr>
          <xdr:spPr bwMode="auto">
            <a:xfrm>
              <a:off x="1927" y="495"/>
              <a:ext cx="36" cy="106"/>
            </a:xfrm>
            <a:custGeom>
              <a:avLst/>
              <a:gdLst>
                <a:gd name="T0" fmla="+- 0 1963 1927"/>
                <a:gd name="T1" fmla="*/ T0 w 36"/>
                <a:gd name="T2" fmla="+- 0 600 495"/>
                <a:gd name="T3" fmla="*/ 600 h 106"/>
                <a:gd name="T4" fmla="+- 0 1927 1927"/>
                <a:gd name="T5" fmla="*/ T4 w 36"/>
                <a:gd name="T6" fmla="+- 0 600 495"/>
                <a:gd name="T7" fmla="*/ 600 h 106"/>
                <a:gd name="T8" fmla="+- 0 1927 1927"/>
                <a:gd name="T9" fmla="*/ T8 w 36"/>
                <a:gd name="T10" fmla="+- 0 591 495"/>
                <a:gd name="T11" fmla="*/ 591 h 106"/>
                <a:gd name="T12" fmla="+- 0 1963 1927"/>
                <a:gd name="T13" fmla="*/ T12 w 36"/>
                <a:gd name="T14" fmla="+- 0 591 495"/>
                <a:gd name="T15" fmla="*/ 591 h 106"/>
                <a:gd name="T16" fmla="+- 0 1963 1927"/>
                <a:gd name="T17" fmla="*/ T16 w 36"/>
                <a:gd name="T18" fmla="+- 0 600 495"/>
                <a:gd name="T19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6" h="106">
                  <a:moveTo>
                    <a:pt x="36" y="105"/>
                  </a:moveTo>
                  <a:lnTo>
                    <a:pt x="0" y="105"/>
                  </a:lnTo>
                  <a:lnTo>
                    <a:pt x="0" y="96"/>
                  </a:lnTo>
                  <a:lnTo>
                    <a:pt x="36" y="96"/>
                  </a:lnTo>
                  <a:lnTo>
                    <a:pt x="36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4F4CF531-2689-DB47-F703-CEC9E91F6C87}"/>
              </a:ext>
            </a:extLst>
          </xdr:cNvPr>
          <xdr:cNvGrpSpPr>
            <a:grpSpLocks/>
          </xdr:cNvGrpSpPr>
        </xdr:nvGrpSpPr>
        <xdr:grpSpPr bwMode="auto">
          <a:xfrm>
            <a:off x="1976" y="522"/>
            <a:ext cx="36" cy="79"/>
            <a:chOff x="1976" y="522"/>
            <a:chExt cx="36" cy="79"/>
          </a:xfrm>
        </xdr:grpSpPr>
        <xdr:sp macro="" textlink="">
          <xdr:nvSpPr>
            <xdr:cNvPr id="69" name="Freeform 4872">
              <a:extLst>
                <a:ext uri="{FF2B5EF4-FFF2-40B4-BE49-F238E27FC236}">
                  <a16:creationId xmlns:a16="http://schemas.microsoft.com/office/drawing/2014/main" id="{B79A5274-7872-8066-CFB1-B0B8D945EA55}"/>
                </a:ext>
              </a:extLst>
            </xdr:cNvPr>
            <xdr:cNvSpPr>
              <a:spLocks/>
            </xdr:cNvSpPr>
          </xdr:nvSpPr>
          <xdr:spPr bwMode="auto">
            <a:xfrm>
              <a:off x="1976" y="522"/>
              <a:ext cx="36" cy="79"/>
            </a:xfrm>
            <a:custGeom>
              <a:avLst/>
              <a:gdLst>
                <a:gd name="T0" fmla="+- 0 1999 1976"/>
                <a:gd name="T1" fmla="*/ T0 w 36"/>
                <a:gd name="T2" fmla="+- 0 591 522"/>
                <a:gd name="T3" fmla="*/ 591 h 79"/>
                <a:gd name="T4" fmla="+- 0 1989 1976"/>
                <a:gd name="T5" fmla="*/ T4 w 36"/>
                <a:gd name="T6" fmla="+- 0 591 522"/>
                <a:gd name="T7" fmla="*/ 591 h 79"/>
                <a:gd name="T8" fmla="+- 0 1989 1976"/>
                <a:gd name="T9" fmla="*/ T8 w 36"/>
                <a:gd name="T10" fmla="+- 0 532 522"/>
                <a:gd name="T11" fmla="*/ 532 h 79"/>
                <a:gd name="T12" fmla="+- 0 1976 1976"/>
                <a:gd name="T13" fmla="*/ T12 w 36"/>
                <a:gd name="T14" fmla="+- 0 532 522"/>
                <a:gd name="T15" fmla="*/ 532 h 79"/>
                <a:gd name="T16" fmla="+- 0 1976 1976"/>
                <a:gd name="T17" fmla="*/ T16 w 36"/>
                <a:gd name="T18" fmla="+- 0 522 522"/>
                <a:gd name="T19" fmla="*/ 522 h 79"/>
                <a:gd name="T20" fmla="+- 0 1999 1976"/>
                <a:gd name="T21" fmla="*/ T20 w 36"/>
                <a:gd name="T22" fmla="+- 0 522 522"/>
                <a:gd name="T23" fmla="*/ 522 h 79"/>
                <a:gd name="T24" fmla="+- 0 1999 1976"/>
                <a:gd name="T25" fmla="*/ T24 w 36"/>
                <a:gd name="T26" fmla="+- 0 591 522"/>
                <a:gd name="T27" fmla="*/ 591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6" h="79">
                  <a:moveTo>
                    <a:pt x="23" y="69"/>
                  </a:moveTo>
                  <a:lnTo>
                    <a:pt x="13" y="69"/>
                  </a:lnTo>
                  <a:lnTo>
                    <a:pt x="13" y="10"/>
                  </a:lnTo>
                  <a:lnTo>
                    <a:pt x="0" y="10"/>
                  </a:lnTo>
                  <a:lnTo>
                    <a:pt x="0" y="0"/>
                  </a:lnTo>
                  <a:lnTo>
                    <a:pt x="23" y="0"/>
                  </a:lnTo>
                  <a:lnTo>
                    <a:pt x="23" y="6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0" name="Freeform 4871">
              <a:extLst>
                <a:ext uri="{FF2B5EF4-FFF2-40B4-BE49-F238E27FC236}">
                  <a16:creationId xmlns:a16="http://schemas.microsoft.com/office/drawing/2014/main" id="{68E22082-DE5F-8A80-3B32-0A49A7A97E52}"/>
                </a:ext>
              </a:extLst>
            </xdr:cNvPr>
            <xdr:cNvSpPr>
              <a:spLocks/>
            </xdr:cNvSpPr>
          </xdr:nvSpPr>
          <xdr:spPr bwMode="auto">
            <a:xfrm>
              <a:off x="1976" y="522"/>
              <a:ext cx="36" cy="79"/>
            </a:xfrm>
            <a:custGeom>
              <a:avLst/>
              <a:gdLst>
                <a:gd name="T0" fmla="+- 0 2011 1976"/>
                <a:gd name="T1" fmla="*/ T0 w 36"/>
                <a:gd name="T2" fmla="+- 0 600 522"/>
                <a:gd name="T3" fmla="*/ 600 h 79"/>
                <a:gd name="T4" fmla="+- 0 1976 1976"/>
                <a:gd name="T5" fmla="*/ T4 w 36"/>
                <a:gd name="T6" fmla="+- 0 600 522"/>
                <a:gd name="T7" fmla="*/ 600 h 79"/>
                <a:gd name="T8" fmla="+- 0 1976 1976"/>
                <a:gd name="T9" fmla="*/ T8 w 36"/>
                <a:gd name="T10" fmla="+- 0 591 522"/>
                <a:gd name="T11" fmla="*/ 591 h 79"/>
                <a:gd name="T12" fmla="+- 0 2011 1976"/>
                <a:gd name="T13" fmla="*/ T12 w 36"/>
                <a:gd name="T14" fmla="+- 0 591 522"/>
                <a:gd name="T15" fmla="*/ 591 h 79"/>
                <a:gd name="T16" fmla="+- 0 2011 1976"/>
                <a:gd name="T17" fmla="*/ T16 w 36"/>
                <a:gd name="T18" fmla="+- 0 600 522"/>
                <a:gd name="T19" fmla="*/ 600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6" h="79">
                  <a:moveTo>
                    <a:pt x="35" y="78"/>
                  </a:moveTo>
                  <a:lnTo>
                    <a:pt x="0" y="78"/>
                  </a:lnTo>
                  <a:lnTo>
                    <a:pt x="0" y="69"/>
                  </a:lnTo>
                  <a:lnTo>
                    <a:pt x="35" y="69"/>
                  </a:lnTo>
                  <a:lnTo>
                    <a:pt x="35" y="7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830FA1BC-347D-452D-75CF-019D14E9FF0A}"/>
              </a:ext>
            </a:extLst>
          </xdr:cNvPr>
          <xdr:cNvGrpSpPr>
            <a:grpSpLocks/>
          </xdr:cNvGrpSpPr>
        </xdr:nvGrpSpPr>
        <xdr:grpSpPr bwMode="auto">
          <a:xfrm>
            <a:off x="2022" y="494"/>
            <a:ext cx="39" cy="107"/>
            <a:chOff x="2022" y="494"/>
            <a:chExt cx="39" cy="107"/>
          </a:xfrm>
        </xdr:grpSpPr>
        <xdr:sp macro="" textlink="">
          <xdr:nvSpPr>
            <xdr:cNvPr id="65" name="Freeform 4869">
              <a:extLst>
                <a:ext uri="{FF2B5EF4-FFF2-40B4-BE49-F238E27FC236}">
                  <a16:creationId xmlns:a16="http://schemas.microsoft.com/office/drawing/2014/main" id="{CECD7F76-43DB-50AB-ADF3-EE12A595C675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45 2022"/>
                <a:gd name="T1" fmla="*/ T0 w 39"/>
                <a:gd name="T2" fmla="+- 0 522 494"/>
                <a:gd name="T3" fmla="*/ 522 h 107"/>
                <a:gd name="T4" fmla="+- 0 2035 2022"/>
                <a:gd name="T5" fmla="*/ T4 w 39"/>
                <a:gd name="T6" fmla="+- 0 522 494"/>
                <a:gd name="T7" fmla="*/ 522 h 107"/>
                <a:gd name="T8" fmla="+- 0 2035 2022"/>
                <a:gd name="T9" fmla="*/ T8 w 39"/>
                <a:gd name="T10" fmla="+- 0 521 494"/>
                <a:gd name="T11" fmla="*/ 521 h 107"/>
                <a:gd name="T12" fmla="+- 0 2035 2022"/>
                <a:gd name="T13" fmla="*/ T12 w 39"/>
                <a:gd name="T14" fmla="+- 0 513 494"/>
                <a:gd name="T15" fmla="*/ 513 h 107"/>
                <a:gd name="T16" fmla="+- 0 2035 2022"/>
                <a:gd name="T17" fmla="*/ T16 w 39"/>
                <a:gd name="T18" fmla="+- 0 506 494"/>
                <a:gd name="T19" fmla="*/ 506 h 107"/>
                <a:gd name="T20" fmla="+- 0 2042 2022"/>
                <a:gd name="T21" fmla="*/ T20 w 39"/>
                <a:gd name="T22" fmla="+- 0 500 494"/>
                <a:gd name="T23" fmla="*/ 500 h 107"/>
                <a:gd name="T24" fmla="+- 0 2046 2022"/>
                <a:gd name="T25" fmla="*/ T24 w 39"/>
                <a:gd name="T26" fmla="+- 0 496 494"/>
                <a:gd name="T27" fmla="*/ 496 h 107"/>
                <a:gd name="T28" fmla="+- 0 2052 2022"/>
                <a:gd name="T29" fmla="*/ T28 w 39"/>
                <a:gd name="T30" fmla="+- 0 494 494"/>
                <a:gd name="T31" fmla="*/ 494 h 107"/>
                <a:gd name="T32" fmla="+- 0 2061 2022"/>
                <a:gd name="T33" fmla="*/ T32 w 39"/>
                <a:gd name="T34" fmla="+- 0 494 494"/>
                <a:gd name="T35" fmla="*/ 494 h 107"/>
                <a:gd name="T36" fmla="+- 0 2061 2022"/>
                <a:gd name="T37" fmla="*/ T36 w 39"/>
                <a:gd name="T38" fmla="+- 0 503 494"/>
                <a:gd name="T39" fmla="*/ 503 h 107"/>
                <a:gd name="T40" fmla="+- 0 2056 2022"/>
                <a:gd name="T41" fmla="*/ T40 w 39"/>
                <a:gd name="T42" fmla="+- 0 503 494"/>
                <a:gd name="T43" fmla="*/ 503 h 107"/>
                <a:gd name="T44" fmla="+- 0 2053 2022"/>
                <a:gd name="T45" fmla="*/ T44 w 39"/>
                <a:gd name="T46" fmla="+- 0 505 494"/>
                <a:gd name="T47" fmla="*/ 505 h 107"/>
                <a:gd name="T48" fmla="+- 0 2050 2022"/>
                <a:gd name="T49" fmla="*/ T48 w 39"/>
                <a:gd name="T50" fmla="+- 0 507 494"/>
                <a:gd name="T51" fmla="*/ 507 h 107"/>
                <a:gd name="T52" fmla="+- 0 2045 2022"/>
                <a:gd name="T53" fmla="*/ T52 w 39"/>
                <a:gd name="T54" fmla="+- 0 510 494"/>
                <a:gd name="T55" fmla="*/ 510 h 107"/>
                <a:gd name="T56" fmla="+- 0 2045 2022"/>
                <a:gd name="T57" fmla="*/ T56 w 39"/>
                <a:gd name="T58" fmla="+- 0 515 494"/>
                <a:gd name="T59" fmla="*/ 515 h 107"/>
                <a:gd name="T60" fmla="+- 0 2045 2022"/>
                <a:gd name="T61" fmla="*/ T60 w 39"/>
                <a:gd name="T62" fmla="+- 0 521 494"/>
                <a:gd name="T63" fmla="*/ 521 h 107"/>
                <a:gd name="T64" fmla="+- 0 2045 2022"/>
                <a:gd name="T65" fmla="*/ T64 w 39"/>
                <a:gd name="T66" fmla="+- 0 522 494"/>
                <a:gd name="T67" fmla="*/ 522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39" h="107">
                  <a:moveTo>
                    <a:pt x="23" y="28"/>
                  </a:moveTo>
                  <a:lnTo>
                    <a:pt x="13" y="28"/>
                  </a:lnTo>
                  <a:lnTo>
                    <a:pt x="13" y="27"/>
                  </a:lnTo>
                  <a:lnTo>
                    <a:pt x="13" y="19"/>
                  </a:lnTo>
                  <a:lnTo>
                    <a:pt x="13" y="12"/>
                  </a:lnTo>
                  <a:lnTo>
                    <a:pt x="20" y="6"/>
                  </a:lnTo>
                  <a:lnTo>
                    <a:pt x="24" y="2"/>
                  </a:lnTo>
                  <a:lnTo>
                    <a:pt x="30" y="0"/>
                  </a:lnTo>
                  <a:lnTo>
                    <a:pt x="39" y="0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31" y="11"/>
                  </a:lnTo>
                  <a:lnTo>
                    <a:pt x="28" y="13"/>
                  </a:lnTo>
                  <a:lnTo>
                    <a:pt x="23" y="16"/>
                  </a:lnTo>
                  <a:lnTo>
                    <a:pt x="23" y="21"/>
                  </a:lnTo>
                  <a:lnTo>
                    <a:pt x="23" y="27"/>
                  </a:lnTo>
                  <a:lnTo>
                    <a:pt x="23" y="2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6" name="Freeform 4868">
              <a:extLst>
                <a:ext uri="{FF2B5EF4-FFF2-40B4-BE49-F238E27FC236}">
                  <a16:creationId xmlns:a16="http://schemas.microsoft.com/office/drawing/2014/main" id="{316338EF-3AAA-B317-9A8C-79540B7F6ED9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58 2022"/>
                <a:gd name="T1" fmla="*/ T0 w 39"/>
                <a:gd name="T2" fmla="+- 0 533 494"/>
                <a:gd name="T3" fmla="*/ 533 h 107"/>
                <a:gd name="T4" fmla="+- 0 2022 2022"/>
                <a:gd name="T5" fmla="*/ T4 w 39"/>
                <a:gd name="T6" fmla="+- 0 533 494"/>
                <a:gd name="T7" fmla="*/ 533 h 107"/>
                <a:gd name="T8" fmla="+- 0 2022 2022"/>
                <a:gd name="T9" fmla="*/ T8 w 39"/>
                <a:gd name="T10" fmla="+- 0 522 494"/>
                <a:gd name="T11" fmla="*/ 522 h 107"/>
                <a:gd name="T12" fmla="+- 0 2058 2022"/>
                <a:gd name="T13" fmla="*/ T12 w 39"/>
                <a:gd name="T14" fmla="+- 0 522 494"/>
                <a:gd name="T15" fmla="*/ 522 h 107"/>
                <a:gd name="T16" fmla="+- 0 2058 2022"/>
                <a:gd name="T17" fmla="*/ T16 w 39"/>
                <a:gd name="T18" fmla="+- 0 533 494"/>
                <a:gd name="T19" fmla="*/ 533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36" y="39"/>
                  </a:moveTo>
                  <a:lnTo>
                    <a:pt x="0" y="39"/>
                  </a:lnTo>
                  <a:lnTo>
                    <a:pt x="0" y="28"/>
                  </a:lnTo>
                  <a:lnTo>
                    <a:pt x="36" y="28"/>
                  </a:lnTo>
                  <a:lnTo>
                    <a:pt x="36" y="3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7" name="Freeform 4867">
              <a:extLst>
                <a:ext uri="{FF2B5EF4-FFF2-40B4-BE49-F238E27FC236}">
                  <a16:creationId xmlns:a16="http://schemas.microsoft.com/office/drawing/2014/main" id="{79E7A686-6D52-D478-99AD-4904EA0FA1BD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45 2022"/>
                <a:gd name="T1" fmla="*/ T0 w 39"/>
                <a:gd name="T2" fmla="+- 0 591 494"/>
                <a:gd name="T3" fmla="*/ 591 h 107"/>
                <a:gd name="T4" fmla="+- 0 2035 2022"/>
                <a:gd name="T5" fmla="*/ T4 w 39"/>
                <a:gd name="T6" fmla="+- 0 591 494"/>
                <a:gd name="T7" fmla="*/ 591 h 107"/>
                <a:gd name="T8" fmla="+- 0 2035 2022"/>
                <a:gd name="T9" fmla="*/ T8 w 39"/>
                <a:gd name="T10" fmla="+- 0 533 494"/>
                <a:gd name="T11" fmla="*/ 533 h 107"/>
                <a:gd name="T12" fmla="+- 0 2045 2022"/>
                <a:gd name="T13" fmla="*/ T12 w 39"/>
                <a:gd name="T14" fmla="+- 0 533 494"/>
                <a:gd name="T15" fmla="*/ 533 h 107"/>
                <a:gd name="T16" fmla="+- 0 2045 2022"/>
                <a:gd name="T17" fmla="*/ T16 w 39"/>
                <a:gd name="T18" fmla="+- 0 591 494"/>
                <a:gd name="T19" fmla="*/ 591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23" y="97"/>
                  </a:moveTo>
                  <a:lnTo>
                    <a:pt x="13" y="97"/>
                  </a:lnTo>
                  <a:lnTo>
                    <a:pt x="13" y="39"/>
                  </a:lnTo>
                  <a:lnTo>
                    <a:pt x="23" y="39"/>
                  </a:lnTo>
                  <a:lnTo>
                    <a:pt x="23" y="9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8" name="Freeform 4866">
              <a:extLst>
                <a:ext uri="{FF2B5EF4-FFF2-40B4-BE49-F238E27FC236}">
                  <a16:creationId xmlns:a16="http://schemas.microsoft.com/office/drawing/2014/main" id="{D2F196A2-CE61-BF55-9CA3-E3D208C50E70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58 2022"/>
                <a:gd name="T1" fmla="*/ T0 w 39"/>
                <a:gd name="T2" fmla="+- 0 601 494"/>
                <a:gd name="T3" fmla="*/ 601 h 107"/>
                <a:gd name="T4" fmla="+- 0 2022 2022"/>
                <a:gd name="T5" fmla="*/ T4 w 39"/>
                <a:gd name="T6" fmla="+- 0 601 494"/>
                <a:gd name="T7" fmla="*/ 601 h 107"/>
                <a:gd name="T8" fmla="+- 0 2022 2022"/>
                <a:gd name="T9" fmla="*/ T8 w 39"/>
                <a:gd name="T10" fmla="+- 0 591 494"/>
                <a:gd name="T11" fmla="*/ 591 h 107"/>
                <a:gd name="T12" fmla="+- 0 2058 2022"/>
                <a:gd name="T13" fmla="*/ T12 w 39"/>
                <a:gd name="T14" fmla="+- 0 591 494"/>
                <a:gd name="T15" fmla="*/ 591 h 107"/>
                <a:gd name="T16" fmla="+- 0 2058 2022"/>
                <a:gd name="T17" fmla="*/ T16 w 39"/>
                <a:gd name="T18" fmla="+- 0 601 494"/>
                <a:gd name="T19" fmla="*/ 601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36" y="107"/>
                  </a:moveTo>
                  <a:lnTo>
                    <a:pt x="0" y="107"/>
                  </a:lnTo>
                  <a:lnTo>
                    <a:pt x="0" y="97"/>
                  </a:lnTo>
                  <a:lnTo>
                    <a:pt x="36" y="97"/>
                  </a:lnTo>
                  <a:lnTo>
                    <a:pt x="36" y="10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6CFA3BA6-57C7-7338-31CB-38E56EA85835}"/>
              </a:ext>
            </a:extLst>
          </xdr:cNvPr>
          <xdr:cNvGrpSpPr>
            <a:grpSpLocks/>
          </xdr:cNvGrpSpPr>
        </xdr:nvGrpSpPr>
        <xdr:grpSpPr bwMode="auto">
          <a:xfrm>
            <a:off x="2076" y="522"/>
            <a:ext cx="76" cy="79"/>
            <a:chOff x="2076" y="522"/>
            <a:chExt cx="76" cy="79"/>
          </a:xfrm>
        </xdr:grpSpPr>
        <xdr:sp macro="" textlink="">
          <xdr:nvSpPr>
            <xdr:cNvPr id="62" name="Freeform 4864">
              <a:extLst>
                <a:ext uri="{FF2B5EF4-FFF2-40B4-BE49-F238E27FC236}">
                  <a16:creationId xmlns:a16="http://schemas.microsoft.com/office/drawing/2014/main" id="{47AC27FC-22FA-5469-A666-4E3468D04C79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01 2076"/>
                <a:gd name="T1" fmla="*/ T0 w 76"/>
                <a:gd name="T2" fmla="+- 0 601 522"/>
                <a:gd name="T3" fmla="*/ 601 h 79"/>
                <a:gd name="T4" fmla="+- 0 2087 2076"/>
                <a:gd name="T5" fmla="*/ T4 w 76"/>
                <a:gd name="T6" fmla="+- 0 591 522"/>
                <a:gd name="T7" fmla="*/ 591 h 79"/>
                <a:gd name="T8" fmla="+- 0 2078 2076"/>
                <a:gd name="T9" fmla="*/ T8 w 76"/>
                <a:gd name="T10" fmla="+- 0 573 522"/>
                <a:gd name="T11" fmla="*/ 573 h 79"/>
                <a:gd name="T12" fmla="+- 0 2076 2076"/>
                <a:gd name="T13" fmla="*/ T12 w 76"/>
                <a:gd name="T14" fmla="+- 0 545 522"/>
                <a:gd name="T15" fmla="*/ 545 h 79"/>
                <a:gd name="T16" fmla="+- 0 2091 2076"/>
                <a:gd name="T17" fmla="*/ T16 w 76"/>
                <a:gd name="T18" fmla="+- 0 529 522"/>
                <a:gd name="T19" fmla="*/ 529 h 79"/>
                <a:gd name="T20" fmla="+- 0 2112 2076"/>
                <a:gd name="T21" fmla="*/ T20 w 76"/>
                <a:gd name="T22" fmla="+- 0 522 522"/>
                <a:gd name="T23" fmla="*/ 522 h 79"/>
                <a:gd name="T24" fmla="+- 0 2130 2076"/>
                <a:gd name="T25" fmla="*/ T24 w 76"/>
                <a:gd name="T26" fmla="+- 0 527 522"/>
                <a:gd name="T27" fmla="*/ 527 h 79"/>
                <a:gd name="T28" fmla="+- 0 2136 2076"/>
                <a:gd name="T29" fmla="*/ T28 w 76"/>
                <a:gd name="T30" fmla="+- 0 532 522"/>
                <a:gd name="T31" fmla="*/ 532 h 79"/>
                <a:gd name="T32" fmla="+- 0 2098 2076"/>
                <a:gd name="T33" fmla="*/ T32 w 76"/>
                <a:gd name="T34" fmla="+- 0 532 522"/>
                <a:gd name="T35" fmla="*/ 532 h 79"/>
                <a:gd name="T36" fmla="+- 0 2085 2076"/>
                <a:gd name="T37" fmla="*/ T36 w 76"/>
                <a:gd name="T38" fmla="+- 0 543 522"/>
                <a:gd name="T39" fmla="*/ 543 h 79"/>
                <a:gd name="T40" fmla="+- 0 2083 2076"/>
                <a:gd name="T41" fmla="*/ T40 w 76"/>
                <a:gd name="T42" fmla="+- 0 557 522"/>
                <a:gd name="T43" fmla="*/ 557 h 79"/>
                <a:gd name="T44" fmla="+- 0 2150 2076"/>
                <a:gd name="T45" fmla="*/ T44 w 76"/>
                <a:gd name="T46" fmla="+- 0 557 522"/>
                <a:gd name="T47" fmla="*/ 557 h 79"/>
                <a:gd name="T48" fmla="+- 0 2152 2076"/>
                <a:gd name="T49" fmla="*/ T48 w 76"/>
                <a:gd name="T50" fmla="+- 0 563 522"/>
                <a:gd name="T51" fmla="*/ 563 h 79"/>
                <a:gd name="T52" fmla="+- 0 2152 2076"/>
                <a:gd name="T53" fmla="*/ T52 w 76"/>
                <a:gd name="T54" fmla="+- 0 566 522"/>
                <a:gd name="T55" fmla="*/ 566 h 79"/>
                <a:gd name="T56" fmla="+- 0 2083 2076"/>
                <a:gd name="T57" fmla="*/ T56 w 76"/>
                <a:gd name="T58" fmla="+- 0 566 522"/>
                <a:gd name="T59" fmla="*/ 566 h 79"/>
                <a:gd name="T60" fmla="+- 0 2084 2076"/>
                <a:gd name="T61" fmla="*/ T60 w 76"/>
                <a:gd name="T62" fmla="+- 0 581 522"/>
                <a:gd name="T63" fmla="*/ 581 h 79"/>
                <a:gd name="T64" fmla="+- 0 2097 2076"/>
                <a:gd name="T65" fmla="*/ T64 w 76"/>
                <a:gd name="T66" fmla="+- 0 593 522"/>
                <a:gd name="T67" fmla="*/ 593 h 79"/>
                <a:gd name="T68" fmla="+- 0 2135 2076"/>
                <a:gd name="T69" fmla="*/ T68 w 76"/>
                <a:gd name="T70" fmla="+- 0 593 522"/>
                <a:gd name="T71" fmla="*/ 593 h 79"/>
                <a:gd name="T72" fmla="+- 0 2126 2076"/>
                <a:gd name="T73" fmla="*/ T72 w 76"/>
                <a:gd name="T74" fmla="+- 0 598 522"/>
                <a:gd name="T75" fmla="*/ 598 h 79"/>
                <a:gd name="T76" fmla="+- 0 2101 2076"/>
                <a:gd name="T77" fmla="*/ T76 w 76"/>
                <a:gd name="T78" fmla="+- 0 601 522"/>
                <a:gd name="T79" fmla="*/ 601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6" h="79">
                  <a:moveTo>
                    <a:pt x="25" y="79"/>
                  </a:moveTo>
                  <a:lnTo>
                    <a:pt x="11" y="69"/>
                  </a:lnTo>
                  <a:lnTo>
                    <a:pt x="2" y="51"/>
                  </a:lnTo>
                  <a:lnTo>
                    <a:pt x="0" y="23"/>
                  </a:lnTo>
                  <a:lnTo>
                    <a:pt x="15" y="7"/>
                  </a:lnTo>
                  <a:lnTo>
                    <a:pt x="36" y="0"/>
                  </a:lnTo>
                  <a:lnTo>
                    <a:pt x="54" y="5"/>
                  </a:lnTo>
                  <a:lnTo>
                    <a:pt x="60" y="10"/>
                  </a:lnTo>
                  <a:lnTo>
                    <a:pt x="22" y="10"/>
                  </a:lnTo>
                  <a:lnTo>
                    <a:pt x="9" y="21"/>
                  </a:lnTo>
                  <a:lnTo>
                    <a:pt x="7" y="35"/>
                  </a:lnTo>
                  <a:lnTo>
                    <a:pt x="74" y="35"/>
                  </a:lnTo>
                  <a:lnTo>
                    <a:pt x="76" y="41"/>
                  </a:lnTo>
                  <a:lnTo>
                    <a:pt x="76" y="44"/>
                  </a:lnTo>
                  <a:lnTo>
                    <a:pt x="7" y="44"/>
                  </a:lnTo>
                  <a:lnTo>
                    <a:pt x="8" y="59"/>
                  </a:lnTo>
                  <a:lnTo>
                    <a:pt x="21" y="71"/>
                  </a:lnTo>
                  <a:lnTo>
                    <a:pt x="59" y="71"/>
                  </a:lnTo>
                  <a:lnTo>
                    <a:pt x="50" y="76"/>
                  </a:lnTo>
                  <a:lnTo>
                    <a:pt x="25" y="7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3" name="Freeform 4863">
              <a:extLst>
                <a:ext uri="{FF2B5EF4-FFF2-40B4-BE49-F238E27FC236}">
                  <a16:creationId xmlns:a16="http://schemas.microsoft.com/office/drawing/2014/main" id="{F9BBBF6A-01F7-9DBC-AA38-CC012FBA24A3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50 2076"/>
                <a:gd name="T1" fmla="*/ T0 w 76"/>
                <a:gd name="T2" fmla="+- 0 557 522"/>
                <a:gd name="T3" fmla="*/ 557 h 79"/>
                <a:gd name="T4" fmla="+- 0 2142 2076"/>
                <a:gd name="T5" fmla="*/ T4 w 76"/>
                <a:gd name="T6" fmla="+- 0 557 522"/>
                <a:gd name="T7" fmla="*/ 557 h 79"/>
                <a:gd name="T8" fmla="+- 0 2139 2076"/>
                <a:gd name="T9" fmla="*/ T8 w 76"/>
                <a:gd name="T10" fmla="+- 0 543 522"/>
                <a:gd name="T11" fmla="*/ 543 h 79"/>
                <a:gd name="T12" fmla="+- 0 2127 2076"/>
                <a:gd name="T13" fmla="*/ T12 w 76"/>
                <a:gd name="T14" fmla="+- 0 532 522"/>
                <a:gd name="T15" fmla="*/ 532 h 79"/>
                <a:gd name="T16" fmla="+- 0 2136 2076"/>
                <a:gd name="T17" fmla="*/ T16 w 76"/>
                <a:gd name="T18" fmla="+- 0 532 522"/>
                <a:gd name="T19" fmla="*/ 532 h 79"/>
                <a:gd name="T20" fmla="+- 0 2146 2076"/>
                <a:gd name="T21" fmla="*/ T20 w 76"/>
                <a:gd name="T22" fmla="+- 0 541 522"/>
                <a:gd name="T23" fmla="*/ 541 h 79"/>
                <a:gd name="T24" fmla="+- 0 2150 2076"/>
                <a:gd name="T25" fmla="*/ T24 w 76"/>
                <a:gd name="T26" fmla="+- 0 557 522"/>
                <a:gd name="T27" fmla="*/ 557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76" h="79">
                  <a:moveTo>
                    <a:pt x="74" y="35"/>
                  </a:moveTo>
                  <a:lnTo>
                    <a:pt x="66" y="35"/>
                  </a:lnTo>
                  <a:lnTo>
                    <a:pt x="63" y="21"/>
                  </a:lnTo>
                  <a:lnTo>
                    <a:pt x="51" y="10"/>
                  </a:lnTo>
                  <a:lnTo>
                    <a:pt x="60" y="10"/>
                  </a:lnTo>
                  <a:lnTo>
                    <a:pt x="70" y="19"/>
                  </a:lnTo>
                  <a:lnTo>
                    <a:pt x="74" y="3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4" name="Freeform 4862">
              <a:extLst>
                <a:ext uri="{FF2B5EF4-FFF2-40B4-BE49-F238E27FC236}">
                  <a16:creationId xmlns:a16="http://schemas.microsoft.com/office/drawing/2014/main" id="{D4571E5B-3309-1EBA-00CB-717B47861BE8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35 2076"/>
                <a:gd name="T1" fmla="*/ T0 w 76"/>
                <a:gd name="T2" fmla="+- 0 593 522"/>
                <a:gd name="T3" fmla="*/ 593 h 79"/>
                <a:gd name="T4" fmla="+- 0 2123 2076"/>
                <a:gd name="T5" fmla="*/ T4 w 76"/>
                <a:gd name="T6" fmla="+- 0 593 522"/>
                <a:gd name="T7" fmla="*/ 593 h 79"/>
                <a:gd name="T8" fmla="+- 0 2132 2076"/>
                <a:gd name="T9" fmla="*/ T8 w 76"/>
                <a:gd name="T10" fmla="+- 0 587 522"/>
                <a:gd name="T11" fmla="*/ 587 h 79"/>
                <a:gd name="T12" fmla="+- 0 2137 2076"/>
                <a:gd name="T13" fmla="*/ T12 w 76"/>
                <a:gd name="T14" fmla="+- 0 578 522"/>
                <a:gd name="T15" fmla="*/ 578 h 79"/>
                <a:gd name="T16" fmla="+- 0 2138 2076"/>
                <a:gd name="T17" fmla="*/ T16 w 76"/>
                <a:gd name="T18" fmla="+- 0 578 522"/>
                <a:gd name="T19" fmla="*/ 578 h 79"/>
                <a:gd name="T20" fmla="+- 0 2149 2076"/>
                <a:gd name="T21" fmla="*/ T20 w 76"/>
                <a:gd name="T22" fmla="+- 0 578 522"/>
                <a:gd name="T23" fmla="*/ 578 h 79"/>
                <a:gd name="T24" fmla="+- 0 2142 2076"/>
                <a:gd name="T25" fmla="*/ T24 w 76"/>
                <a:gd name="T26" fmla="+- 0 588 522"/>
                <a:gd name="T27" fmla="*/ 588 h 79"/>
                <a:gd name="T28" fmla="+- 0 2135 2076"/>
                <a:gd name="T29" fmla="*/ T28 w 76"/>
                <a:gd name="T30" fmla="+- 0 593 522"/>
                <a:gd name="T31" fmla="*/ 593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6" h="79">
                  <a:moveTo>
                    <a:pt x="59" y="71"/>
                  </a:moveTo>
                  <a:lnTo>
                    <a:pt x="47" y="71"/>
                  </a:lnTo>
                  <a:lnTo>
                    <a:pt x="56" y="65"/>
                  </a:lnTo>
                  <a:lnTo>
                    <a:pt x="61" y="56"/>
                  </a:lnTo>
                  <a:lnTo>
                    <a:pt x="62" y="56"/>
                  </a:lnTo>
                  <a:lnTo>
                    <a:pt x="73" y="56"/>
                  </a:lnTo>
                  <a:lnTo>
                    <a:pt x="66" y="66"/>
                  </a:lnTo>
                  <a:lnTo>
                    <a:pt x="59" y="7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C97AA4EA-54F1-6707-0EF1-73517FA15936}"/>
              </a:ext>
            </a:extLst>
          </xdr:cNvPr>
          <xdr:cNvGrpSpPr>
            <a:grpSpLocks/>
          </xdr:cNvGrpSpPr>
        </xdr:nvGrpSpPr>
        <xdr:grpSpPr bwMode="auto">
          <a:xfrm>
            <a:off x="2228" y="520"/>
            <a:ext cx="78" cy="81"/>
            <a:chOff x="2228" y="520"/>
            <a:chExt cx="78" cy="81"/>
          </a:xfrm>
        </xdr:grpSpPr>
        <xdr:sp macro="" textlink="">
          <xdr:nvSpPr>
            <xdr:cNvPr id="58" name="Freeform 4860">
              <a:extLst>
                <a:ext uri="{FF2B5EF4-FFF2-40B4-BE49-F238E27FC236}">
                  <a16:creationId xmlns:a16="http://schemas.microsoft.com/office/drawing/2014/main" id="{6E8F6DB3-2306-4A36-502D-F494D0073B0D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274 2228"/>
                <a:gd name="T1" fmla="*/ T0 w 78"/>
                <a:gd name="T2" fmla="+- 0 600 520"/>
                <a:gd name="T3" fmla="*/ 600 h 81"/>
                <a:gd name="T4" fmla="+- 0 2252 2228"/>
                <a:gd name="T5" fmla="*/ T4 w 78"/>
                <a:gd name="T6" fmla="+- 0 600 520"/>
                <a:gd name="T7" fmla="*/ 600 h 81"/>
                <a:gd name="T8" fmla="+- 0 2238 2228"/>
                <a:gd name="T9" fmla="*/ T8 w 78"/>
                <a:gd name="T10" fmla="+- 0 590 520"/>
                <a:gd name="T11" fmla="*/ 590 h 81"/>
                <a:gd name="T12" fmla="+- 0 2229 2228"/>
                <a:gd name="T13" fmla="*/ T12 w 78"/>
                <a:gd name="T14" fmla="+- 0 571 520"/>
                <a:gd name="T15" fmla="*/ 571 h 81"/>
                <a:gd name="T16" fmla="+- 0 2228 2228"/>
                <a:gd name="T17" fmla="*/ T16 w 78"/>
                <a:gd name="T18" fmla="+- 0 543 520"/>
                <a:gd name="T19" fmla="*/ 543 h 81"/>
                <a:gd name="T20" fmla="+- 0 2243 2228"/>
                <a:gd name="T21" fmla="*/ T20 w 78"/>
                <a:gd name="T22" fmla="+- 0 527 520"/>
                <a:gd name="T23" fmla="*/ 527 h 81"/>
                <a:gd name="T24" fmla="+- 0 2266 2228"/>
                <a:gd name="T25" fmla="*/ T24 w 78"/>
                <a:gd name="T26" fmla="+- 0 520 520"/>
                <a:gd name="T27" fmla="*/ 520 h 81"/>
                <a:gd name="T28" fmla="+- 0 2272 2228"/>
                <a:gd name="T29" fmla="*/ T28 w 78"/>
                <a:gd name="T30" fmla="+- 0 520 520"/>
                <a:gd name="T31" fmla="*/ 520 h 81"/>
                <a:gd name="T32" fmla="+- 0 2286 2228"/>
                <a:gd name="T33" fmla="*/ T32 w 78"/>
                <a:gd name="T34" fmla="+- 0 522 520"/>
                <a:gd name="T35" fmla="*/ 522 h 81"/>
                <a:gd name="T36" fmla="+- 0 2293 2228"/>
                <a:gd name="T37" fmla="*/ T36 w 78"/>
                <a:gd name="T38" fmla="+- 0 531 520"/>
                <a:gd name="T39" fmla="*/ 531 h 81"/>
                <a:gd name="T40" fmla="+- 0 2259 2228"/>
                <a:gd name="T41" fmla="*/ T40 w 78"/>
                <a:gd name="T42" fmla="+- 0 531 520"/>
                <a:gd name="T43" fmla="*/ 531 h 81"/>
                <a:gd name="T44" fmla="+- 0 2242 2228"/>
                <a:gd name="T45" fmla="*/ T44 w 78"/>
                <a:gd name="T46" fmla="+- 0 542 520"/>
                <a:gd name="T47" fmla="*/ 542 h 81"/>
                <a:gd name="T48" fmla="+- 0 2235 2228"/>
                <a:gd name="T49" fmla="*/ T48 w 78"/>
                <a:gd name="T50" fmla="+- 0 566 520"/>
                <a:gd name="T51" fmla="*/ 566 h 81"/>
                <a:gd name="T52" fmla="+- 0 2245 2228"/>
                <a:gd name="T53" fmla="*/ T52 w 78"/>
                <a:gd name="T54" fmla="+- 0 585 520"/>
                <a:gd name="T55" fmla="*/ 585 h 81"/>
                <a:gd name="T56" fmla="+- 0 2266 2228"/>
                <a:gd name="T57" fmla="*/ T56 w 78"/>
                <a:gd name="T58" fmla="+- 0 592 520"/>
                <a:gd name="T59" fmla="*/ 592 h 81"/>
                <a:gd name="T60" fmla="+- 0 2306 2228"/>
                <a:gd name="T61" fmla="*/ T60 w 78"/>
                <a:gd name="T62" fmla="+- 0 592 520"/>
                <a:gd name="T63" fmla="*/ 592 h 81"/>
                <a:gd name="T64" fmla="+- 0 2306 2228"/>
                <a:gd name="T65" fmla="*/ T64 w 78"/>
                <a:gd name="T66" fmla="+- 0 593 520"/>
                <a:gd name="T67" fmla="*/ 593 h 81"/>
                <a:gd name="T68" fmla="+- 0 2291 2228"/>
                <a:gd name="T69" fmla="*/ T68 w 78"/>
                <a:gd name="T70" fmla="+- 0 593 520"/>
                <a:gd name="T71" fmla="*/ 593 h 81"/>
                <a:gd name="T72" fmla="+- 0 2274 2228"/>
                <a:gd name="T73" fmla="*/ T72 w 78"/>
                <a:gd name="T74" fmla="+- 0 600 520"/>
                <a:gd name="T75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</a:cxnLst>
              <a:rect l="0" t="0" r="r" b="b"/>
              <a:pathLst>
                <a:path w="78" h="81">
                  <a:moveTo>
                    <a:pt x="46" y="80"/>
                  </a:moveTo>
                  <a:lnTo>
                    <a:pt x="24" y="80"/>
                  </a:lnTo>
                  <a:lnTo>
                    <a:pt x="10" y="70"/>
                  </a:lnTo>
                  <a:lnTo>
                    <a:pt x="1" y="51"/>
                  </a:lnTo>
                  <a:lnTo>
                    <a:pt x="0" y="23"/>
                  </a:lnTo>
                  <a:lnTo>
                    <a:pt x="15" y="7"/>
                  </a:lnTo>
                  <a:lnTo>
                    <a:pt x="38" y="0"/>
                  </a:lnTo>
                  <a:lnTo>
                    <a:pt x="44" y="0"/>
                  </a:lnTo>
                  <a:lnTo>
                    <a:pt x="58" y="2"/>
                  </a:lnTo>
                  <a:lnTo>
                    <a:pt x="65" y="11"/>
                  </a:lnTo>
                  <a:lnTo>
                    <a:pt x="31" y="11"/>
                  </a:lnTo>
                  <a:lnTo>
                    <a:pt x="14" y="22"/>
                  </a:lnTo>
                  <a:lnTo>
                    <a:pt x="7" y="46"/>
                  </a:lnTo>
                  <a:lnTo>
                    <a:pt x="17" y="65"/>
                  </a:lnTo>
                  <a:lnTo>
                    <a:pt x="38" y="72"/>
                  </a:lnTo>
                  <a:lnTo>
                    <a:pt x="78" y="72"/>
                  </a:lnTo>
                  <a:lnTo>
                    <a:pt x="78" y="73"/>
                  </a:lnTo>
                  <a:lnTo>
                    <a:pt x="63" y="73"/>
                  </a:lnTo>
                  <a:lnTo>
                    <a:pt x="46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9" name="Freeform 4859">
              <a:extLst>
                <a:ext uri="{FF2B5EF4-FFF2-40B4-BE49-F238E27FC236}">
                  <a16:creationId xmlns:a16="http://schemas.microsoft.com/office/drawing/2014/main" id="{5315CAB7-2559-5A1D-19DD-F57E1EE48562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535 520"/>
                <a:gd name="T3" fmla="*/ 535 h 81"/>
                <a:gd name="T4" fmla="+- 0 2295 2228"/>
                <a:gd name="T5" fmla="*/ T4 w 78"/>
                <a:gd name="T6" fmla="+- 0 535 520"/>
                <a:gd name="T7" fmla="*/ 535 h 81"/>
                <a:gd name="T8" fmla="+- 0 2295 2228"/>
                <a:gd name="T9" fmla="*/ T8 w 78"/>
                <a:gd name="T10" fmla="+- 0 522 520"/>
                <a:gd name="T11" fmla="*/ 522 h 81"/>
                <a:gd name="T12" fmla="+- 0 2306 2228"/>
                <a:gd name="T13" fmla="*/ T12 w 78"/>
                <a:gd name="T14" fmla="+- 0 522 520"/>
                <a:gd name="T15" fmla="*/ 522 h 81"/>
                <a:gd name="T16" fmla="+- 0 2306 2228"/>
                <a:gd name="T17" fmla="*/ T16 w 78"/>
                <a:gd name="T18" fmla="+- 0 535 520"/>
                <a:gd name="T19" fmla="*/ 535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81">
                  <a:moveTo>
                    <a:pt x="78" y="15"/>
                  </a:moveTo>
                  <a:lnTo>
                    <a:pt x="67" y="15"/>
                  </a:lnTo>
                  <a:lnTo>
                    <a:pt x="67" y="2"/>
                  </a:lnTo>
                  <a:lnTo>
                    <a:pt x="78" y="2"/>
                  </a:lnTo>
                  <a:lnTo>
                    <a:pt x="78" y="1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0" name="Freeform 4858">
              <a:extLst>
                <a:ext uri="{FF2B5EF4-FFF2-40B4-BE49-F238E27FC236}">
                  <a16:creationId xmlns:a16="http://schemas.microsoft.com/office/drawing/2014/main" id="{6ED9F0C2-50D8-82CF-D9C2-A166A9946FDF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592 520"/>
                <a:gd name="T3" fmla="*/ 592 h 81"/>
                <a:gd name="T4" fmla="+- 0 2266 2228"/>
                <a:gd name="T5" fmla="*/ T4 w 78"/>
                <a:gd name="T6" fmla="+- 0 592 520"/>
                <a:gd name="T7" fmla="*/ 592 h 81"/>
                <a:gd name="T8" fmla="+- 0 2276 2228"/>
                <a:gd name="T9" fmla="*/ T8 w 78"/>
                <a:gd name="T10" fmla="+- 0 590 520"/>
                <a:gd name="T11" fmla="*/ 590 h 81"/>
                <a:gd name="T12" fmla="+- 0 2290 2228"/>
                <a:gd name="T13" fmla="*/ T12 w 78"/>
                <a:gd name="T14" fmla="+- 0 577 520"/>
                <a:gd name="T15" fmla="*/ 577 h 81"/>
                <a:gd name="T16" fmla="+- 0 2295 2228"/>
                <a:gd name="T17" fmla="*/ T16 w 78"/>
                <a:gd name="T18" fmla="+- 0 552 520"/>
                <a:gd name="T19" fmla="*/ 552 h 81"/>
                <a:gd name="T20" fmla="+- 0 2282 2228"/>
                <a:gd name="T21" fmla="*/ T20 w 78"/>
                <a:gd name="T22" fmla="+- 0 537 520"/>
                <a:gd name="T23" fmla="*/ 537 h 81"/>
                <a:gd name="T24" fmla="+- 0 2259 2228"/>
                <a:gd name="T25" fmla="*/ T24 w 78"/>
                <a:gd name="T26" fmla="+- 0 531 520"/>
                <a:gd name="T27" fmla="*/ 531 h 81"/>
                <a:gd name="T28" fmla="+- 0 2293 2228"/>
                <a:gd name="T29" fmla="*/ T28 w 78"/>
                <a:gd name="T30" fmla="+- 0 531 520"/>
                <a:gd name="T31" fmla="*/ 531 h 81"/>
                <a:gd name="T32" fmla="+- 0 2295 2228"/>
                <a:gd name="T33" fmla="*/ T32 w 78"/>
                <a:gd name="T34" fmla="+- 0 535 520"/>
                <a:gd name="T35" fmla="*/ 535 h 81"/>
                <a:gd name="T36" fmla="+- 0 2306 2228"/>
                <a:gd name="T37" fmla="*/ T36 w 78"/>
                <a:gd name="T38" fmla="+- 0 535 520"/>
                <a:gd name="T39" fmla="*/ 535 h 81"/>
                <a:gd name="T40" fmla="+- 0 2306 2228"/>
                <a:gd name="T41" fmla="*/ T40 w 78"/>
                <a:gd name="T42" fmla="+- 0 592 520"/>
                <a:gd name="T43" fmla="*/ 592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78" h="81">
                  <a:moveTo>
                    <a:pt x="78" y="72"/>
                  </a:moveTo>
                  <a:lnTo>
                    <a:pt x="38" y="72"/>
                  </a:lnTo>
                  <a:lnTo>
                    <a:pt x="48" y="70"/>
                  </a:lnTo>
                  <a:lnTo>
                    <a:pt x="62" y="57"/>
                  </a:lnTo>
                  <a:lnTo>
                    <a:pt x="67" y="32"/>
                  </a:lnTo>
                  <a:lnTo>
                    <a:pt x="54" y="17"/>
                  </a:lnTo>
                  <a:lnTo>
                    <a:pt x="31" y="11"/>
                  </a:lnTo>
                  <a:lnTo>
                    <a:pt x="65" y="11"/>
                  </a:lnTo>
                  <a:lnTo>
                    <a:pt x="67" y="15"/>
                  </a:lnTo>
                  <a:lnTo>
                    <a:pt x="78" y="15"/>
                  </a:lnTo>
                  <a:lnTo>
                    <a:pt x="78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1" name="Freeform 4857">
              <a:extLst>
                <a:ext uri="{FF2B5EF4-FFF2-40B4-BE49-F238E27FC236}">
                  <a16:creationId xmlns:a16="http://schemas.microsoft.com/office/drawing/2014/main" id="{6316CE7A-3687-D617-C971-212D26A26DBC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600 520"/>
                <a:gd name="T3" fmla="*/ 600 h 81"/>
                <a:gd name="T4" fmla="+- 0 2295 2228"/>
                <a:gd name="T5" fmla="*/ T4 w 78"/>
                <a:gd name="T6" fmla="+- 0 600 520"/>
                <a:gd name="T7" fmla="*/ 600 h 81"/>
                <a:gd name="T8" fmla="+- 0 2291 2228"/>
                <a:gd name="T9" fmla="*/ T8 w 78"/>
                <a:gd name="T10" fmla="+- 0 593 520"/>
                <a:gd name="T11" fmla="*/ 593 h 81"/>
                <a:gd name="T12" fmla="+- 0 2306 2228"/>
                <a:gd name="T13" fmla="*/ T12 w 78"/>
                <a:gd name="T14" fmla="+- 0 593 520"/>
                <a:gd name="T15" fmla="*/ 593 h 81"/>
                <a:gd name="T16" fmla="+- 0 2306 2228"/>
                <a:gd name="T17" fmla="*/ T16 w 78"/>
                <a:gd name="T18" fmla="+- 0 600 520"/>
                <a:gd name="T19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81">
                  <a:moveTo>
                    <a:pt x="78" y="80"/>
                  </a:moveTo>
                  <a:lnTo>
                    <a:pt x="67" y="80"/>
                  </a:lnTo>
                  <a:lnTo>
                    <a:pt x="63" y="73"/>
                  </a:lnTo>
                  <a:lnTo>
                    <a:pt x="78" y="73"/>
                  </a:lnTo>
                  <a:lnTo>
                    <a:pt x="78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9A36B274-48A9-A04C-CBE9-66934106F7DB}"/>
              </a:ext>
            </a:extLst>
          </xdr:cNvPr>
          <xdr:cNvGrpSpPr>
            <a:grpSpLocks/>
          </xdr:cNvGrpSpPr>
        </xdr:nvGrpSpPr>
        <xdr:grpSpPr bwMode="auto">
          <a:xfrm>
            <a:off x="2328" y="522"/>
            <a:ext cx="69" cy="80"/>
            <a:chOff x="2328" y="522"/>
            <a:chExt cx="69" cy="80"/>
          </a:xfrm>
        </xdr:grpSpPr>
        <xdr:sp macro="" textlink="">
          <xdr:nvSpPr>
            <xdr:cNvPr id="55" name="Freeform 4855">
              <a:extLst>
                <a:ext uri="{FF2B5EF4-FFF2-40B4-BE49-F238E27FC236}">
                  <a16:creationId xmlns:a16="http://schemas.microsoft.com/office/drawing/2014/main" id="{BCB8CF8F-261F-A873-1A13-F892560F2175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77 2328"/>
                <a:gd name="T1" fmla="*/ T0 w 69"/>
                <a:gd name="T2" fmla="+- 0 602 522"/>
                <a:gd name="T3" fmla="*/ 602 h 80"/>
                <a:gd name="T4" fmla="+- 0 2346 2328"/>
                <a:gd name="T5" fmla="*/ T4 w 69"/>
                <a:gd name="T6" fmla="+- 0 602 522"/>
                <a:gd name="T7" fmla="*/ 602 h 80"/>
                <a:gd name="T8" fmla="+- 0 2338 2328"/>
                <a:gd name="T9" fmla="*/ T8 w 69"/>
                <a:gd name="T10" fmla="+- 0 595 522"/>
                <a:gd name="T11" fmla="*/ 595 h 80"/>
                <a:gd name="T12" fmla="+- 0 2334 2328"/>
                <a:gd name="T13" fmla="*/ T12 w 69"/>
                <a:gd name="T14" fmla="+- 0 591 522"/>
                <a:gd name="T15" fmla="*/ 591 h 80"/>
                <a:gd name="T16" fmla="+- 0 2330 2328"/>
                <a:gd name="T17" fmla="*/ T16 w 69"/>
                <a:gd name="T18" fmla="+- 0 585 522"/>
                <a:gd name="T19" fmla="*/ 585 h 80"/>
                <a:gd name="T20" fmla="+- 0 2328 2328"/>
                <a:gd name="T21" fmla="*/ T20 w 69"/>
                <a:gd name="T22" fmla="+- 0 576 522"/>
                <a:gd name="T23" fmla="*/ 576 h 80"/>
                <a:gd name="T24" fmla="+- 0 2328 2328"/>
                <a:gd name="T25" fmla="*/ T24 w 69"/>
                <a:gd name="T26" fmla="+- 0 522 522"/>
                <a:gd name="T27" fmla="*/ 522 h 80"/>
                <a:gd name="T28" fmla="+- 0 2339 2328"/>
                <a:gd name="T29" fmla="*/ T28 w 69"/>
                <a:gd name="T30" fmla="+- 0 522 522"/>
                <a:gd name="T31" fmla="*/ 522 h 80"/>
                <a:gd name="T32" fmla="+- 0 2339 2328"/>
                <a:gd name="T33" fmla="*/ T32 w 69"/>
                <a:gd name="T34" fmla="+- 0 574 522"/>
                <a:gd name="T35" fmla="*/ 574 h 80"/>
                <a:gd name="T36" fmla="+- 0 2340 2328"/>
                <a:gd name="T37" fmla="*/ T36 w 69"/>
                <a:gd name="T38" fmla="+- 0 581 522"/>
                <a:gd name="T39" fmla="*/ 581 h 80"/>
                <a:gd name="T40" fmla="+- 0 2344 2328"/>
                <a:gd name="T41" fmla="*/ T40 w 69"/>
                <a:gd name="T42" fmla="+- 0 585 522"/>
                <a:gd name="T43" fmla="*/ 585 h 80"/>
                <a:gd name="T44" fmla="+- 0 2348 2328"/>
                <a:gd name="T45" fmla="*/ T44 w 69"/>
                <a:gd name="T46" fmla="+- 0 590 522"/>
                <a:gd name="T47" fmla="*/ 590 h 80"/>
                <a:gd name="T48" fmla="+- 0 2354 2328"/>
                <a:gd name="T49" fmla="*/ T48 w 69"/>
                <a:gd name="T50" fmla="+- 0 592 522"/>
                <a:gd name="T51" fmla="*/ 592 h 80"/>
                <a:gd name="T52" fmla="+- 0 2384 2328"/>
                <a:gd name="T53" fmla="*/ T52 w 69"/>
                <a:gd name="T54" fmla="+- 0 592 522"/>
                <a:gd name="T55" fmla="*/ 592 h 80"/>
                <a:gd name="T56" fmla="+- 0 2383 2328"/>
                <a:gd name="T57" fmla="*/ T56 w 69"/>
                <a:gd name="T58" fmla="+- 0 594 522"/>
                <a:gd name="T59" fmla="*/ 594 h 80"/>
                <a:gd name="T60" fmla="+- 0 2377 2328"/>
                <a:gd name="T61" fmla="*/ T60 w 69"/>
                <a:gd name="T62" fmla="+- 0 602 522"/>
                <a:gd name="T63" fmla="*/ 60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</a:cxnLst>
              <a:rect l="0" t="0" r="r" b="b"/>
              <a:pathLst>
                <a:path w="69" h="80">
                  <a:moveTo>
                    <a:pt x="49" y="80"/>
                  </a:moveTo>
                  <a:lnTo>
                    <a:pt x="18" y="80"/>
                  </a:lnTo>
                  <a:lnTo>
                    <a:pt x="10" y="73"/>
                  </a:lnTo>
                  <a:lnTo>
                    <a:pt x="6" y="69"/>
                  </a:lnTo>
                  <a:lnTo>
                    <a:pt x="2" y="63"/>
                  </a:lnTo>
                  <a:lnTo>
                    <a:pt x="0" y="54"/>
                  </a:lnTo>
                  <a:lnTo>
                    <a:pt x="0" y="0"/>
                  </a:lnTo>
                  <a:lnTo>
                    <a:pt x="11" y="0"/>
                  </a:lnTo>
                  <a:lnTo>
                    <a:pt x="11" y="52"/>
                  </a:lnTo>
                  <a:lnTo>
                    <a:pt x="12" y="59"/>
                  </a:lnTo>
                  <a:lnTo>
                    <a:pt x="16" y="63"/>
                  </a:lnTo>
                  <a:lnTo>
                    <a:pt x="20" y="68"/>
                  </a:lnTo>
                  <a:lnTo>
                    <a:pt x="26" y="70"/>
                  </a:lnTo>
                  <a:lnTo>
                    <a:pt x="56" y="70"/>
                  </a:lnTo>
                  <a:lnTo>
                    <a:pt x="55" y="72"/>
                  </a:lnTo>
                  <a:lnTo>
                    <a:pt x="49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6" name="Freeform 4854">
              <a:extLst>
                <a:ext uri="{FF2B5EF4-FFF2-40B4-BE49-F238E27FC236}">
                  <a16:creationId xmlns:a16="http://schemas.microsoft.com/office/drawing/2014/main" id="{D6654828-6089-C8D1-E62B-6D81DBE0D702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84 2328"/>
                <a:gd name="T1" fmla="*/ T0 w 69"/>
                <a:gd name="T2" fmla="+- 0 592 522"/>
                <a:gd name="T3" fmla="*/ 592 h 80"/>
                <a:gd name="T4" fmla="+- 0 2368 2328"/>
                <a:gd name="T5" fmla="*/ T4 w 69"/>
                <a:gd name="T6" fmla="+- 0 592 522"/>
                <a:gd name="T7" fmla="*/ 592 h 80"/>
                <a:gd name="T8" fmla="+- 0 2373 2328"/>
                <a:gd name="T9" fmla="*/ T8 w 69"/>
                <a:gd name="T10" fmla="+- 0 590 522"/>
                <a:gd name="T11" fmla="*/ 590 h 80"/>
                <a:gd name="T12" fmla="+- 0 2377 2328"/>
                <a:gd name="T13" fmla="*/ T12 w 69"/>
                <a:gd name="T14" fmla="+- 0 586 522"/>
                <a:gd name="T15" fmla="*/ 586 h 80"/>
                <a:gd name="T16" fmla="+- 0 2381 2328"/>
                <a:gd name="T17" fmla="*/ T16 w 69"/>
                <a:gd name="T18" fmla="+- 0 582 522"/>
                <a:gd name="T19" fmla="*/ 582 h 80"/>
                <a:gd name="T20" fmla="+- 0 2385 2328"/>
                <a:gd name="T21" fmla="*/ T20 w 69"/>
                <a:gd name="T22" fmla="+- 0 577 522"/>
                <a:gd name="T23" fmla="*/ 577 h 80"/>
                <a:gd name="T24" fmla="+- 0 2385 2328"/>
                <a:gd name="T25" fmla="*/ T24 w 69"/>
                <a:gd name="T26" fmla="+- 0 564 522"/>
                <a:gd name="T27" fmla="*/ 564 h 80"/>
                <a:gd name="T28" fmla="+- 0 2385 2328"/>
                <a:gd name="T29" fmla="*/ T28 w 69"/>
                <a:gd name="T30" fmla="+- 0 522 522"/>
                <a:gd name="T31" fmla="*/ 522 h 80"/>
                <a:gd name="T32" fmla="+- 0 2396 2328"/>
                <a:gd name="T33" fmla="*/ T32 w 69"/>
                <a:gd name="T34" fmla="+- 0 522 522"/>
                <a:gd name="T35" fmla="*/ 522 h 80"/>
                <a:gd name="T36" fmla="+- 0 2396 2328"/>
                <a:gd name="T37" fmla="*/ T36 w 69"/>
                <a:gd name="T38" fmla="+- 0 590 522"/>
                <a:gd name="T39" fmla="*/ 590 h 80"/>
                <a:gd name="T40" fmla="+- 0 2386 2328"/>
                <a:gd name="T41" fmla="*/ T40 w 69"/>
                <a:gd name="T42" fmla="+- 0 590 522"/>
                <a:gd name="T43" fmla="*/ 590 h 80"/>
                <a:gd name="T44" fmla="+- 0 2384 2328"/>
                <a:gd name="T45" fmla="*/ T44 w 69"/>
                <a:gd name="T46" fmla="+- 0 592 522"/>
                <a:gd name="T47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69" h="80">
                  <a:moveTo>
                    <a:pt x="56" y="70"/>
                  </a:moveTo>
                  <a:lnTo>
                    <a:pt x="40" y="70"/>
                  </a:lnTo>
                  <a:lnTo>
                    <a:pt x="45" y="68"/>
                  </a:lnTo>
                  <a:lnTo>
                    <a:pt x="49" y="64"/>
                  </a:lnTo>
                  <a:lnTo>
                    <a:pt x="53" y="60"/>
                  </a:lnTo>
                  <a:lnTo>
                    <a:pt x="57" y="55"/>
                  </a:lnTo>
                  <a:lnTo>
                    <a:pt x="57" y="42"/>
                  </a:lnTo>
                  <a:lnTo>
                    <a:pt x="57" y="0"/>
                  </a:lnTo>
                  <a:lnTo>
                    <a:pt x="68" y="0"/>
                  </a:lnTo>
                  <a:lnTo>
                    <a:pt x="68" y="68"/>
                  </a:lnTo>
                  <a:lnTo>
                    <a:pt x="58" y="68"/>
                  </a:lnTo>
                  <a:lnTo>
                    <a:pt x="56" y="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7" name="Freeform 4853">
              <a:extLst>
                <a:ext uri="{FF2B5EF4-FFF2-40B4-BE49-F238E27FC236}">
                  <a16:creationId xmlns:a16="http://schemas.microsoft.com/office/drawing/2014/main" id="{B959B463-4205-1850-8BF8-6DFDB0A8753C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96 2328"/>
                <a:gd name="T1" fmla="*/ T0 w 69"/>
                <a:gd name="T2" fmla="+- 0 600 522"/>
                <a:gd name="T3" fmla="*/ 600 h 80"/>
                <a:gd name="T4" fmla="+- 0 2386 2328"/>
                <a:gd name="T5" fmla="*/ T4 w 69"/>
                <a:gd name="T6" fmla="+- 0 600 522"/>
                <a:gd name="T7" fmla="*/ 600 h 80"/>
                <a:gd name="T8" fmla="+- 0 2386 2328"/>
                <a:gd name="T9" fmla="*/ T8 w 69"/>
                <a:gd name="T10" fmla="+- 0 590 522"/>
                <a:gd name="T11" fmla="*/ 590 h 80"/>
                <a:gd name="T12" fmla="+- 0 2396 2328"/>
                <a:gd name="T13" fmla="*/ T12 w 69"/>
                <a:gd name="T14" fmla="+- 0 590 522"/>
                <a:gd name="T15" fmla="*/ 590 h 80"/>
                <a:gd name="T16" fmla="+- 0 2396 2328"/>
                <a:gd name="T17" fmla="*/ T16 w 69"/>
                <a:gd name="T18" fmla="+- 0 600 522"/>
                <a:gd name="T1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69" h="80">
                  <a:moveTo>
                    <a:pt x="68" y="78"/>
                  </a:moveTo>
                  <a:lnTo>
                    <a:pt x="58" y="78"/>
                  </a:lnTo>
                  <a:lnTo>
                    <a:pt x="58" y="68"/>
                  </a:lnTo>
                  <a:lnTo>
                    <a:pt x="68" y="68"/>
                  </a:lnTo>
                  <a:lnTo>
                    <a:pt x="68" y="7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57ADE8BC-7492-594A-C9AA-F3A5832DB2DC}"/>
              </a:ext>
            </a:extLst>
          </xdr:cNvPr>
          <xdr:cNvGrpSpPr>
            <a:grpSpLocks/>
          </xdr:cNvGrpSpPr>
        </xdr:nvGrpSpPr>
        <xdr:grpSpPr bwMode="auto">
          <a:xfrm>
            <a:off x="2411" y="520"/>
            <a:ext cx="79" cy="111"/>
            <a:chOff x="2411" y="520"/>
            <a:chExt cx="79" cy="111"/>
          </a:xfrm>
        </xdr:grpSpPr>
        <xdr:sp macro="" textlink="">
          <xdr:nvSpPr>
            <xdr:cNvPr id="50" name="Freeform 4851">
              <a:extLst>
                <a:ext uri="{FF2B5EF4-FFF2-40B4-BE49-F238E27FC236}">
                  <a16:creationId xmlns:a16="http://schemas.microsoft.com/office/drawing/2014/main" id="{3DD17690-6B5B-7C7C-DA57-45B739F85093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36 2411"/>
                <a:gd name="T1" fmla="*/ T0 w 79"/>
                <a:gd name="T2" fmla="+- 0 600 520"/>
                <a:gd name="T3" fmla="*/ 600 h 111"/>
                <a:gd name="T4" fmla="+- 0 2423 2411"/>
                <a:gd name="T5" fmla="*/ T4 w 79"/>
                <a:gd name="T6" fmla="+- 0 590 520"/>
                <a:gd name="T7" fmla="*/ 590 h 111"/>
                <a:gd name="T8" fmla="+- 0 2414 2411"/>
                <a:gd name="T9" fmla="*/ T8 w 79"/>
                <a:gd name="T10" fmla="+- 0 571 520"/>
                <a:gd name="T11" fmla="*/ 571 h 111"/>
                <a:gd name="T12" fmla="+- 0 2414 2411"/>
                <a:gd name="T13" fmla="*/ T12 w 79"/>
                <a:gd name="T14" fmla="+- 0 541 520"/>
                <a:gd name="T15" fmla="*/ 541 h 111"/>
                <a:gd name="T16" fmla="+- 0 2429 2411"/>
                <a:gd name="T17" fmla="*/ T16 w 79"/>
                <a:gd name="T18" fmla="+- 0 526 520"/>
                <a:gd name="T19" fmla="*/ 526 h 111"/>
                <a:gd name="T20" fmla="+- 0 2449 2411"/>
                <a:gd name="T21" fmla="*/ T20 w 79"/>
                <a:gd name="T22" fmla="+- 0 520 520"/>
                <a:gd name="T23" fmla="*/ 520 h 111"/>
                <a:gd name="T24" fmla="+- 0 2455 2411"/>
                <a:gd name="T25" fmla="*/ T24 w 79"/>
                <a:gd name="T26" fmla="+- 0 520 520"/>
                <a:gd name="T27" fmla="*/ 520 h 111"/>
                <a:gd name="T28" fmla="+- 0 2469 2411"/>
                <a:gd name="T29" fmla="*/ T28 w 79"/>
                <a:gd name="T30" fmla="+- 0 522 520"/>
                <a:gd name="T31" fmla="*/ 522 h 111"/>
                <a:gd name="T32" fmla="+- 0 2475 2411"/>
                <a:gd name="T33" fmla="*/ T32 w 79"/>
                <a:gd name="T34" fmla="+- 0 531 520"/>
                <a:gd name="T35" fmla="*/ 531 h 111"/>
                <a:gd name="T36" fmla="+- 0 2443 2411"/>
                <a:gd name="T37" fmla="*/ T36 w 79"/>
                <a:gd name="T38" fmla="+- 0 531 520"/>
                <a:gd name="T39" fmla="*/ 531 h 111"/>
                <a:gd name="T40" fmla="+- 0 2426 2411"/>
                <a:gd name="T41" fmla="*/ T40 w 79"/>
                <a:gd name="T42" fmla="+- 0 542 520"/>
                <a:gd name="T43" fmla="*/ 542 h 111"/>
                <a:gd name="T44" fmla="+- 0 2420 2411"/>
                <a:gd name="T45" fmla="*/ T44 w 79"/>
                <a:gd name="T46" fmla="+- 0 565 520"/>
                <a:gd name="T47" fmla="*/ 565 h 111"/>
                <a:gd name="T48" fmla="+- 0 2429 2411"/>
                <a:gd name="T49" fmla="*/ T48 w 79"/>
                <a:gd name="T50" fmla="+- 0 584 520"/>
                <a:gd name="T51" fmla="*/ 584 h 111"/>
                <a:gd name="T52" fmla="+- 0 2449 2411"/>
                <a:gd name="T53" fmla="*/ T52 w 79"/>
                <a:gd name="T54" fmla="+- 0 592 520"/>
                <a:gd name="T55" fmla="*/ 592 h 111"/>
                <a:gd name="T56" fmla="+- 0 2474 2411"/>
                <a:gd name="T57" fmla="*/ T56 w 79"/>
                <a:gd name="T58" fmla="+- 0 592 520"/>
                <a:gd name="T59" fmla="*/ 592 h 111"/>
                <a:gd name="T60" fmla="+- 0 2461 2411"/>
                <a:gd name="T61" fmla="*/ T60 w 79"/>
                <a:gd name="T62" fmla="+- 0 599 520"/>
                <a:gd name="T63" fmla="*/ 599 h 111"/>
                <a:gd name="T64" fmla="+- 0 2436 2411"/>
                <a:gd name="T65" fmla="*/ T64 w 79"/>
                <a:gd name="T66" fmla="+- 0 600 520"/>
                <a:gd name="T67" fmla="*/ 600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9" h="111">
                  <a:moveTo>
                    <a:pt x="25" y="80"/>
                  </a:moveTo>
                  <a:lnTo>
                    <a:pt x="12" y="70"/>
                  </a:lnTo>
                  <a:lnTo>
                    <a:pt x="3" y="51"/>
                  </a:lnTo>
                  <a:lnTo>
                    <a:pt x="3" y="21"/>
                  </a:lnTo>
                  <a:lnTo>
                    <a:pt x="18" y="6"/>
                  </a:lnTo>
                  <a:lnTo>
                    <a:pt x="38" y="0"/>
                  </a:lnTo>
                  <a:lnTo>
                    <a:pt x="44" y="0"/>
                  </a:lnTo>
                  <a:lnTo>
                    <a:pt x="58" y="2"/>
                  </a:lnTo>
                  <a:lnTo>
                    <a:pt x="64" y="11"/>
                  </a:lnTo>
                  <a:lnTo>
                    <a:pt x="32" y="11"/>
                  </a:lnTo>
                  <a:lnTo>
                    <a:pt x="15" y="22"/>
                  </a:lnTo>
                  <a:lnTo>
                    <a:pt x="9" y="45"/>
                  </a:lnTo>
                  <a:lnTo>
                    <a:pt x="18" y="64"/>
                  </a:lnTo>
                  <a:lnTo>
                    <a:pt x="38" y="72"/>
                  </a:lnTo>
                  <a:lnTo>
                    <a:pt x="63" y="72"/>
                  </a:lnTo>
                  <a:lnTo>
                    <a:pt x="50" y="79"/>
                  </a:lnTo>
                  <a:lnTo>
                    <a:pt x="25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1" name="Freeform 4850">
              <a:extLst>
                <a:ext uri="{FF2B5EF4-FFF2-40B4-BE49-F238E27FC236}">
                  <a16:creationId xmlns:a16="http://schemas.microsoft.com/office/drawing/2014/main" id="{D8088929-A855-A928-30BC-0A9ECD6E2C2D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89 2411"/>
                <a:gd name="T1" fmla="*/ T0 w 79"/>
                <a:gd name="T2" fmla="+- 0 535 520"/>
                <a:gd name="T3" fmla="*/ 535 h 111"/>
                <a:gd name="T4" fmla="+- 0 2478 2411"/>
                <a:gd name="T5" fmla="*/ T4 w 79"/>
                <a:gd name="T6" fmla="+- 0 535 520"/>
                <a:gd name="T7" fmla="*/ 535 h 111"/>
                <a:gd name="T8" fmla="+- 0 2478 2411"/>
                <a:gd name="T9" fmla="*/ T8 w 79"/>
                <a:gd name="T10" fmla="+- 0 522 520"/>
                <a:gd name="T11" fmla="*/ 522 h 111"/>
                <a:gd name="T12" fmla="+- 0 2489 2411"/>
                <a:gd name="T13" fmla="*/ T12 w 79"/>
                <a:gd name="T14" fmla="+- 0 522 520"/>
                <a:gd name="T15" fmla="*/ 522 h 111"/>
                <a:gd name="T16" fmla="+- 0 2489 2411"/>
                <a:gd name="T17" fmla="*/ T16 w 79"/>
                <a:gd name="T18" fmla="+- 0 535 520"/>
                <a:gd name="T19" fmla="*/ 535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9" h="111">
                  <a:moveTo>
                    <a:pt x="78" y="15"/>
                  </a:moveTo>
                  <a:lnTo>
                    <a:pt x="67" y="15"/>
                  </a:lnTo>
                  <a:lnTo>
                    <a:pt x="67" y="2"/>
                  </a:lnTo>
                  <a:lnTo>
                    <a:pt x="78" y="2"/>
                  </a:lnTo>
                  <a:lnTo>
                    <a:pt x="78" y="1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2" name="Freeform 4849">
              <a:extLst>
                <a:ext uri="{FF2B5EF4-FFF2-40B4-BE49-F238E27FC236}">
                  <a16:creationId xmlns:a16="http://schemas.microsoft.com/office/drawing/2014/main" id="{B98411FB-D36E-E980-039D-5DC7F752A69F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74 2411"/>
                <a:gd name="T1" fmla="*/ T0 w 79"/>
                <a:gd name="T2" fmla="+- 0 592 520"/>
                <a:gd name="T3" fmla="*/ 592 h 111"/>
                <a:gd name="T4" fmla="+- 0 2449 2411"/>
                <a:gd name="T5" fmla="*/ T4 w 79"/>
                <a:gd name="T6" fmla="+- 0 592 520"/>
                <a:gd name="T7" fmla="*/ 592 h 111"/>
                <a:gd name="T8" fmla="+- 0 2460 2411"/>
                <a:gd name="T9" fmla="*/ T8 w 79"/>
                <a:gd name="T10" fmla="+- 0 590 520"/>
                <a:gd name="T11" fmla="*/ 590 h 111"/>
                <a:gd name="T12" fmla="+- 0 2474 2411"/>
                <a:gd name="T13" fmla="*/ T12 w 79"/>
                <a:gd name="T14" fmla="+- 0 576 520"/>
                <a:gd name="T15" fmla="*/ 576 h 111"/>
                <a:gd name="T16" fmla="+- 0 2478 2411"/>
                <a:gd name="T17" fmla="*/ T16 w 79"/>
                <a:gd name="T18" fmla="+- 0 553 520"/>
                <a:gd name="T19" fmla="*/ 553 h 111"/>
                <a:gd name="T20" fmla="+- 0 2466 2411"/>
                <a:gd name="T21" fmla="*/ T20 w 79"/>
                <a:gd name="T22" fmla="+- 0 537 520"/>
                <a:gd name="T23" fmla="*/ 537 h 111"/>
                <a:gd name="T24" fmla="+- 0 2443 2411"/>
                <a:gd name="T25" fmla="*/ T24 w 79"/>
                <a:gd name="T26" fmla="+- 0 531 520"/>
                <a:gd name="T27" fmla="*/ 531 h 111"/>
                <a:gd name="T28" fmla="+- 0 2475 2411"/>
                <a:gd name="T29" fmla="*/ T28 w 79"/>
                <a:gd name="T30" fmla="+- 0 531 520"/>
                <a:gd name="T31" fmla="*/ 531 h 111"/>
                <a:gd name="T32" fmla="+- 0 2478 2411"/>
                <a:gd name="T33" fmla="*/ T32 w 79"/>
                <a:gd name="T34" fmla="+- 0 535 520"/>
                <a:gd name="T35" fmla="*/ 535 h 111"/>
                <a:gd name="T36" fmla="+- 0 2489 2411"/>
                <a:gd name="T37" fmla="*/ T36 w 79"/>
                <a:gd name="T38" fmla="+- 0 535 520"/>
                <a:gd name="T39" fmla="*/ 535 h 111"/>
                <a:gd name="T40" fmla="+- 0 2489 2411"/>
                <a:gd name="T41" fmla="*/ T40 w 79"/>
                <a:gd name="T42" fmla="+- 0 591 520"/>
                <a:gd name="T43" fmla="*/ 591 h 111"/>
                <a:gd name="T44" fmla="+- 0 2476 2411"/>
                <a:gd name="T45" fmla="*/ T44 w 79"/>
                <a:gd name="T46" fmla="+- 0 591 520"/>
                <a:gd name="T47" fmla="*/ 591 h 111"/>
                <a:gd name="T48" fmla="+- 0 2474 2411"/>
                <a:gd name="T49" fmla="*/ T48 w 79"/>
                <a:gd name="T50" fmla="+- 0 592 520"/>
                <a:gd name="T51" fmla="*/ 592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79" h="111">
                  <a:moveTo>
                    <a:pt x="63" y="72"/>
                  </a:moveTo>
                  <a:lnTo>
                    <a:pt x="38" y="72"/>
                  </a:lnTo>
                  <a:lnTo>
                    <a:pt x="49" y="70"/>
                  </a:lnTo>
                  <a:lnTo>
                    <a:pt x="63" y="56"/>
                  </a:lnTo>
                  <a:lnTo>
                    <a:pt x="67" y="33"/>
                  </a:lnTo>
                  <a:lnTo>
                    <a:pt x="55" y="17"/>
                  </a:lnTo>
                  <a:lnTo>
                    <a:pt x="32" y="11"/>
                  </a:lnTo>
                  <a:lnTo>
                    <a:pt x="64" y="11"/>
                  </a:lnTo>
                  <a:lnTo>
                    <a:pt x="67" y="15"/>
                  </a:lnTo>
                  <a:lnTo>
                    <a:pt x="78" y="15"/>
                  </a:lnTo>
                  <a:lnTo>
                    <a:pt x="78" y="71"/>
                  </a:lnTo>
                  <a:lnTo>
                    <a:pt x="65" y="71"/>
                  </a:lnTo>
                  <a:lnTo>
                    <a:pt x="63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3" name="Freeform 4848">
              <a:extLst>
                <a:ext uri="{FF2B5EF4-FFF2-40B4-BE49-F238E27FC236}">
                  <a16:creationId xmlns:a16="http://schemas.microsoft.com/office/drawing/2014/main" id="{E3942A74-0025-FC20-4AAA-AA3C91BA4FBE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79 2411"/>
                <a:gd name="T1" fmla="*/ T0 w 79"/>
                <a:gd name="T2" fmla="+- 0 621 520"/>
                <a:gd name="T3" fmla="*/ 621 h 111"/>
                <a:gd name="T4" fmla="+- 0 2464 2411"/>
                <a:gd name="T5" fmla="*/ T4 w 79"/>
                <a:gd name="T6" fmla="+- 0 621 520"/>
                <a:gd name="T7" fmla="*/ 621 h 111"/>
                <a:gd name="T8" fmla="+- 0 2478 2411"/>
                <a:gd name="T9" fmla="*/ T8 w 79"/>
                <a:gd name="T10" fmla="+- 0 613 520"/>
                <a:gd name="T11" fmla="*/ 613 h 111"/>
                <a:gd name="T12" fmla="+- 0 2478 2411"/>
                <a:gd name="T13" fmla="*/ T12 w 79"/>
                <a:gd name="T14" fmla="+- 0 592 520"/>
                <a:gd name="T15" fmla="*/ 592 h 111"/>
                <a:gd name="T16" fmla="+- 0 2476 2411"/>
                <a:gd name="T17" fmla="*/ T16 w 79"/>
                <a:gd name="T18" fmla="+- 0 591 520"/>
                <a:gd name="T19" fmla="*/ 591 h 111"/>
                <a:gd name="T20" fmla="+- 0 2489 2411"/>
                <a:gd name="T21" fmla="*/ T20 w 79"/>
                <a:gd name="T22" fmla="+- 0 591 520"/>
                <a:gd name="T23" fmla="*/ 591 h 111"/>
                <a:gd name="T24" fmla="+- 0 2489 2411"/>
                <a:gd name="T25" fmla="*/ T24 w 79"/>
                <a:gd name="T26" fmla="+- 0 607 520"/>
                <a:gd name="T27" fmla="*/ 607 h 111"/>
                <a:gd name="T28" fmla="+- 0 2482 2411"/>
                <a:gd name="T29" fmla="*/ T28 w 79"/>
                <a:gd name="T30" fmla="+- 0 616 520"/>
                <a:gd name="T31" fmla="*/ 616 h 111"/>
                <a:gd name="T32" fmla="+- 0 2479 2411"/>
                <a:gd name="T33" fmla="*/ T32 w 79"/>
                <a:gd name="T34" fmla="+- 0 621 520"/>
                <a:gd name="T35" fmla="*/ 621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79" h="111">
                  <a:moveTo>
                    <a:pt x="68" y="101"/>
                  </a:moveTo>
                  <a:lnTo>
                    <a:pt x="53" y="101"/>
                  </a:lnTo>
                  <a:lnTo>
                    <a:pt x="67" y="93"/>
                  </a:lnTo>
                  <a:lnTo>
                    <a:pt x="67" y="72"/>
                  </a:lnTo>
                  <a:lnTo>
                    <a:pt x="65" y="71"/>
                  </a:lnTo>
                  <a:lnTo>
                    <a:pt x="78" y="71"/>
                  </a:lnTo>
                  <a:lnTo>
                    <a:pt x="78" y="87"/>
                  </a:lnTo>
                  <a:lnTo>
                    <a:pt x="71" y="96"/>
                  </a:lnTo>
                  <a:lnTo>
                    <a:pt x="68" y="10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4" name="Freeform 4847">
              <a:extLst>
                <a:ext uri="{FF2B5EF4-FFF2-40B4-BE49-F238E27FC236}">
                  <a16:creationId xmlns:a16="http://schemas.microsoft.com/office/drawing/2014/main" id="{A25BB0AA-9123-17C4-ABDC-FC381A21AA89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53 2411"/>
                <a:gd name="T1" fmla="*/ T0 w 79"/>
                <a:gd name="T2" fmla="+- 0 631 520"/>
                <a:gd name="T3" fmla="*/ 631 h 111"/>
                <a:gd name="T4" fmla="+- 0 2446 2411"/>
                <a:gd name="T5" fmla="*/ T4 w 79"/>
                <a:gd name="T6" fmla="+- 0 630 520"/>
                <a:gd name="T7" fmla="*/ 630 h 111"/>
                <a:gd name="T8" fmla="+- 0 2427 2411"/>
                <a:gd name="T9" fmla="*/ T8 w 79"/>
                <a:gd name="T10" fmla="+- 0 624 520"/>
                <a:gd name="T11" fmla="*/ 624 h 111"/>
                <a:gd name="T12" fmla="+- 0 2411 2411"/>
                <a:gd name="T13" fmla="*/ T12 w 79"/>
                <a:gd name="T14" fmla="+- 0 602 520"/>
                <a:gd name="T15" fmla="*/ 602 h 111"/>
                <a:gd name="T16" fmla="+- 0 2411 2411"/>
                <a:gd name="T17" fmla="*/ T16 w 79"/>
                <a:gd name="T18" fmla="+- 0 601 520"/>
                <a:gd name="T19" fmla="*/ 601 h 111"/>
                <a:gd name="T20" fmla="+- 0 2423 2411"/>
                <a:gd name="T21" fmla="*/ T20 w 79"/>
                <a:gd name="T22" fmla="+- 0 601 520"/>
                <a:gd name="T23" fmla="*/ 601 h 111"/>
                <a:gd name="T24" fmla="+- 0 2423 2411"/>
                <a:gd name="T25" fmla="*/ T24 w 79"/>
                <a:gd name="T26" fmla="+- 0 602 520"/>
                <a:gd name="T27" fmla="*/ 602 h 111"/>
                <a:gd name="T28" fmla="+- 0 2425 2411"/>
                <a:gd name="T29" fmla="*/ T28 w 79"/>
                <a:gd name="T30" fmla="+- 0 607 520"/>
                <a:gd name="T31" fmla="*/ 607 h 111"/>
                <a:gd name="T32" fmla="+- 0 2433 2411"/>
                <a:gd name="T33" fmla="*/ T32 w 79"/>
                <a:gd name="T34" fmla="+- 0 621 520"/>
                <a:gd name="T35" fmla="*/ 621 h 111"/>
                <a:gd name="T36" fmla="+- 0 2479 2411"/>
                <a:gd name="T37" fmla="*/ T36 w 79"/>
                <a:gd name="T38" fmla="+- 0 621 520"/>
                <a:gd name="T39" fmla="*/ 621 h 111"/>
                <a:gd name="T40" fmla="+- 0 2472 2411"/>
                <a:gd name="T41" fmla="*/ T40 w 79"/>
                <a:gd name="T42" fmla="+- 0 630 520"/>
                <a:gd name="T43" fmla="*/ 630 h 111"/>
                <a:gd name="T44" fmla="+- 0 2453 2411"/>
                <a:gd name="T45" fmla="*/ T44 w 79"/>
                <a:gd name="T46" fmla="+- 0 631 520"/>
                <a:gd name="T47" fmla="*/ 631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79" h="111">
                  <a:moveTo>
                    <a:pt x="42" y="111"/>
                  </a:moveTo>
                  <a:lnTo>
                    <a:pt x="35" y="110"/>
                  </a:lnTo>
                  <a:lnTo>
                    <a:pt x="16" y="104"/>
                  </a:lnTo>
                  <a:lnTo>
                    <a:pt x="0" y="82"/>
                  </a:lnTo>
                  <a:lnTo>
                    <a:pt x="0" y="81"/>
                  </a:lnTo>
                  <a:lnTo>
                    <a:pt x="12" y="81"/>
                  </a:lnTo>
                  <a:lnTo>
                    <a:pt x="12" y="82"/>
                  </a:lnTo>
                  <a:lnTo>
                    <a:pt x="14" y="87"/>
                  </a:lnTo>
                  <a:lnTo>
                    <a:pt x="22" y="101"/>
                  </a:lnTo>
                  <a:lnTo>
                    <a:pt x="68" y="101"/>
                  </a:lnTo>
                  <a:lnTo>
                    <a:pt x="61" y="110"/>
                  </a:lnTo>
                  <a:lnTo>
                    <a:pt x="42" y="11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5124522B-D137-699E-3BCC-78866E56147F}"/>
              </a:ext>
            </a:extLst>
          </xdr:cNvPr>
          <xdr:cNvGrpSpPr>
            <a:grpSpLocks/>
          </xdr:cNvGrpSpPr>
        </xdr:nvGrpSpPr>
        <xdr:grpSpPr bwMode="auto">
          <a:xfrm>
            <a:off x="2506" y="520"/>
            <a:ext cx="115" cy="81"/>
            <a:chOff x="2506" y="520"/>
            <a:chExt cx="115" cy="81"/>
          </a:xfrm>
        </xdr:grpSpPr>
        <xdr:sp macro="" textlink="">
          <xdr:nvSpPr>
            <xdr:cNvPr id="45" name="Freeform 4845">
              <a:extLst>
                <a:ext uri="{FF2B5EF4-FFF2-40B4-BE49-F238E27FC236}">
                  <a16:creationId xmlns:a16="http://schemas.microsoft.com/office/drawing/2014/main" id="{73FAF370-61C1-B12E-1C83-C54CFC097197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61 2506"/>
                <a:gd name="T1" fmla="*/ T0 w 115"/>
                <a:gd name="T2" fmla="+- 0 530 520"/>
                <a:gd name="T3" fmla="*/ 530 h 81"/>
                <a:gd name="T4" fmla="+- 0 2517 2506"/>
                <a:gd name="T5" fmla="*/ T4 w 115"/>
                <a:gd name="T6" fmla="+- 0 530 520"/>
                <a:gd name="T7" fmla="*/ 530 h 81"/>
                <a:gd name="T8" fmla="+- 0 2522 2506"/>
                <a:gd name="T9" fmla="*/ T8 w 115"/>
                <a:gd name="T10" fmla="+- 0 523 520"/>
                <a:gd name="T11" fmla="*/ 523 h 81"/>
                <a:gd name="T12" fmla="+- 0 2530 2506"/>
                <a:gd name="T13" fmla="*/ T12 w 115"/>
                <a:gd name="T14" fmla="+- 0 520 520"/>
                <a:gd name="T15" fmla="*/ 520 h 81"/>
                <a:gd name="T16" fmla="+- 0 2544 2506"/>
                <a:gd name="T17" fmla="*/ T16 w 115"/>
                <a:gd name="T18" fmla="+- 0 520 520"/>
                <a:gd name="T19" fmla="*/ 520 h 81"/>
                <a:gd name="T20" fmla="+- 0 2557 2506"/>
                <a:gd name="T21" fmla="*/ T20 w 115"/>
                <a:gd name="T22" fmla="+- 0 523 520"/>
                <a:gd name="T23" fmla="*/ 523 h 81"/>
                <a:gd name="T24" fmla="+- 0 2561 2506"/>
                <a:gd name="T25" fmla="*/ T24 w 115"/>
                <a:gd name="T26" fmla="+- 0 530 520"/>
                <a:gd name="T27" fmla="*/ 53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15" h="81">
                  <a:moveTo>
                    <a:pt x="55" y="10"/>
                  </a:moveTo>
                  <a:lnTo>
                    <a:pt x="11" y="10"/>
                  </a:lnTo>
                  <a:lnTo>
                    <a:pt x="16" y="3"/>
                  </a:lnTo>
                  <a:lnTo>
                    <a:pt x="24" y="0"/>
                  </a:lnTo>
                  <a:lnTo>
                    <a:pt x="38" y="0"/>
                  </a:lnTo>
                  <a:lnTo>
                    <a:pt x="51" y="3"/>
                  </a:lnTo>
                  <a:lnTo>
                    <a:pt x="55" y="1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6" name="Freeform 4844">
              <a:extLst>
                <a:ext uri="{FF2B5EF4-FFF2-40B4-BE49-F238E27FC236}">
                  <a16:creationId xmlns:a16="http://schemas.microsoft.com/office/drawing/2014/main" id="{6FE364C1-FCD9-14C5-86BE-5F1A5B6CE83D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75 2506"/>
                <a:gd name="T1" fmla="*/ T0 w 115"/>
                <a:gd name="T2" fmla="+- 0 534 520"/>
                <a:gd name="T3" fmla="*/ 534 h 81"/>
                <a:gd name="T4" fmla="+- 0 2563 2506"/>
                <a:gd name="T5" fmla="*/ T4 w 115"/>
                <a:gd name="T6" fmla="+- 0 534 520"/>
                <a:gd name="T7" fmla="*/ 534 h 81"/>
                <a:gd name="T8" fmla="+- 0 2569 2506"/>
                <a:gd name="T9" fmla="*/ T8 w 115"/>
                <a:gd name="T10" fmla="+- 0 523 520"/>
                <a:gd name="T11" fmla="*/ 523 h 81"/>
                <a:gd name="T12" fmla="+- 0 2582 2506"/>
                <a:gd name="T13" fmla="*/ T12 w 115"/>
                <a:gd name="T14" fmla="+- 0 520 520"/>
                <a:gd name="T15" fmla="*/ 520 h 81"/>
                <a:gd name="T16" fmla="+- 0 2589 2506"/>
                <a:gd name="T17" fmla="*/ T16 w 115"/>
                <a:gd name="T18" fmla="+- 0 520 520"/>
                <a:gd name="T19" fmla="*/ 520 h 81"/>
                <a:gd name="T20" fmla="+- 0 2594 2506"/>
                <a:gd name="T21" fmla="*/ T20 w 115"/>
                <a:gd name="T22" fmla="+- 0 521 520"/>
                <a:gd name="T23" fmla="*/ 521 h 81"/>
                <a:gd name="T24" fmla="+- 0 2612 2506"/>
                <a:gd name="T25" fmla="*/ T24 w 115"/>
                <a:gd name="T26" fmla="+- 0 529 520"/>
                <a:gd name="T27" fmla="*/ 529 h 81"/>
                <a:gd name="T28" fmla="+- 0 2612 2506"/>
                <a:gd name="T29" fmla="*/ T28 w 115"/>
                <a:gd name="T30" fmla="+- 0 530 520"/>
                <a:gd name="T31" fmla="*/ 530 h 81"/>
                <a:gd name="T32" fmla="+- 0 2582 2506"/>
                <a:gd name="T33" fmla="*/ T32 w 115"/>
                <a:gd name="T34" fmla="+- 0 530 520"/>
                <a:gd name="T35" fmla="*/ 530 h 81"/>
                <a:gd name="T36" fmla="+- 0 2576 2506"/>
                <a:gd name="T37" fmla="*/ T36 w 115"/>
                <a:gd name="T38" fmla="+- 0 534 520"/>
                <a:gd name="T39" fmla="*/ 534 h 81"/>
                <a:gd name="T40" fmla="+- 0 2575 2506"/>
                <a:gd name="T41" fmla="*/ T40 w 115"/>
                <a:gd name="T42" fmla="+- 0 534 520"/>
                <a:gd name="T43" fmla="*/ 534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15" h="81">
                  <a:moveTo>
                    <a:pt x="69" y="14"/>
                  </a:moveTo>
                  <a:lnTo>
                    <a:pt x="57" y="14"/>
                  </a:lnTo>
                  <a:lnTo>
                    <a:pt x="63" y="3"/>
                  </a:lnTo>
                  <a:lnTo>
                    <a:pt x="76" y="0"/>
                  </a:lnTo>
                  <a:lnTo>
                    <a:pt x="83" y="0"/>
                  </a:lnTo>
                  <a:lnTo>
                    <a:pt x="88" y="1"/>
                  </a:lnTo>
                  <a:lnTo>
                    <a:pt x="106" y="9"/>
                  </a:lnTo>
                  <a:lnTo>
                    <a:pt x="106" y="10"/>
                  </a:lnTo>
                  <a:lnTo>
                    <a:pt x="76" y="10"/>
                  </a:lnTo>
                  <a:lnTo>
                    <a:pt x="70" y="14"/>
                  </a:lnTo>
                  <a:lnTo>
                    <a:pt x="69" y="14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7" name="Freeform 4843">
              <a:extLst>
                <a:ext uri="{FF2B5EF4-FFF2-40B4-BE49-F238E27FC236}">
                  <a16:creationId xmlns:a16="http://schemas.microsoft.com/office/drawing/2014/main" id="{43CCF0E8-F89A-125F-B486-BAD1AB6A69AA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17 2506"/>
                <a:gd name="T1" fmla="*/ T0 w 115"/>
                <a:gd name="T2" fmla="+- 0 601 520"/>
                <a:gd name="T3" fmla="*/ 601 h 81"/>
                <a:gd name="T4" fmla="+- 0 2506 2506"/>
                <a:gd name="T5" fmla="*/ T4 w 115"/>
                <a:gd name="T6" fmla="+- 0 601 520"/>
                <a:gd name="T7" fmla="*/ 601 h 81"/>
                <a:gd name="T8" fmla="+- 0 2506 2506"/>
                <a:gd name="T9" fmla="*/ T8 w 115"/>
                <a:gd name="T10" fmla="+- 0 522 520"/>
                <a:gd name="T11" fmla="*/ 522 h 81"/>
                <a:gd name="T12" fmla="+- 0 2517 2506"/>
                <a:gd name="T13" fmla="*/ T12 w 115"/>
                <a:gd name="T14" fmla="+- 0 522 520"/>
                <a:gd name="T15" fmla="*/ 522 h 81"/>
                <a:gd name="T16" fmla="+- 0 2517 2506"/>
                <a:gd name="T17" fmla="*/ T16 w 115"/>
                <a:gd name="T18" fmla="+- 0 530 520"/>
                <a:gd name="T19" fmla="*/ 530 h 81"/>
                <a:gd name="T20" fmla="+- 0 2561 2506"/>
                <a:gd name="T21" fmla="*/ T20 w 115"/>
                <a:gd name="T22" fmla="+- 0 530 520"/>
                <a:gd name="T23" fmla="*/ 530 h 81"/>
                <a:gd name="T24" fmla="+- 0 2561 2506"/>
                <a:gd name="T25" fmla="*/ T24 w 115"/>
                <a:gd name="T26" fmla="+- 0 530 520"/>
                <a:gd name="T27" fmla="*/ 530 h 81"/>
                <a:gd name="T28" fmla="+- 0 2530 2506"/>
                <a:gd name="T29" fmla="*/ T28 w 115"/>
                <a:gd name="T30" fmla="+- 0 530 520"/>
                <a:gd name="T31" fmla="*/ 530 h 81"/>
                <a:gd name="T32" fmla="+- 0 2524 2506"/>
                <a:gd name="T33" fmla="*/ T32 w 115"/>
                <a:gd name="T34" fmla="+- 0 534 520"/>
                <a:gd name="T35" fmla="*/ 534 h 81"/>
                <a:gd name="T36" fmla="+- 0 2520 2506"/>
                <a:gd name="T37" fmla="*/ T36 w 115"/>
                <a:gd name="T38" fmla="+- 0 540 520"/>
                <a:gd name="T39" fmla="*/ 540 h 81"/>
                <a:gd name="T40" fmla="+- 0 2518 2506"/>
                <a:gd name="T41" fmla="*/ T40 w 115"/>
                <a:gd name="T42" fmla="+- 0 543 520"/>
                <a:gd name="T43" fmla="*/ 543 h 81"/>
                <a:gd name="T44" fmla="+- 0 2517 2506"/>
                <a:gd name="T45" fmla="*/ T44 w 115"/>
                <a:gd name="T46" fmla="+- 0 547 520"/>
                <a:gd name="T47" fmla="*/ 547 h 81"/>
                <a:gd name="T48" fmla="+- 0 2517 2506"/>
                <a:gd name="T49" fmla="*/ T48 w 115"/>
                <a:gd name="T50" fmla="+- 0 601 520"/>
                <a:gd name="T51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115" h="81">
                  <a:moveTo>
                    <a:pt x="11" y="81"/>
                  </a:moveTo>
                  <a:lnTo>
                    <a:pt x="0" y="81"/>
                  </a:lnTo>
                  <a:lnTo>
                    <a:pt x="0" y="2"/>
                  </a:lnTo>
                  <a:lnTo>
                    <a:pt x="11" y="2"/>
                  </a:lnTo>
                  <a:lnTo>
                    <a:pt x="11" y="10"/>
                  </a:lnTo>
                  <a:lnTo>
                    <a:pt x="55" y="10"/>
                  </a:lnTo>
                  <a:lnTo>
                    <a:pt x="24" y="10"/>
                  </a:lnTo>
                  <a:lnTo>
                    <a:pt x="18" y="14"/>
                  </a:lnTo>
                  <a:lnTo>
                    <a:pt x="14" y="20"/>
                  </a:lnTo>
                  <a:lnTo>
                    <a:pt x="12" y="23"/>
                  </a:lnTo>
                  <a:lnTo>
                    <a:pt x="11" y="27"/>
                  </a:lnTo>
                  <a:lnTo>
                    <a:pt x="11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8" name="Freeform 4842">
              <a:extLst>
                <a:ext uri="{FF2B5EF4-FFF2-40B4-BE49-F238E27FC236}">
                  <a16:creationId xmlns:a16="http://schemas.microsoft.com/office/drawing/2014/main" id="{9C6494B9-B64F-C33B-6592-74232E344FBD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69 2506"/>
                <a:gd name="T1" fmla="*/ T0 w 115"/>
                <a:gd name="T2" fmla="+- 0 601 520"/>
                <a:gd name="T3" fmla="*/ 601 h 81"/>
                <a:gd name="T4" fmla="+- 0 2558 2506"/>
                <a:gd name="T5" fmla="*/ T4 w 115"/>
                <a:gd name="T6" fmla="+- 0 601 520"/>
                <a:gd name="T7" fmla="*/ 601 h 81"/>
                <a:gd name="T8" fmla="+- 0 2558 2506"/>
                <a:gd name="T9" fmla="*/ T8 w 115"/>
                <a:gd name="T10" fmla="+- 0 547 520"/>
                <a:gd name="T11" fmla="*/ 547 h 81"/>
                <a:gd name="T12" fmla="+- 0 2556 2506"/>
                <a:gd name="T13" fmla="*/ T12 w 115"/>
                <a:gd name="T14" fmla="+- 0 543 520"/>
                <a:gd name="T15" fmla="*/ 543 h 81"/>
                <a:gd name="T16" fmla="+- 0 2554 2506"/>
                <a:gd name="T17" fmla="*/ T16 w 115"/>
                <a:gd name="T18" fmla="+- 0 540 520"/>
                <a:gd name="T19" fmla="*/ 540 h 81"/>
                <a:gd name="T20" fmla="+- 0 2551 2506"/>
                <a:gd name="T21" fmla="*/ T20 w 115"/>
                <a:gd name="T22" fmla="+- 0 534 520"/>
                <a:gd name="T23" fmla="*/ 534 h 81"/>
                <a:gd name="T24" fmla="+- 0 2545 2506"/>
                <a:gd name="T25" fmla="*/ T24 w 115"/>
                <a:gd name="T26" fmla="+- 0 530 520"/>
                <a:gd name="T27" fmla="*/ 530 h 81"/>
                <a:gd name="T28" fmla="+- 0 2561 2506"/>
                <a:gd name="T29" fmla="*/ T28 w 115"/>
                <a:gd name="T30" fmla="+- 0 530 520"/>
                <a:gd name="T31" fmla="*/ 530 h 81"/>
                <a:gd name="T32" fmla="+- 0 2563 2506"/>
                <a:gd name="T33" fmla="*/ T32 w 115"/>
                <a:gd name="T34" fmla="+- 0 534 520"/>
                <a:gd name="T35" fmla="*/ 534 h 81"/>
                <a:gd name="T36" fmla="+- 0 2575 2506"/>
                <a:gd name="T37" fmla="*/ T36 w 115"/>
                <a:gd name="T38" fmla="+- 0 534 520"/>
                <a:gd name="T39" fmla="*/ 534 h 81"/>
                <a:gd name="T40" fmla="+- 0 2572 2506"/>
                <a:gd name="T41" fmla="*/ T40 w 115"/>
                <a:gd name="T42" fmla="+- 0 540 520"/>
                <a:gd name="T43" fmla="*/ 540 h 81"/>
                <a:gd name="T44" fmla="+- 0 2570 2506"/>
                <a:gd name="T45" fmla="*/ T44 w 115"/>
                <a:gd name="T46" fmla="+- 0 543 520"/>
                <a:gd name="T47" fmla="*/ 543 h 81"/>
                <a:gd name="T48" fmla="+- 0 2569 2506"/>
                <a:gd name="T49" fmla="*/ T48 w 115"/>
                <a:gd name="T50" fmla="+- 0 547 520"/>
                <a:gd name="T51" fmla="*/ 547 h 81"/>
                <a:gd name="T52" fmla="+- 0 2569 2506"/>
                <a:gd name="T53" fmla="*/ T52 w 115"/>
                <a:gd name="T54" fmla="+- 0 601 520"/>
                <a:gd name="T55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115" h="81">
                  <a:moveTo>
                    <a:pt x="63" y="81"/>
                  </a:moveTo>
                  <a:lnTo>
                    <a:pt x="52" y="81"/>
                  </a:lnTo>
                  <a:lnTo>
                    <a:pt x="52" y="27"/>
                  </a:lnTo>
                  <a:lnTo>
                    <a:pt x="50" y="23"/>
                  </a:lnTo>
                  <a:lnTo>
                    <a:pt x="48" y="20"/>
                  </a:lnTo>
                  <a:lnTo>
                    <a:pt x="45" y="14"/>
                  </a:lnTo>
                  <a:lnTo>
                    <a:pt x="39" y="10"/>
                  </a:lnTo>
                  <a:lnTo>
                    <a:pt x="55" y="10"/>
                  </a:lnTo>
                  <a:lnTo>
                    <a:pt x="57" y="14"/>
                  </a:lnTo>
                  <a:lnTo>
                    <a:pt x="69" y="14"/>
                  </a:lnTo>
                  <a:lnTo>
                    <a:pt x="66" y="20"/>
                  </a:lnTo>
                  <a:lnTo>
                    <a:pt x="64" y="23"/>
                  </a:lnTo>
                  <a:lnTo>
                    <a:pt x="63" y="27"/>
                  </a:lnTo>
                  <a:lnTo>
                    <a:pt x="63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9" name="Freeform 4841">
              <a:extLst>
                <a:ext uri="{FF2B5EF4-FFF2-40B4-BE49-F238E27FC236}">
                  <a16:creationId xmlns:a16="http://schemas.microsoft.com/office/drawing/2014/main" id="{C499905B-8F15-F3E9-F43A-D9686BC2F26D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620 2506"/>
                <a:gd name="T1" fmla="*/ T0 w 115"/>
                <a:gd name="T2" fmla="+- 0 601 520"/>
                <a:gd name="T3" fmla="*/ 601 h 81"/>
                <a:gd name="T4" fmla="+- 0 2609 2506"/>
                <a:gd name="T5" fmla="*/ T4 w 115"/>
                <a:gd name="T6" fmla="+- 0 601 520"/>
                <a:gd name="T7" fmla="*/ 601 h 81"/>
                <a:gd name="T8" fmla="+- 0 2609 2506"/>
                <a:gd name="T9" fmla="*/ T8 w 115"/>
                <a:gd name="T10" fmla="+- 0 547 520"/>
                <a:gd name="T11" fmla="*/ 547 h 81"/>
                <a:gd name="T12" fmla="+- 0 2608 2506"/>
                <a:gd name="T13" fmla="*/ T12 w 115"/>
                <a:gd name="T14" fmla="+- 0 543 520"/>
                <a:gd name="T15" fmla="*/ 543 h 81"/>
                <a:gd name="T16" fmla="+- 0 2606 2506"/>
                <a:gd name="T17" fmla="*/ T16 w 115"/>
                <a:gd name="T18" fmla="+- 0 540 520"/>
                <a:gd name="T19" fmla="*/ 540 h 81"/>
                <a:gd name="T20" fmla="+- 0 2603 2506"/>
                <a:gd name="T21" fmla="*/ T20 w 115"/>
                <a:gd name="T22" fmla="+- 0 534 520"/>
                <a:gd name="T23" fmla="*/ 534 h 81"/>
                <a:gd name="T24" fmla="+- 0 2596 2506"/>
                <a:gd name="T25" fmla="*/ T24 w 115"/>
                <a:gd name="T26" fmla="+- 0 530 520"/>
                <a:gd name="T27" fmla="*/ 530 h 81"/>
                <a:gd name="T28" fmla="+- 0 2612 2506"/>
                <a:gd name="T29" fmla="*/ T28 w 115"/>
                <a:gd name="T30" fmla="+- 0 530 520"/>
                <a:gd name="T31" fmla="*/ 530 h 81"/>
                <a:gd name="T32" fmla="+- 0 2620 2506"/>
                <a:gd name="T33" fmla="*/ T32 w 115"/>
                <a:gd name="T34" fmla="+- 0 554 520"/>
                <a:gd name="T35" fmla="*/ 554 h 81"/>
                <a:gd name="T36" fmla="+- 0 2620 2506"/>
                <a:gd name="T37" fmla="*/ T36 w 115"/>
                <a:gd name="T38" fmla="+- 0 601 520"/>
                <a:gd name="T39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15" h="81">
                  <a:moveTo>
                    <a:pt x="114" y="81"/>
                  </a:moveTo>
                  <a:lnTo>
                    <a:pt x="103" y="81"/>
                  </a:lnTo>
                  <a:lnTo>
                    <a:pt x="103" y="27"/>
                  </a:lnTo>
                  <a:lnTo>
                    <a:pt x="102" y="23"/>
                  </a:lnTo>
                  <a:lnTo>
                    <a:pt x="100" y="20"/>
                  </a:lnTo>
                  <a:lnTo>
                    <a:pt x="97" y="14"/>
                  </a:lnTo>
                  <a:lnTo>
                    <a:pt x="90" y="10"/>
                  </a:lnTo>
                  <a:lnTo>
                    <a:pt x="106" y="10"/>
                  </a:lnTo>
                  <a:lnTo>
                    <a:pt x="114" y="34"/>
                  </a:lnTo>
                  <a:lnTo>
                    <a:pt x="114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703BD010-5E6D-3CDE-93B8-F65263E6E653}"/>
              </a:ext>
            </a:extLst>
          </xdr:cNvPr>
          <xdr:cNvGrpSpPr>
            <a:grpSpLocks/>
          </xdr:cNvGrpSpPr>
        </xdr:nvGrpSpPr>
        <xdr:grpSpPr bwMode="auto">
          <a:xfrm>
            <a:off x="2638" y="520"/>
            <a:ext cx="78" cy="80"/>
            <a:chOff x="2638" y="520"/>
            <a:chExt cx="78" cy="80"/>
          </a:xfrm>
        </xdr:grpSpPr>
        <xdr:sp macro="" textlink="">
          <xdr:nvSpPr>
            <xdr:cNvPr id="42" name="Freeform 4839">
              <a:extLst>
                <a:ext uri="{FF2B5EF4-FFF2-40B4-BE49-F238E27FC236}">
                  <a16:creationId xmlns:a16="http://schemas.microsoft.com/office/drawing/2014/main" id="{E87C8186-45EF-B59B-D325-43CF280DA1F5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661 2638"/>
                <a:gd name="T1" fmla="*/ T0 w 78"/>
                <a:gd name="T2" fmla="+- 0 600 520"/>
                <a:gd name="T3" fmla="*/ 600 h 80"/>
                <a:gd name="T4" fmla="+- 0 2647 2638"/>
                <a:gd name="T5" fmla="*/ T4 w 78"/>
                <a:gd name="T6" fmla="+- 0 590 520"/>
                <a:gd name="T7" fmla="*/ 590 h 80"/>
                <a:gd name="T8" fmla="+- 0 2639 2638"/>
                <a:gd name="T9" fmla="*/ T8 w 78"/>
                <a:gd name="T10" fmla="+- 0 571 520"/>
                <a:gd name="T11" fmla="*/ 571 h 80"/>
                <a:gd name="T12" fmla="+- 0 2638 2638"/>
                <a:gd name="T13" fmla="*/ T12 w 78"/>
                <a:gd name="T14" fmla="+- 0 542 520"/>
                <a:gd name="T15" fmla="*/ 542 h 80"/>
                <a:gd name="T16" fmla="+- 0 2653 2638"/>
                <a:gd name="T17" fmla="*/ T16 w 78"/>
                <a:gd name="T18" fmla="+- 0 527 520"/>
                <a:gd name="T19" fmla="*/ 527 h 80"/>
                <a:gd name="T20" fmla="+- 0 2674 2638"/>
                <a:gd name="T21" fmla="*/ T20 w 78"/>
                <a:gd name="T22" fmla="+- 0 520 520"/>
                <a:gd name="T23" fmla="*/ 520 h 80"/>
                <a:gd name="T24" fmla="+- 0 2696 2638"/>
                <a:gd name="T25" fmla="*/ T24 w 78"/>
                <a:gd name="T26" fmla="+- 0 527 520"/>
                <a:gd name="T27" fmla="*/ 527 h 80"/>
                <a:gd name="T28" fmla="+- 0 2699 2638"/>
                <a:gd name="T29" fmla="*/ T28 w 78"/>
                <a:gd name="T30" fmla="+- 0 530 520"/>
                <a:gd name="T31" fmla="*/ 530 h 80"/>
                <a:gd name="T32" fmla="+- 0 2661 2638"/>
                <a:gd name="T33" fmla="*/ T32 w 78"/>
                <a:gd name="T34" fmla="+- 0 530 520"/>
                <a:gd name="T35" fmla="*/ 530 h 80"/>
                <a:gd name="T36" fmla="+- 0 2648 2638"/>
                <a:gd name="T37" fmla="*/ T36 w 78"/>
                <a:gd name="T38" fmla="+- 0 539 520"/>
                <a:gd name="T39" fmla="*/ 539 h 80"/>
                <a:gd name="T40" fmla="+- 0 2645 2638"/>
                <a:gd name="T41" fmla="*/ T40 w 78"/>
                <a:gd name="T42" fmla="+- 0 556 520"/>
                <a:gd name="T43" fmla="*/ 556 h 80"/>
                <a:gd name="T44" fmla="+- 0 2715 2638"/>
                <a:gd name="T45" fmla="*/ T44 w 78"/>
                <a:gd name="T46" fmla="+- 0 556 520"/>
                <a:gd name="T47" fmla="*/ 556 h 80"/>
                <a:gd name="T48" fmla="+- 0 2715 2638"/>
                <a:gd name="T49" fmla="*/ T48 w 78"/>
                <a:gd name="T50" fmla="+- 0 565 520"/>
                <a:gd name="T51" fmla="*/ 565 h 80"/>
                <a:gd name="T52" fmla="+- 0 2714 2638"/>
                <a:gd name="T53" fmla="*/ T52 w 78"/>
                <a:gd name="T54" fmla="+- 0 565 520"/>
                <a:gd name="T55" fmla="*/ 565 h 80"/>
                <a:gd name="T56" fmla="+- 0 2645 2638"/>
                <a:gd name="T57" fmla="*/ T56 w 78"/>
                <a:gd name="T58" fmla="+- 0 565 520"/>
                <a:gd name="T59" fmla="*/ 565 h 80"/>
                <a:gd name="T60" fmla="+- 0 2646 2638"/>
                <a:gd name="T61" fmla="*/ T60 w 78"/>
                <a:gd name="T62" fmla="+- 0 580 520"/>
                <a:gd name="T63" fmla="*/ 580 h 80"/>
                <a:gd name="T64" fmla="+- 0 2659 2638"/>
                <a:gd name="T65" fmla="*/ T64 w 78"/>
                <a:gd name="T66" fmla="+- 0 592 520"/>
                <a:gd name="T67" fmla="*/ 592 h 80"/>
                <a:gd name="T68" fmla="+- 0 2697 2638"/>
                <a:gd name="T69" fmla="*/ T68 w 78"/>
                <a:gd name="T70" fmla="+- 0 592 520"/>
                <a:gd name="T71" fmla="*/ 592 h 80"/>
                <a:gd name="T72" fmla="+- 0 2687 2638"/>
                <a:gd name="T73" fmla="*/ T72 w 78"/>
                <a:gd name="T74" fmla="+- 0 598 520"/>
                <a:gd name="T75" fmla="*/ 598 h 80"/>
                <a:gd name="T76" fmla="+- 0 2661 2638"/>
                <a:gd name="T77" fmla="*/ T76 w 78"/>
                <a:gd name="T78" fmla="+- 0 600 520"/>
                <a:gd name="T7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8" h="80">
                  <a:moveTo>
                    <a:pt x="23" y="80"/>
                  </a:moveTo>
                  <a:lnTo>
                    <a:pt x="9" y="70"/>
                  </a:lnTo>
                  <a:lnTo>
                    <a:pt x="1" y="51"/>
                  </a:lnTo>
                  <a:lnTo>
                    <a:pt x="0" y="22"/>
                  </a:lnTo>
                  <a:lnTo>
                    <a:pt x="15" y="7"/>
                  </a:lnTo>
                  <a:lnTo>
                    <a:pt x="36" y="0"/>
                  </a:lnTo>
                  <a:lnTo>
                    <a:pt x="58" y="7"/>
                  </a:lnTo>
                  <a:lnTo>
                    <a:pt x="61" y="10"/>
                  </a:lnTo>
                  <a:lnTo>
                    <a:pt x="23" y="10"/>
                  </a:lnTo>
                  <a:lnTo>
                    <a:pt x="10" y="19"/>
                  </a:lnTo>
                  <a:lnTo>
                    <a:pt x="7" y="36"/>
                  </a:lnTo>
                  <a:lnTo>
                    <a:pt x="77" y="36"/>
                  </a:lnTo>
                  <a:lnTo>
                    <a:pt x="77" y="45"/>
                  </a:lnTo>
                  <a:lnTo>
                    <a:pt x="76" y="45"/>
                  </a:lnTo>
                  <a:lnTo>
                    <a:pt x="7" y="45"/>
                  </a:lnTo>
                  <a:lnTo>
                    <a:pt x="8" y="60"/>
                  </a:lnTo>
                  <a:lnTo>
                    <a:pt x="21" y="72"/>
                  </a:lnTo>
                  <a:lnTo>
                    <a:pt x="59" y="72"/>
                  </a:lnTo>
                  <a:lnTo>
                    <a:pt x="49" y="78"/>
                  </a:lnTo>
                  <a:lnTo>
                    <a:pt x="23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3" name="Freeform 4838">
              <a:extLst>
                <a:ext uri="{FF2B5EF4-FFF2-40B4-BE49-F238E27FC236}">
                  <a16:creationId xmlns:a16="http://schemas.microsoft.com/office/drawing/2014/main" id="{BE2E6A9A-D01C-898D-A598-CD2196EB5BD8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715 2638"/>
                <a:gd name="T1" fmla="*/ T0 w 78"/>
                <a:gd name="T2" fmla="+- 0 556 520"/>
                <a:gd name="T3" fmla="*/ 556 h 80"/>
                <a:gd name="T4" fmla="+- 0 2703 2638"/>
                <a:gd name="T5" fmla="*/ T4 w 78"/>
                <a:gd name="T6" fmla="+- 0 556 520"/>
                <a:gd name="T7" fmla="*/ 556 h 80"/>
                <a:gd name="T8" fmla="+- 0 2700 2638"/>
                <a:gd name="T9" fmla="*/ T8 w 78"/>
                <a:gd name="T10" fmla="+- 0 538 520"/>
                <a:gd name="T11" fmla="*/ 538 h 80"/>
                <a:gd name="T12" fmla="+- 0 2686 2638"/>
                <a:gd name="T13" fmla="*/ T12 w 78"/>
                <a:gd name="T14" fmla="+- 0 530 520"/>
                <a:gd name="T15" fmla="*/ 530 h 80"/>
                <a:gd name="T16" fmla="+- 0 2699 2638"/>
                <a:gd name="T17" fmla="*/ T16 w 78"/>
                <a:gd name="T18" fmla="+- 0 530 520"/>
                <a:gd name="T19" fmla="*/ 530 h 80"/>
                <a:gd name="T20" fmla="+- 0 2709 2638"/>
                <a:gd name="T21" fmla="*/ T20 w 78"/>
                <a:gd name="T22" fmla="+- 0 540 520"/>
                <a:gd name="T23" fmla="*/ 540 h 80"/>
                <a:gd name="T24" fmla="+- 0 2713 2638"/>
                <a:gd name="T25" fmla="*/ T24 w 78"/>
                <a:gd name="T26" fmla="+- 0 547 520"/>
                <a:gd name="T27" fmla="*/ 547 h 80"/>
                <a:gd name="T28" fmla="+- 0 2715 2638"/>
                <a:gd name="T29" fmla="*/ T28 w 78"/>
                <a:gd name="T30" fmla="+- 0 556 520"/>
                <a:gd name="T31" fmla="*/ 556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77" y="36"/>
                  </a:moveTo>
                  <a:lnTo>
                    <a:pt x="65" y="36"/>
                  </a:lnTo>
                  <a:lnTo>
                    <a:pt x="62" y="18"/>
                  </a:lnTo>
                  <a:lnTo>
                    <a:pt x="48" y="10"/>
                  </a:lnTo>
                  <a:lnTo>
                    <a:pt x="61" y="10"/>
                  </a:lnTo>
                  <a:lnTo>
                    <a:pt x="71" y="20"/>
                  </a:lnTo>
                  <a:lnTo>
                    <a:pt x="75" y="27"/>
                  </a:lnTo>
                  <a:lnTo>
                    <a:pt x="77" y="3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4" name="Freeform 4837">
              <a:extLst>
                <a:ext uri="{FF2B5EF4-FFF2-40B4-BE49-F238E27FC236}">
                  <a16:creationId xmlns:a16="http://schemas.microsoft.com/office/drawing/2014/main" id="{E0F69CCA-D3DF-35F6-61E2-391C075A1D18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697 2638"/>
                <a:gd name="T1" fmla="*/ T0 w 78"/>
                <a:gd name="T2" fmla="+- 0 592 520"/>
                <a:gd name="T3" fmla="*/ 592 h 80"/>
                <a:gd name="T4" fmla="+- 0 2674 2638"/>
                <a:gd name="T5" fmla="*/ T4 w 78"/>
                <a:gd name="T6" fmla="+- 0 592 520"/>
                <a:gd name="T7" fmla="*/ 592 h 80"/>
                <a:gd name="T8" fmla="+- 0 2689 2638"/>
                <a:gd name="T9" fmla="*/ T8 w 78"/>
                <a:gd name="T10" fmla="+- 0 592 520"/>
                <a:gd name="T11" fmla="*/ 592 h 80"/>
                <a:gd name="T12" fmla="+- 0 2698 2638"/>
                <a:gd name="T13" fmla="*/ T12 w 78"/>
                <a:gd name="T14" fmla="+- 0 582 520"/>
                <a:gd name="T15" fmla="*/ 582 h 80"/>
                <a:gd name="T16" fmla="+- 0 2701 2638"/>
                <a:gd name="T17" fmla="*/ T16 w 78"/>
                <a:gd name="T18" fmla="+- 0 574 520"/>
                <a:gd name="T19" fmla="*/ 574 h 80"/>
                <a:gd name="T20" fmla="+- 0 2713 2638"/>
                <a:gd name="T21" fmla="*/ T20 w 78"/>
                <a:gd name="T22" fmla="+- 0 574 520"/>
                <a:gd name="T23" fmla="*/ 574 h 80"/>
                <a:gd name="T24" fmla="+- 0 2704 2638"/>
                <a:gd name="T25" fmla="*/ T24 w 78"/>
                <a:gd name="T26" fmla="+- 0 589 520"/>
                <a:gd name="T27" fmla="*/ 589 h 80"/>
                <a:gd name="T28" fmla="+- 0 2697 2638"/>
                <a:gd name="T29" fmla="*/ T28 w 78"/>
                <a:gd name="T30" fmla="+- 0 592 520"/>
                <a:gd name="T31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59" y="72"/>
                  </a:moveTo>
                  <a:lnTo>
                    <a:pt x="36" y="72"/>
                  </a:lnTo>
                  <a:lnTo>
                    <a:pt x="51" y="72"/>
                  </a:lnTo>
                  <a:lnTo>
                    <a:pt x="60" y="62"/>
                  </a:lnTo>
                  <a:lnTo>
                    <a:pt x="63" y="54"/>
                  </a:lnTo>
                  <a:lnTo>
                    <a:pt x="75" y="54"/>
                  </a:lnTo>
                  <a:lnTo>
                    <a:pt x="66" y="69"/>
                  </a:lnTo>
                  <a:lnTo>
                    <a:pt x="59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0CE55E9B-8CE2-C830-8998-F5472F2FFE23}"/>
              </a:ext>
            </a:extLst>
          </xdr:cNvPr>
          <xdr:cNvGrpSpPr>
            <a:grpSpLocks/>
          </xdr:cNvGrpSpPr>
        </xdr:nvGrpSpPr>
        <xdr:grpSpPr bwMode="auto">
          <a:xfrm>
            <a:off x="2729" y="520"/>
            <a:ext cx="69" cy="81"/>
            <a:chOff x="2729" y="520"/>
            <a:chExt cx="69" cy="81"/>
          </a:xfrm>
        </xdr:grpSpPr>
        <xdr:sp macro="" textlink="">
          <xdr:nvSpPr>
            <xdr:cNvPr id="39" name="Freeform 4835">
              <a:extLst>
                <a:ext uri="{FF2B5EF4-FFF2-40B4-BE49-F238E27FC236}">
                  <a16:creationId xmlns:a16="http://schemas.microsoft.com/office/drawing/2014/main" id="{D3EE4A94-148D-7511-B190-8845A46658DB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53 2729"/>
                <a:gd name="T1" fmla="*/ T0 w 69"/>
                <a:gd name="T2" fmla="+- 0 531 520"/>
                <a:gd name="T3" fmla="*/ 531 h 81"/>
                <a:gd name="T4" fmla="+- 0 2740 2729"/>
                <a:gd name="T5" fmla="*/ T4 w 69"/>
                <a:gd name="T6" fmla="+- 0 531 520"/>
                <a:gd name="T7" fmla="*/ 531 h 81"/>
                <a:gd name="T8" fmla="+- 0 2744 2729"/>
                <a:gd name="T9" fmla="*/ T8 w 69"/>
                <a:gd name="T10" fmla="+- 0 526 520"/>
                <a:gd name="T11" fmla="*/ 526 h 81"/>
                <a:gd name="T12" fmla="+- 0 2752 2729"/>
                <a:gd name="T13" fmla="*/ T12 w 69"/>
                <a:gd name="T14" fmla="+- 0 520 520"/>
                <a:gd name="T15" fmla="*/ 520 h 81"/>
                <a:gd name="T16" fmla="+- 0 2774 2729"/>
                <a:gd name="T17" fmla="*/ T16 w 69"/>
                <a:gd name="T18" fmla="+- 0 520 520"/>
                <a:gd name="T19" fmla="*/ 520 h 81"/>
                <a:gd name="T20" fmla="+- 0 2782 2729"/>
                <a:gd name="T21" fmla="*/ T20 w 69"/>
                <a:gd name="T22" fmla="+- 0 523 520"/>
                <a:gd name="T23" fmla="*/ 523 h 81"/>
                <a:gd name="T24" fmla="+- 0 2789 2729"/>
                <a:gd name="T25" fmla="*/ T24 w 69"/>
                <a:gd name="T26" fmla="+- 0 530 520"/>
                <a:gd name="T27" fmla="*/ 530 h 81"/>
                <a:gd name="T28" fmla="+- 0 2761 2729"/>
                <a:gd name="T29" fmla="*/ T28 w 69"/>
                <a:gd name="T30" fmla="+- 0 530 520"/>
                <a:gd name="T31" fmla="*/ 530 h 81"/>
                <a:gd name="T32" fmla="+- 0 2753 2729"/>
                <a:gd name="T33" fmla="*/ T32 w 69"/>
                <a:gd name="T34" fmla="+- 0 531 520"/>
                <a:gd name="T35" fmla="*/ 531 h 81"/>
                <a:gd name="T36" fmla="+- 0 2753 2729"/>
                <a:gd name="T37" fmla="*/ T36 w 69"/>
                <a:gd name="T38" fmla="+- 0 531 520"/>
                <a:gd name="T39" fmla="*/ 53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9" h="81">
                  <a:moveTo>
                    <a:pt x="24" y="11"/>
                  </a:moveTo>
                  <a:lnTo>
                    <a:pt x="11" y="11"/>
                  </a:lnTo>
                  <a:lnTo>
                    <a:pt x="15" y="6"/>
                  </a:lnTo>
                  <a:lnTo>
                    <a:pt x="23" y="0"/>
                  </a:lnTo>
                  <a:lnTo>
                    <a:pt x="45" y="0"/>
                  </a:lnTo>
                  <a:lnTo>
                    <a:pt x="53" y="3"/>
                  </a:lnTo>
                  <a:lnTo>
                    <a:pt x="60" y="10"/>
                  </a:lnTo>
                  <a:lnTo>
                    <a:pt x="32" y="10"/>
                  </a:lnTo>
                  <a:lnTo>
                    <a:pt x="24" y="1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0" name="Freeform 4834">
              <a:extLst>
                <a:ext uri="{FF2B5EF4-FFF2-40B4-BE49-F238E27FC236}">
                  <a16:creationId xmlns:a16="http://schemas.microsoft.com/office/drawing/2014/main" id="{5E8E289C-D6C6-7C9B-37A8-F4D1602C29A3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40 2729"/>
                <a:gd name="T1" fmla="*/ T0 w 69"/>
                <a:gd name="T2" fmla="+- 0 601 520"/>
                <a:gd name="T3" fmla="*/ 601 h 81"/>
                <a:gd name="T4" fmla="+- 0 2729 2729"/>
                <a:gd name="T5" fmla="*/ T4 w 69"/>
                <a:gd name="T6" fmla="+- 0 601 520"/>
                <a:gd name="T7" fmla="*/ 601 h 81"/>
                <a:gd name="T8" fmla="+- 0 2729 2729"/>
                <a:gd name="T9" fmla="*/ T8 w 69"/>
                <a:gd name="T10" fmla="+- 0 522 520"/>
                <a:gd name="T11" fmla="*/ 522 h 81"/>
                <a:gd name="T12" fmla="+- 0 2740 2729"/>
                <a:gd name="T13" fmla="*/ T12 w 69"/>
                <a:gd name="T14" fmla="+- 0 522 520"/>
                <a:gd name="T15" fmla="*/ 522 h 81"/>
                <a:gd name="T16" fmla="+- 0 2740 2729"/>
                <a:gd name="T17" fmla="*/ T16 w 69"/>
                <a:gd name="T18" fmla="+- 0 531 520"/>
                <a:gd name="T19" fmla="*/ 531 h 81"/>
                <a:gd name="T20" fmla="+- 0 2753 2729"/>
                <a:gd name="T21" fmla="*/ T20 w 69"/>
                <a:gd name="T22" fmla="+- 0 531 520"/>
                <a:gd name="T23" fmla="*/ 531 h 81"/>
                <a:gd name="T24" fmla="+- 0 2747 2729"/>
                <a:gd name="T25" fmla="*/ T24 w 69"/>
                <a:gd name="T26" fmla="+- 0 537 520"/>
                <a:gd name="T27" fmla="*/ 537 h 81"/>
                <a:gd name="T28" fmla="+- 0 2743 2729"/>
                <a:gd name="T29" fmla="*/ T28 w 69"/>
                <a:gd name="T30" fmla="+- 0 541 520"/>
                <a:gd name="T31" fmla="*/ 541 h 81"/>
                <a:gd name="T32" fmla="+- 0 2740 2729"/>
                <a:gd name="T33" fmla="*/ T32 w 69"/>
                <a:gd name="T34" fmla="+- 0 549 520"/>
                <a:gd name="T35" fmla="*/ 549 h 81"/>
                <a:gd name="T36" fmla="+- 0 2740 2729"/>
                <a:gd name="T37" fmla="*/ T36 w 69"/>
                <a:gd name="T38" fmla="+- 0 558 520"/>
                <a:gd name="T39" fmla="*/ 558 h 81"/>
                <a:gd name="T40" fmla="+- 0 2740 2729"/>
                <a:gd name="T41" fmla="*/ T40 w 69"/>
                <a:gd name="T42" fmla="+- 0 601 520"/>
                <a:gd name="T43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69" h="81">
                  <a:moveTo>
                    <a:pt x="11" y="81"/>
                  </a:moveTo>
                  <a:lnTo>
                    <a:pt x="0" y="81"/>
                  </a:lnTo>
                  <a:lnTo>
                    <a:pt x="0" y="2"/>
                  </a:lnTo>
                  <a:lnTo>
                    <a:pt x="11" y="2"/>
                  </a:lnTo>
                  <a:lnTo>
                    <a:pt x="11" y="11"/>
                  </a:lnTo>
                  <a:lnTo>
                    <a:pt x="24" y="11"/>
                  </a:lnTo>
                  <a:lnTo>
                    <a:pt x="18" y="17"/>
                  </a:lnTo>
                  <a:lnTo>
                    <a:pt x="14" y="21"/>
                  </a:lnTo>
                  <a:lnTo>
                    <a:pt x="11" y="29"/>
                  </a:lnTo>
                  <a:lnTo>
                    <a:pt x="11" y="38"/>
                  </a:lnTo>
                  <a:lnTo>
                    <a:pt x="11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1" name="Freeform 4833">
              <a:extLst>
                <a:ext uri="{FF2B5EF4-FFF2-40B4-BE49-F238E27FC236}">
                  <a16:creationId xmlns:a16="http://schemas.microsoft.com/office/drawing/2014/main" id="{80B6BB22-CDDD-7D7F-008D-45C586B544EE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98 2729"/>
                <a:gd name="T1" fmla="*/ T0 w 69"/>
                <a:gd name="T2" fmla="+- 0 600 520"/>
                <a:gd name="T3" fmla="*/ 600 h 81"/>
                <a:gd name="T4" fmla="+- 0 2787 2729"/>
                <a:gd name="T5" fmla="*/ T4 w 69"/>
                <a:gd name="T6" fmla="+- 0 600 520"/>
                <a:gd name="T7" fmla="*/ 600 h 81"/>
                <a:gd name="T8" fmla="+- 0 2787 2729"/>
                <a:gd name="T9" fmla="*/ T8 w 69"/>
                <a:gd name="T10" fmla="+- 0 549 520"/>
                <a:gd name="T11" fmla="*/ 549 h 81"/>
                <a:gd name="T12" fmla="+- 0 2784 2729"/>
                <a:gd name="T13" fmla="*/ T12 w 69"/>
                <a:gd name="T14" fmla="+- 0 541 520"/>
                <a:gd name="T15" fmla="*/ 541 h 81"/>
                <a:gd name="T16" fmla="+- 0 2774 2729"/>
                <a:gd name="T17" fmla="*/ T16 w 69"/>
                <a:gd name="T18" fmla="+- 0 531 520"/>
                <a:gd name="T19" fmla="*/ 531 h 81"/>
                <a:gd name="T20" fmla="+- 0 2766 2729"/>
                <a:gd name="T21" fmla="*/ T20 w 69"/>
                <a:gd name="T22" fmla="+- 0 530 520"/>
                <a:gd name="T23" fmla="*/ 530 h 81"/>
                <a:gd name="T24" fmla="+- 0 2789 2729"/>
                <a:gd name="T25" fmla="*/ T24 w 69"/>
                <a:gd name="T26" fmla="+- 0 530 520"/>
                <a:gd name="T27" fmla="*/ 530 h 81"/>
                <a:gd name="T28" fmla="+- 0 2795 2729"/>
                <a:gd name="T29" fmla="*/ T28 w 69"/>
                <a:gd name="T30" fmla="+- 0 536 520"/>
                <a:gd name="T31" fmla="*/ 536 h 81"/>
                <a:gd name="T32" fmla="+- 0 2798 2729"/>
                <a:gd name="T33" fmla="*/ T32 w 69"/>
                <a:gd name="T34" fmla="+- 0 546 520"/>
                <a:gd name="T35" fmla="*/ 546 h 81"/>
                <a:gd name="T36" fmla="+- 0 2798 2729"/>
                <a:gd name="T37" fmla="*/ T36 w 69"/>
                <a:gd name="T38" fmla="+- 0 600 520"/>
                <a:gd name="T39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9" h="81">
                  <a:moveTo>
                    <a:pt x="69" y="80"/>
                  </a:moveTo>
                  <a:lnTo>
                    <a:pt x="58" y="80"/>
                  </a:lnTo>
                  <a:lnTo>
                    <a:pt x="58" y="29"/>
                  </a:lnTo>
                  <a:lnTo>
                    <a:pt x="55" y="21"/>
                  </a:lnTo>
                  <a:lnTo>
                    <a:pt x="45" y="11"/>
                  </a:lnTo>
                  <a:lnTo>
                    <a:pt x="37" y="10"/>
                  </a:lnTo>
                  <a:lnTo>
                    <a:pt x="60" y="10"/>
                  </a:lnTo>
                  <a:lnTo>
                    <a:pt x="66" y="16"/>
                  </a:lnTo>
                  <a:lnTo>
                    <a:pt x="69" y="26"/>
                  </a:lnTo>
                  <a:lnTo>
                    <a:pt x="69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EE199EDA-465C-FFE1-9372-BC5668063545}"/>
              </a:ext>
            </a:extLst>
          </xdr:cNvPr>
          <xdr:cNvGrpSpPr>
            <a:grpSpLocks/>
          </xdr:cNvGrpSpPr>
        </xdr:nvGrpSpPr>
        <xdr:grpSpPr bwMode="auto">
          <a:xfrm>
            <a:off x="2810" y="495"/>
            <a:ext cx="46" cy="106"/>
            <a:chOff x="2810" y="495"/>
            <a:chExt cx="46" cy="106"/>
          </a:xfrm>
        </xdr:grpSpPr>
        <xdr:sp macro="" textlink="">
          <xdr:nvSpPr>
            <xdr:cNvPr id="36" name="Freeform 4831">
              <a:extLst>
                <a:ext uri="{FF2B5EF4-FFF2-40B4-BE49-F238E27FC236}">
                  <a16:creationId xmlns:a16="http://schemas.microsoft.com/office/drawing/2014/main" id="{E33F1548-E515-2692-7475-64D3F4372DF3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37 2810"/>
                <a:gd name="T1" fmla="*/ T0 w 46"/>
                <a:gd name="T2" fmla="+- 0 522 495"/>
                <a:gd name="T3" fmla="*/ 522 h 106"/>
                <a:gd name="T4" fmla="+- 0 2826 2810"/>
                <a:gd name="T5" fmla="*/ T4 w 46"/>
                <a:gd name="T6" fmla="+- 0 522 495"/>
                <a:gd name="T7" fmla="*/ 522 h 106"/>
                <a:gd name="T8" fmla="+- 0 2826 2810"/>
                <a:gd name="T9" fmla="*/ T8 w 46"/>
                <a:gd name="T10" fmla="+- 0 495 495"/>
                <a:gd name="T11" fmla="*/ 495 h 106"/>
                <a:gd name="T12" fmla="+- 0 2837 2810"/>
                <a:gd name="T13" fmla="*/ T12 w 46"/>
                <a:gd name="T14" fmla="+- 0 495 495"/>
                <a:gd name="T15" fmla="*/ 495 h 106"/>
                <a:gd name="T16" fmla="+- 0 2837 2810"/>
                <a:gd name="T17" fmla="*/ T16 w 46"/>
                <a:gd name="T18" fmla="+- 0 522 495"/>
                <a:gd name="T19" fmla="*/ 52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27" y="27"/>
                  </a:moveTo>
                  <a:lnTo>
                    <a:pt x="16" y="27"/>
                  </a:lnTo>
                  <a:lnTo>
                    <a:pt x="16" y="0"/>
                  </a:lnTo>
                  <a:lnTo>
                    <a:pt x="27" y="0"/>
                  </a:lnTo>
                  <a:lnTo>
                    <a:pt x="27" y="2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7" name="Freeform 4830">
              <a:extLst>
                <a:ext uri="{FF2B5EF4-FFF2-40B4-BE49-F238E27FC236}">
                  <a16:creationId xmlns:a16="http://schemas.microsoft.com/office/drawing/2014/main" id="{44D54260-B41E-6A1E-2C20-786F9D34FA5D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56 2810"/>
                <a:gd name="T1" fmla="*/ T0 w 46"/>
                <a:gd name="T2" fmla="+- 0 532 495"/>
                <a:gd name="T3" fmla="*/ 532 h 106"/>
                <a:gd name="T4" fmla="+- 0 2810 2810"/>
                <a:gd name="T5" fmla="*/ T4 w 46"/>
                <a:gd name="T6" fmla="+- 0 532 495"/>
                <a:gd name="T7" fmla="*/ 532 h 106"/>
                <a:gd name="T8" fmla="+- 0 2810 2810"/>
                <a:gd name="T9" fmla="*/ T8 w 46"/>
                <a:gd name="T10" fmla="+- 0 522 495"/>
                <a:gd name="T11" fmla="*/ 522 h 106"/>
                <a:gd name="T12" fmla="+- 0 2856 2810"/>
                <a:gd name="T13" fmla="*/ T12 w 46"/>
                <a:gd name="T14" fmla="+- 0 522 495"/>
                <a:gd name="T15" fmla="*/ 522 h 106"/>
                <a:gd name="T16" fmla="+- 0 2856 2810"/>
                <a:gd name="T17" fmla="*/ T16 w 46"/>
                <a:gd name="T18" fmla="+- 0 532 495"/>
                <a:gd name="T19" fmla="*/ 53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46" y="37"/>
                  </a:moveTo>
                  <a:lnTo>
                    <a:pt x="0" y="37"/>
                  </a:lnTo>
                  <a:lnTo>
                    <a:pt x="0" y="27"/>
                  </a:lnTo>
                  <a:lnTo>
                    <a:pt x="46" y="27"/>
                  </a:lnTo>
                  <a:lnTo>
                    <a:pt x="46" y="3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8" name="Freeform 4829">
              <a:extLst>
                <a:ext uri="{FF2B5EF4-FFF2-40B4-BE49-F238E27FC236}">
                  <a16:creationId xmlns:a16="http://schemas.microsoft.com/office/drawing/2014/main" id="{612D4BD5-7769-ECF4-CE80-16ABACAB1CDB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37 2810"/>
                <a:gd name="T1" fmla="*/ T0 w 46"/>
                <a:gd name="T2" fmla="+- 0 601 495"/>
                <a:gd name="T3" fmla="*/ 601 h 106"/>
                <a:gd name="T4" fmla="+- 0 2826 2810"/>
                <a:gd name="T5" fmla="*/ T4 w 46"/>
                <a:gd name="T6" fmla="+- 0 601 495"/>
                <a:gd name="T7" fmla="*/ 601 h 106"/>
                <a:gd name="T8" fmla="+- 0 2826 2810"/>
                <a:gd name="T9" fmla="*/ T8 w 46"/>
                <a:gd name="T10" fmla="+- 0 532 495"/>
                <a:gd name="T11" fmla="*/ 532 h 106"/>
                <a:gd name="T12" fmla="+- 0 2837 2810"/>
                <a:gd name="T13" fmla="*/ T12 w 46"/>
                <a:gd name="T14" fmla="+- 0 532 495"/>
                <a:gd name="T15" fmla="*/ 532 h 106"/>
                <a:gd name="T16" fmla="+- 0 2837 2810"/>
                <a:gd name="T17" fmla="*/ T16 w 46"/>
                <a:gd name="T18" fmla="+- 0 601 495"/>
                <a:gd name="T19" fmla="*/ 601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27" y="106"/>
                  </a:moveTo>
                  <a:lnTo>
                    <a:pt x="16" y="106"/>
                  </a:lnTo>
                  <a:lnTo>
                    <a:pt x="16" y="37"/>
                  </a:lnTo>
                  <a:lnTo>
                    <a:pt x="27" y="37"/>
                  </a:lnTo>
                  <a:lnTo>
                    <a:pt x="27" y="10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E3130F25-4938-6465-693B-85AE442AB05A}"/>
              </a:ext>
            </a:extLst>
          </xdr:cNvPr>
          <xdr:cNvGrpSpPr>
            <a:grpSpLocks/>
          </xdr:cNvGrpSpPr>
        </xdr:nvGrpSpPr>
        <xdr:grpSpPr bwMode="auto">
          <a:xfrm>
            <a:off x="2867" y="520"/>
            <a:ext cx="78" cy="80"/>
            <a:chOff x="2867" y="520"/>
            <a:chExt cx="78" cy="80"/>
          </a:xfrm>
        </xdr:grpSpPr>
        <xdr:sp macro="" textlink="">
          <xdr:nvSpPr>
            <xdr:cNvPr id="33" name="Freeform 4827">
              <a:extLst>
                <a:ext uri="{FF2B5EF4-FFF2-40B4-BE49-F238E27FC236}">
                  <a16:creationId xmlns:a16="http://schemas.microsoft.com/office/drawing/2014/main" id="{48E01AD2-294B-C088-BD4F-621DF9E3584F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890 2867"/>
                <a:gd name="T1" fmla="*/ T0 w 78"/>
                <a:gd name="T2" fmla="+- 0 600 520"/>
                <a:gd name="T3" fmla="*/ 600 h 80"/>
                <a:gd name="T4" fmla="+- 0 2876 2867"/>
                <a:gd name="T5" fmla="*/ T4 w 78"/>
                <a:gd name="T6" fmla="+- 0 590 520"/>
                <a:gd name="T7" fmla="*/ 590 h 80"/>
                <a:gd name="T8" fmla="+- 0 2867 2867"/>
                <a:gd name="T9" fmla="*/ T8 w 78"/>
                <a:gd name="T10" fmla="+- 0 571 520"/>
                <a:gd name="T11" fmla="*/ 571 h 80"/>
                <a:gd name="T12" fmla="+- 0 2867 2867"/>
                <a:gd name="T13" fmla="*/ T12 w 78"/>
                <a:gd name="T14" fmla="+- 0 542 520"/>
                <a:gd name="T15" fmla="*/ 542 h 80"/>
                <a:gd name="T16" fmla="+- 0 2881 2867"/>
                <a:gd name="T17" fmla="*/ T16 w 78"/>
                <a:gd name="T18" fmla="+- 0 527 520"/>
                <a:gd name="T19" fmla="*/ 527 h 80"/>
                <a:gd name="T20" fmla="+- 0 2902 2867"/>
                <a:gd name="T21" fmla="*/ T20 w 78"/>
                <a:gd name="T22" fmla="+- 0 520 520"/>
                <a:gd name="T23" fmla="*/ 520 h 80"/>
                <a:gd name="T24" fmla="+- 0 2924 2867"/>
                <a:gd name="T25" fmla="*/ T24 w 78"/>
                <a:gd name="T26" fmla="+- 0 527 520"/>
                <a:gd name="T27" fmla="*/ 527 h 80"/>
                <a:gd name="T28" fmla="+- 0 2928 2867"/>
                <a:gd name="T29" fmla="*/ T28 w 78"/>
                <a:gd name="T30" fmla="+- 0 530 520"/>
                <a:gd name="T31" fmla="*/ 530 h 80"/>
                <a:gd name="T32" fmla="+- 0 2890 2867"/>
                <a:gd name="T33" fmla="*/ T32 w 78"/>
                <a:gd name="T34" fmla="+- 0 530 520"/>
                <a:gd name="T35" fmla="*/ 530 h 80"/>
                <a:gd name="T36" fmla="+- 0 2876 2867"/>
                <a:gd name="T37" fmla="*/ T36 w 78"/>
                <a:gd name="T38" fmla="+- 0 539 520"/>
                <a:gd name="T39" fmla="*/ 539 h 80"/>
                <a:gd name="T40" fmla="+- 0 2873 2867"/>
                <a:gd name="T41" fmla="*/ T40 w 78"/>
                <a:gd name="T42" fmla="+- 0 555 520"/>
                <a:gd name="T43" fmla="*/ 555 h 80"/>
                <a:gd name="T44" fmla="+- 0 2944 2867"/>
                <a:gd name="T45" fmla="*/ T44 w 78"/>
                <a:gd name="T46" fmla="+- 0 555 520"/>
                <a:gd name="T47" fmla="*/ 555 h 80"/>
                <a:gd name="T48" fmla="+- 0 2943 2867"/>
                <a:gd name="T49" fmla="*/ T48 w 78"/>
                <a:gd name="T50" fmla="+- 0 565 520"/>
                <a:gd name="T51" fmla="*/ 565 h 80"/>
                <a:gd name="T52" fmla="+- 0 2943 2867"/>
                <a:gd name="T53" fmla="*/ T52 w 78"/>
                <a:gd name="T54" fmla="+- 0 565 520"/>
                <a:gd name="T55" fmla="*/ 565 h 80"/>
                <a:gd name="T56" fmla="+- 0 2873 2867"/>
                <a:gd name="T57" fmla="*/ T56 w 78"/>
                <a:gd name="T58" fmla="+- 0 565 520"/>
                <a:gd name="T59" fmla="*/ 565 h 80"/>
                <a:gd name="T60" fmla="+- 0 2874 2867"/>
                <a:gd name="T61" fmla="*/ T60 w 78"/>
                <a:gd name="T62" fmla="+- 0 580 520"/>
                <a:gd name="T63" fmla="*/ 580 h 80"/>
                <a:gd name="T64" fmla="+- 0 2888 2867"/>
                <a:gd name="T65" fmla="*/ T64 w 78"/>
                <a:gd name="T66" fmla="+- 0 592 520"/>
                <a:gd name="T67" fmla="*/ 592 h 80"/>
                <a:gd name="T68" fmla="+- 0 2926 2867"/>
                <a:gd name="T69" fmla="*/ T68 w 78"/>
                <a:gd name="T70" fmla="+- 0 592 520"/>
                <a:gd name="T71" fmla="*/ 592 h 80"/>
                <a:gd name="T72" fmla="+- 0 2915 2867"/>
                <a:gd name="T73" fmla="*/ T72 w 78"/>
                <a:gd name="T74" fmla="+- 0 598 520"/>
                <a:gd name="T75" fmla="*/ 598 h 80"/>
                <a:gd name="T76" fmla="+- 0 2890 2867"/>
                <a:gd name="T77" fmla="*/ T76 w 78"/>
                <a:gd name="T78" fmla="+- 0 600 520"/>
                <a:gd name="T7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8" h="80">
                  <a:moveTo>
                    <a:pt x="23" y="80"/>
                  </a:moveTo>
                  <a:lnTo>
                    <a:pt x="9" y="70"/>
                  </a:lnTo>
                  <a:lnTo>
                    <a:pt x="0" y="51"/>
                  </a:lnTo>
                  <a:lnTo>
                    <a:pt x="0" y="22"/>
                  </a:lnTo>
                  <a:lnTo>
                    <a:pt x="14" y="7"/>
                  </a:lnTo>
                  <a:lnTo>
                    <a:pt x="35" y="0"/>
                  </a:lnTo>
                  <a:lnTo>
                    <a:pt x="57" y="7"/>
                  </a:lnTo>
                  <a:lnTo>
                    <a:pt x="61" y="10"/>
                  </a:lnTo>
                  <a:lnTo>
                    <a:pt x="23" y="10"/>
                  </a:lnTo>
                  <a:lnTo>
                    <a:pt x="9" y="19"/>
                  </a:lnTo>
                  <a:lnTo>
                    <a:pt x="6" y="35"/>
                  </a:lnTo>
                  <a:lnTo>
                    <a:pt x="77" y="35"/>
                  </a:lnTo>
                  <a:lnTo>
                    <a:pt x="76" y="45"/>
                  </a:lnTo>
                  <a:lnTo>
                    <a:pt x="6" y="45"/>
                  </a:lnTo>
                  <a:lnTo>
                    <a:pt x="7" y="60"/>
                  </a:lnTo>
                  <a:lnTo>
                    <a:pt x="21" y="72"/>
                  </a:lnTo>
                  <a:lnTo>
                    <a:pt x="59" y="72"/>
                  </a:lnTo>
                  <a:lnTo>
                    <a:pt x="48" y="78"/>
                  </a:lnTo>
                  <a:lnTo>
                    <a:pt x="23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4" name="Freeform 4826">
              <a:extLst>
                <a:ext uri="{FF2B5EF4-FFF2-40B4-BE49-F238E27FC236}">
                  <a16:creationId xmlns:a16="http://schemas.microsoft.com/office/drawing/2014/main" id="{23AF90C5-6428-24ED-1428-94E366812CFF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944 2867"/>
                <a:gd name="T1" fmla="*/ T0 w 78"/>
                <a:gd name="T2" fmla="+- 0 555 520"/>
                <a:gd name="T3" fmla="*/ 555 h 80"/>
                <a:gd name="T4" fmla="+- 0 2932 2867"/>
                <a:gd name="T5" fmla="*/ T4 w 78"/>
                <a:gd name="T6" fmla="+- 0 555 520"/>
                <a:gd name="T7" fmla="*/ 555 h 80"/>
                <a:gd name="T8" fmla="+- 0 2929 2867"/>
                <a:gd name="T9" fmla="*/ T8 w 78"/>
                <a:gd name="T10" fmla="+- 0 538 520"/>
                <a:gd name="T11" fmla="*/ 538 h 80"/>
                <a:gd name="T12" fmla="+- 0 2914 2867"/>
                <a:gd name="T13" fmla="*/ T12 w 78"/>
                <a:gd name="T14" fmla="+- 0 530 520"/>
                <a:gd name="T15" fmla="*/ 530 h 80"/>
                <a:gd name="T16" fmla="+- 0 2928 2867"/>
                <a:gd name="T17" fmla="*/ T16 w 78"/>
                <a:gd name="T18" fmla="+- 0 530 520"/>
                <a:gd name="T19" fmla="*/ 530 h 80"/>
                <a:gd name="T20" fmla="+- 0 2937 2867"/>
                <a:gd name="T21" fmla="*/ T20 w 78"/>
                <a:gd name="T22" fmla="+- 0 540 520"/>
                <a:gd name="T23" fmla="*/ 540 h 80"/>
                <a:gd name="T24" fmla="+- 0 2942 2867"/>
                <a:gd name="T25" fmla="*/ T24 w 78"/>
                <a:gd name="T26" fmla="+- 0 547 520"/>
                <a:gd name="T27" fmla="*/ 547 h 80"/>
                <a:gd name="T28" fmla="+- 0 2944 2867"/>
                <a:gd name="T29" fmla="*/ T28 w 78"/>
                <a:gd name="T30" fmla="+- 0 555 520"/>
                <a:gd name="T31" fmla="*/ 555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77" y="35"/>
                  </a:moveTo>
                  <a:lnTo>
                    <a:pt x="65" y="35"/>
                  </a:lnTo>
                  <a:lnTo>
                    <a:pt x="62" y="18"/>
                  </a:lnTo>
                  <a:lnTo>
                    <a:pt x="47" y="10"/>
                  </a:lnTo>
                  <a:lnTo>
                    <a:pt x="61" y="10"/>
                  </a:lnTo>
                  <a:lnTo>
                    <a:pt x="70" y="20"/>
                  </a:lnTo>
                  <a:lnTo>
                    <a:pt x="75" y="27"/>
                  </a:lnTo>
                  <a:lnTo>
                    <a:pt x="77" y="3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5" name="Freeform 4825">
              <a:extLst>
                <a:ext uri="{FF2B5EF4-FFF2-40B4-BE49-F238E27FC236}">
                  <a16:creationId xmlns:a16="http://schemas.microsoft.com/office/drawing/2014/main" id="{C654CD7A-4CE3-B433-54E1-39BF77DC25FE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926 2867"/>
                <a:gd name="T1" fmla="*/ T0 w 78"/>
                <a:gd name="T2" fmla="+- 0 592 520"/>
                <a:gd name="T3" fmla="*/ 592 h 80"/>
                <a:gd name="T4" fmla="+- 0 2902 2867"/>
                <a:gd name="T5" fmla="*/ T4 w 78"/>
                <a:gd name="T6" fmla="+- 0 592 520"/>
                <a:gd name="T7" fmla="*/ 592 h 80"/>
                <a:gd name="T8" fmla="+- 0 2918 2867"/>
                <a:gd name="T9" fmla="*/ T8 w 78"/>
                <a:gd name="T10" fmla="+- 0 592 520"/>
                <a:gd name="T11" fmla="*/ 592 h 80"/>
                <a:gd name="T12" fmla="+- 0 2926 2867"/>
                <a:gd name="T13" fmla="*/ T12 w 78"/>
                <a:gd name="T14" fmla="+- 0 582 520"/>
                <a:gd name="T15" fmla="*/ 582 h 80"/>
                <a:gd name="T16" fmla="+- 0 2930 2867"/>
                <a:gd name="T17" fmla="*/ T16 w 78"/>
                <a:gd name="T18" fmla="+- 0 574 520"/>
                <a:gd name="T19" fmla="*/ 574 h 80"/>
                <a:gd name="T20" fmla="+- 0 2941 2867"/>
                <a:gd name="T21" fmla="*/ T20 w 78"/>
                <a:gd name="T22" fmla="+- 0 574 520"/>
                <a:gd name="T23" fmla="*/ 574 h 80"/>
                <a:gd name="T24" fmla="+- 0 2932 2867"/>
                <a:gd name="T25" fmla="*/ T24 w 78"/>
                <a:gd name="T26" fmla="+- 0 589 520"/>
                <a:gd name="T27" fmla="*/ 589 h 80"/>
                <a:gd name="T28" fmla="+- 0 2926 2867"/>
                <a:gd name="T29" fmla="*/ T28 w 78"/>
                <a:gd name="T30" fmla="+- 0 592 520"/>
                <a:gd name="T31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59" y="72"/>
                  </a:moveTo>
                  <a:lnTo>
                    <a:pt x="35" y="72"/>
                  </a:lnTo>
                  <a:lnTo>
                    <a:pt x="51" y="72"/>
                  </a:lnTo>
                  <a:lnTo>
                    <a:pt x="59" y="62"/>
                  </a:lnTo>
                  <a:lnTo>
                    <a:pt x="63" y="54"/>
                  </a:lnTo>
                  <a:lnTo>
                    <a:pt x="74" y="54"/>
                  </a:lnTo>
                  <a:lnTo>
                    <a:pt x="65" y="69"/>
                  </a:lnTo>
                  <a:lnTo>
                    <a:pt x="59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FF84D7CE-6365-5046-1B62-6FD12D01682B}"/>
              </a:ext>
            </a:extLst>
          </xdr:cNvPr>
          <xdr:cNvGrpSpPr>
            <a:grpSpLocks/>
          </xdr:cNvGrpSpPr>
        </xdr:nvGrpSpPr>
        <xdr:grpSpPr bwMode="auto">
          <a:xfrm>
            <a:off x="2958" y="495"/>
            <a:ext cx="78" cy="106"/>
            <a:chOff x="2958" y="495"/>
            <a:chExt cx="78" cy="106"/>
          </a:xfrm>
        </xdr:grpSpPr>
        <xdr:sp macro="" textlink="">
          <xdr:nvSpPr>
            <xdr:cNvPr id="29" name="Freeform 4823">
              <a:extLst>
                <a:ext uri="{FF2B5EF4-FFF2-40B4-BE49-F238E27FC236}">
                  <a16:creationId xmlns:a16="http://schemas.microsoft.com/office/drawing/2014/main" id="{0F82CFD2-FD8D-FB1B-5B94-D4FE15CF5D98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36 2958"/>
                <a:gd name="T1" fmla="*/ T0 w 78"/>
                <a:gd name="T2" fmla="+- 0 535 495"/>
                <a:gd name="T3" fmla="*/ 535 h 106"/>
                <a:gd name="T4" fmla="+- 0 3025 2958"/>
                <a:gd name="T5" fmla="*/ T4 w 78"/>
                <a:gd name="T6" fmla="+- 0 535 495"/>
                <a:gd name="T7" fmla="*/ 535 h 106"/>
                <a:gd name="T8" fmla="+- 0 3025 2958"/>
                <a:gd name="T9" fmla="*/ T8 w 78"/>
                <a:gd name="T10" fmla="+- 0 495 495"/>
                <a:gd name="T11" fmla="*/ 495 h 106"/>
                <a:gd name="T12" fmla="+- 0 3036 2958"/>
                <a:gd name="T13" fmla="*/ T12 w 78"/>
                <a:gd name="T14" fmla="+- 0 495 495"/>
                <a:gd name="T15" fmla="*/ 495 h 106"/>
                <a:gd name="T16" fmla="+- 0 3036 2958"/>
                <a:gd name="T17" fmla="*/ T16 w 78"/>
                <a:gd name="T18" fmla="+- 0 535 495"/>
                <a:gd name="T19" fmla="*/ 535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106">
                  <a:moveTo>
                    <a:pt x="78" y="40"/>
                  </a:moveTo>
                  <a:lnTo>
                    <a:pt x="67" y="40"/>
                  </a:lnTo>
                  <a:lnTo>
                    <a:pt x="67" y="0"/>
                  </a:lnTo>
                  <a:lnTo>
                    <a:pt x="78" y="0"/>
                  </a:lnTo>
                  <a:lnTo>
                    <a:pt x="78" y="4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" name="Freeform 4822">
              <a:extLst>
                <a:ext uri="{FF2B5EF4-FFF2-40B4-BE49-F238E27FC236}">
                  <a16:creationId xmlns:a16="http://schemas.microsoft.com/office/drawing/2014/main" id="{17D74267-031C-35D4-9DD0-B7AC8E7C5451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2982 2958"/>
                <a:gd name="T1" fmla="*/ T0 w 78"/>
                <a:gd name="T2" fmla="+- 0 600 495"/>
                <a:gd name="T3" fmla="*/ 600 h 106"/>
                <a:gd name="T4" fmla="+- 0 2968 2958"/>
                <a:gd name="T5" fmla="*/ T4 w 78"/>
                <a:gd name="T6" fmla="+- 0 590 495"/>
                <a:gd name="T7" fmla="*/ 590 h 106"/>
                <a:gd name="T8" fmla="+- 0 2959 2958"/>
                <a:gd name="T9" fmla="*/ T8 w 78"/>
                <a:gd name="T10" fmla="+- 0 571 495"/>
                <a:gd name="T11" fmla="*/ 571 h 106"/>
                <a:gd name="T12" fmla="+- 0 2958 2958"/>
                <a:gd name="T13" fmla="*/ T12 w 78"/>
                <a:gd name="T14" fmla="+- 0 543 495"/>
                <a:gd name="T15" fmla="*/ 543 h 106"/>
                <a:gd name="T16" fmla="+- 0 2973 2958"/>
                <a:gd name="T17" fmla="*/ T16 w 78"/>
                <a:gd name="T18" fmla="+- 0 527 495"/>
                <a:gd name="T19" fmla="*/ 527 h 106"/>
                <a:gd name="T20" fmla="+- 0 2996 2958"/>
                <a:gd name="T21" fmla="*/ T20 w 78"/>
                <a:gd name="T22" fmla="+- 0 520 495"/>
                <a:gd name="T23" fmla="*/ 520 h 106"/>
                <a:gd name="T24" fmla="+- 0 3000 2958"/>
                <a:gd name="T25" fmla="*/ T24 w 78"/>
                <a:gd name="T26" fmla="+- 0 520 495"/>
                <a:gd name="T27" fmla="*/ 520 h 106"/>
                <a:gd name="T28" fmla="+- 0 3016 2958"/>
                <a:gd name="T29" fmla="*/ T28 w 78"/>
                <a:gd name="T30" fmla="+- 0 521 495"/>
                <a:gd name="T31" fmla="*/ 521 h 106"/>
                <a:gd name="T32" fmla="+- 0 3023 2958"/>
                <a:gd name="T33" fmla="*/ T32 w 78"/>
                <a:gd name="T34" fmla="+- 0 531 495"/>
                <a:gd name="T35" fmla="*/ 531 h 106"/>
                <a:gd name="T36" fmla="+- 0 2989 2958"/>
                <a:gd name="T37" fmla="*/ T36 w 78"/>
                <a:gd name="T38" fmla="+- 0 531 495"/>
                <a:gd name="T39" fmla="*/ 531 h 106"/>
                <a:gd name="T40" fmla="+- 0 2972 2958"/>
                <a:gd name="T41" fmla="*/ T40 w 78"/>
                <a:gd name="T42" fmla="+- 0 542 495"/>
                <a:gd name="T43" fmla="*/ 542 h 106"/>
                <a:gd name="T44" fmla="+- 0 2965 2958"/>
                <a:gd name="T45" fmla="*/ T44 w 78"/>
                <a:gd name="T46" fmla="+- 0 566 495"/>
                <a:gd name="T47" fmla="*/ 566 h 106"/>
                <a:gd name="T48" fmla="+- 0 2975 2958"/>
                <a:gd name="T49" fmla="*/ T48 w 78"/>
                <a:gd name="T50" fmla="+- 0 585 495"/>
                <a:gd name="T51" fmla="*/ 585 h 106"/>
                <a:gd name="T52" fmla="+- 0 2996 2958"/>
                <a:gd name="T53" fmla="*/ T52 w 78"/>
                <a:gd name="T54" fmla="+- 0 592 495"/>
                <a:gd name="T55" fmla="*/ 592 h 106"/>
                <a:gd name="T56" fmla="+- 0 3021 2958"/>
                <a:gd name="T57" fmla="*/ T56 w 78"/>
                <a:gd name="T58" fmla="+- 0 592 495"/>
                <a:gd name="T59" fmla="*/ 592 h 106"/>
                <a:gd name="T60" fmla="+- 0 3007 2958"/>
                <a:gd name="T61" fmla="*/ T60 w 78"/>
                <a:gd name="T62" fmla="+- 0 599 495"/>
                <a:gd name="T63" fmla="*/ 599 h 106"/>
                <a:gd name="T64" fmla="+- 0 2982 2958"/>
                <a:gd name="T65" fmla="*/ T64 w 78"/>
                <a:gd name="T66" fmla="+- 0 600 495"/>
                <a:gd name="T67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8" h="106">
                  <a:moveTo>
                    <a:pt x="24" y="105"/>
                  </a:moveTo>
                  <a:lnTo>
                    <a:pt x="10" y="95"/>
                  </a:lnTo>
                  <a:lnTo>
                    <a:pt x="1" y="76"/>
                  </a:lnTo>
                  <a:lnTo>
                    <a:pt x="0" y="48"/>
                  </a:lnTo>
                  <a:lnTo>
                    <a:pt x="15" y="32"/>
                  </a:lnTo>
                  <a:lnTo>
                    <a:pt x="38" y="25"/>
                  </a:lnTo>
                  <a:lnTo>
                    <a:pt x="42" y="25"/>
                  </a:lnTo>
                  <a:lnTo>
                    <a:pt x="58" y="26"/>
                  </a:lnTo>
                  <a:lnTo>
                    <a:pt x="65" y="36"/>
                  </a:lnTo>
                  <a:lnTo>
                    <a:pt x="31" y="36"/>
                  </a:lnTo>
                  <a:lnTo>
                    <a:pt x="14" y="47"/>
                  </a:lnTo>
                  <a:lnTo>
                    <a:pt x="7" y="71"/>
                  </a:lnTo>
                  <a:lnTo>
                    <a:pt x="17" y="90"/>
                  </a:lnTo>
                  <a:lnTo>
                    <a:pt x="38" y="97"/>
                  </a:lnTo>
                  <a:lnTo>
                    <a:pt x="63" y="97"/>
                  </a:lnTo>
                  <a:lnTo>
                    <a:pt x="49" y="104"/>
                  </a:lnTo>
                  <a:lnTo>
                    <a:pt x="24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1" name="Freeform 4821">
              <a:extLst>
                <a:ext uri="{FF2B5EF4-FFF2-40B4-BE49-F238E27FC236}">
                  <a16:creationId xmlns:a16="http://schemas.microsoft.com/office/drawing/2014/main" id="{652657F0-F7D5-3849-FA7D-C6385E858A90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21 2958"/>
                <a:gd name="T1" fmla="*/ T0 w 78"/>
                <a:gd name="T2" fmla="+- 0 592 495"/>
                <a:gd name="T3" fmla="*/ 592 h 106"/>
                <a:gd name="T4" fmla="+- 0 2996 2958"/>
                <a:gd name="T5" fmla="*/ T4 w 78"/>
                <a:gd name="T6" fmla="+- 0 592 495"/>
                <a:gd name="T7" fmla="*/ 592 h 106"/>
                <a:gd name="T8" fmla="+- 0 3006 2958"/>
                <a:gd name="T9" fmla="*/ T8 w 78"/>
                <a:gd name="T10" fmla="+- 0 590 495"/>
                <a:gd name="T11" fmla="*/ 590 h 106"/>
                <a:gd name="T12" fmla="+- 0 3020 2958"/>
                <a:gd name="T13" fmla="*/ T12 w 78"/>
                <a:gd name="T14" fmla="+- 0 578 495"/>
                <a:gd name="T15" fmla="*/ 578 h 106"/>
                <a:gd name="T16" fmla="+- 0 3025 2958"/>
                <a:gd name="T17" fmla="*/ T16 w 78"/>
                <a:gd name="T18" fmla="+- 0 552 495"/>
                <a:gd name="T19" fmla="*/ 552 h 106"/>
                <a:gd name="T20" fmla="+- 0 3013 2958"/>
                <a:gd name="T21" fmla="*/ T20 w 78"/>
                <a:gd name="T22" fmla="+- 0 537 495"/>
                <a:gd name="T23" fmla="*/ 537 h 106"/>
                <a:gd name="T24" fmla="+- 0 2989 2958"/>
                <a:gd name="T25" fmla="*/ T24 w 78"/>
                <a:gd name="T26" fmla="+- 0 531 495"/>
                <a:gd name="T27" fmla="*/ 531 h 106"/>
                <a:gd name="T28" fmla="+- 0 3023 2958"/>
                <a:gd name="T29" fmla="*/ T28 w 78"/>
                <a:gd name="T30" fmla="+- 0 531 495"/>
                <a:gd name="T31" fmla="*/ 531 h 106"/>
                <a:gd name="T32" fmla="+- 0 3025 2958"/>
                <a:gd name="T33" fmla="*/ T32 w 78"/>
                <a:gd name="T34" fmla="+- 0 535 495"/>
                <a:gd name="T35" fmla="*/ 535 h 106"/>
                <a:gd name="T36" fmla="+- 0 3036 2958"/>
                <a:gd name="T37" fmla="*/ T36 w 78"/>
                <a:gd name="T38" fmla="+- 0 535 495"/>
                <a:gd name="T39" fmla="*/ 535 h 106"/>
                <a:gd name="T40" fmla="+- 0 3036 2958"/>
                <a:gd name="T41" fmla="*/ T40 w 78"/>
                <a:gd name="T42" fmla="+- 0 592 495"/>
                <a:gd name="T43" fmla="*/ 592 h 106"/>
                <a:gd name="T44" fmla="+- 0 3022 2958"/>
                <a:gd name="T45" fmla="*/ T44 w 78"/>
                <a:gd name="T46" fmla="+- 0 592 495"/>
                <a:gd name="T47" fmla="*/ 592 h 106"/>
                <a:gd name="T48" fmla="+- 0 3021 2958"/>
                <a:gd name="T49" fmla="*/ T48 w 78"/>
                <a:gd name="T50" fmla="+- 0 592 495"/>
                <a:gd name="T51" fmla="*/ 59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78" h="106">
                  <a:moveTo>
                    <a:pt x="63" y="97"/>
                  </a:moveTo>
                  <a:lnTo>
                    <a:pt x="38" y="97"/>
                  </a:lnTo>
                  <a:lnTo>
                    <a:pt x="48" y="95"/>
                  </a:lnTo>
                  <a:lnTo>
                    <a:pt x="62" y="83"/>
                  </a:lnTo>
                  <a:lnTo>
                    <a:pt x="67" y="57"/>
                  </a:lnTo>
                  <a:lnTo>
                    <a:pt x="55" y="42"/>
                  </a:lnTo>
                  <a:lnTo>
                    <a:pt x="31" y="36"/>
                  </a:lnTo>
                  <a:lnTo>
                    <a:pt x="65" y="36"/>
                  </a:lnTo>
                  <a:lnTo>
                    <a:pt x="67" y="40"/>
                  </a:lnTo>
                  <a:lnTo>
                    <a:pt x="78" y="40"/>
                  </a:lnTo>
                  <a:lnTo>
                    <a:pt x="78" y="97"/>
                  </a:lnTo>
                  <a:lnTo>
                    <a:pt x="64" y="97"/>
                  </a:lnTo>
                  <a:lnTo>
                    <a:pt x="63" y="9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2" name="Freeform 4820">
              <a:extLst>
                <a:ext uri="{FF2B5EF4-FFF2-40B4-BE49-F238E27FC236}">
                  <a16:creationId xmlns:a16="http://schemas.microsoft.com/office/drawing/2014/main" id="{AEA9D941-27C9-28A3-7797-3CFCBEB1DD22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36 2958"/>
                <a:gd name="T1" fmla="*/ T0 w 78"/>
                <a:gd name="T2" fmla="+- 0 600 495"/>
                <a:gd name="T3" fmla="*/ 600 h 106"/>
                <a:gd name="T4" fmla="+- 0 3025 2958"/>
                <a:gd name="T5" fmla="*/ T4 w 78"/>
                <a:gd name="T6" fmla="+- 0 600 495"/>
                <a:gd name="T7" fmla="*/ 600 h 106"/>
                <a:gd name="T8" fmla="+- 0 3022 2958"/>
                <a:gd name="T9" fmla="*/ T8 w 78"/>
                <a:gd name="T10" fmla="+- 0 592 495"/>
                <a:gd name="T11" fmla="*/ 592 h 106"/>
                <a:gd name="T12" fmla="+- 0 3036 2958"/>
                <a:gd name="T13" fmla="*/ T12 w 78"/>
                <a:gd name="T14" fmla="+- 0 592 495"/>
                <a:gd name="T15" fmla="*/ 592 h 106"/>
                <a:gd name="T16" fmla="+- 0 3036 2958"/>
                <a:gd name="T17" fmla="*/ T16 w 78"/>
                <a:gd name="T18" fmla="+- 0 600 495"/>
                <a:gd name="T19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106">
                  <a:moveTo>
                    <a:pt x="78" y="105"/>
                  </a:moveTo>
                  <a:lnTo>
                    <a:pt x="67" y="105"/>
                  </a:lnTo>
                  <a:lnTo>
                    <a:pt x="64" y="97"/>
                  </a:lnTo>
                  <a:lnTo>
                    <a:pt x="78" y="97"/>
                  </a:lnTo>
                  <a:lnTo>
                    <a:pt x="78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7" name="Group 26">
            <a:extLst>
              <a:ext uri="{FF2B5EF4-FFF2-40B4-BE49-F238E27FC236}">
                <a16:creationId xmlns:a16="http://schemas.microsoft.com/office/drawing/2014/main" id="{950BFB43-E2A7-4704-1827-9BEA60BC9121}"/>
              </a:ext>
            </a:extLst>
          </xdr:cNvPr>
          <xdr:cNvGrpSpPr>
            <a:grpSpLocks/>
          </xdr:cNvGrpSpPr>
        </xdr:nvGrpSpPr>
        <xdr:grpSpPr bwMode="auto">
          <a:xfrm>
            <a:off x="2174" y="575"/>
            <a:ext cx="28" cy="28"/>
            <a:chOff x="2174" y="575"/>
            <a:chExt cx="28" cy="28"/>
          </a:xfrm>
        </xdr:grpSpPr>
        <xdr:sp macro="" textlink="">
          <xdr:nvSpPr>
            <xdr:cNvPr id="28" name="Freeform 4818">
              <a:extLst>
                <a:ext uri="{FF2B5EF4-FFF2-40B4-BE49-F238E27FC236}">
                  <a16:creationId xmlns:a16="http://schemas.microsoft.com/office/drawing/2014/main" id="{E06EEC96-8997-9E71-4C18-6F98E0385DD0}"/>
                </a:ext>
              </a:extLst>
            </xdr:cNvPr>
            <xdr:cNvSpPr>
              <a:spLocks/>
            </xdr:cNvSpPr>
          </xdr:nvSpPr>
          <xdr:spPr bwMode="auto">
            <a:xfrm>
              <a:off x="2174" y="575"/>
              <a:ext cx="28" cy="28"/>
            </a:xfrm>
            <a:custGeom>
              <a:avLst/>
              <a:gdLst>
                <a:gd name="T0" fmla="+- 0 2195 2174"/>
                <a:gd name="T1" fmla="*/ T0 w 28"/>
                <a:gd name="T2" fmla="+- 0 603 575"/>
                <a:gd name="T3" fmla="*/ 603 h 28"/>
                <a:gd name="T4" fmla="+- 0 2180 2174"/>
                <a:gd name="T5" fmla="*/ T4 w 28"/>
                <a:gd name="T6" fmla="+- 0 603 575"/>
                <a:gd name="T7" fmla="*/ 603 h 28"/>
                <a:gd name="T8" fmla="+- 0 2174 2174"/>
                <a:gd name="T9" fmla="*/ T8 w 28"/>
                <a:gd name="T10" fmla="+- 0 596 575"/>
                <a:gd name="T11" fmla="*/ 596 h 28"/>
                <a:gd name="T12" fmla="+- 0 2174 2174"/>
                <a:gd name="T13" fmla="*/ T12 w 28"/>
                <a:gd name="T14" fmla="+- 0 581 575"/>
                <a:gd name="T15" fmla="*/ 581 h 28"/>
                <a:gd name="T16" fmla="+- 0 2180 2174"/>
                <a:gd name="T17" fmla="*/ T16 w 28"/>
                <a:gd name="T18" fmla="+- 0 575 575"/>
                <a:gd name="T19" fmla="*/ 575 h 28"/>
                <a:gd name="T20" fmla="+- 0 2195 2174"/>
                <a:gd name="T21" fmla="*/ T20 w 28"/>
                <a:gd name="T22" fmla="+- 0 575 575"/>
                <a:gd name="T23" fmla="*/ 575 h 28"/>
                <a:gd name="T24" fmla="+- 0 2201 2174"/>
                <a:gd name="T25" fmla="*/ T24 w 28"/>
                <a:gd name="T26" fmla="+- 0 581 575"/>
                <a:gd name="T27" fmla="*/ 581 h 28"/>
                <a:gd name="T28" fmla="+- 0 2201 2174"/>
                <a:gd name="T29" fmla="*/ T28 w 28"/>
                <a:gd name="T30" fmla="+- 0 596 575"/>
                <a:gd name="T31" fmla="*/ 596 h 28"/>
                <a:gd name="T32" fmla="+- 0 2195 2174"/>
                <a:gd name="T33" fmla="*/ T32 w 28"/>
                <a:gd name="T34" fmla="+- 0 603 575"/>
                <a:gd name="T35" fmla="*/ 603 h 2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8" h="28">
                  <a:moveTo>
                    <a:pt x="21" y="28"/>
                  </a:moveTo>
                  <a:lnTo>
                    <a:pt x="6" y="28"/>
                  </a:lnTo>
                  <a:lnTo>
                    <a:pt x="0" y="21"/>
                  </a:lnTo>
                  <a:lnTo>
                    <a:pt x="0" y="6"/>
                  </a:lnTo>
                  <a:lnTo>
                    <a:pt x="6" y="0"/>
                  </a:lnTo>
                  <a:lnTo>
                    <a:pt x="21" y="0"/>
                  </a:lnTo>
                  <a:lnTo>
                    <a:pt x="27" y="6"/>
                  </a:lnTo>
                  <a:lnTo>
                    <a:pt x="27" y="21"/>
                  </a:lnTo>
                  <a:lnTo>
                    <a:pt x="21" y="2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twoCellAnchor editAs="oneCell">
    <xdr:from>
      <xdr:col>7</xdr:col>
      <xdr:colOff>744281</xdr:colOff>
      <xdr:row>13</xdr:row>
      <xdr:rowOff>79374</xdr:rowOff>
    </xdr:from>
    <xdr:to>
      <xdr:col>10</xdr:col>
      <xdr:colOff>497296</xdr:colOff>
      <xdr:row>26</xdr:row>
      <xdr:rowOff>74956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C20855DF-3C9C-8CE0-FE76-252E138B4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259881" y="1117599"/>
          <a:ext cx="3305840" cy="1957732"/>
        </a:xfrm>
        <a:prstGeom prst="rect">
          <a:avLst/>
        </a:prstGeom>
      </xdr:spPr>
    </xdr:pic>
    <xdr:clientData/>
  </xdr:twoCellAnchor>
  <xdr:twoCellAnchor>
    <xdr:from>
      <xdr:col>6</xdr:col>
      <xdr:colOff>609600</xdr:colOff>
      <xdr:row>117</xdr:row>
      <xdr:rowOff>38100</xdr:rowOff>
    </xdr:from>
    <xdr:to>
      <xdr:col>57</xdr:col>
      <xdr:colOff>0</xdr:colOff>
      <xdr:row>172</xdr:row>
      <xdr:rowOff>114300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8CD27719-69BC-CEA2-74C4-8021DFFC3564}"/>
            </a:ext>
          </a:extLst>
        </xdr:cNvPr>
        <xdr:cNvSpPr/>
      </xdr:nvSpPr>
      <xdr:spPr>
        <a:xfrm>
          <a:off x="10134600" y="18478500"/>
          <a:ext cx="53263800" cy="104394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9525</xdr:rowOff>
    </xdr:from>
    <xdr:to>
      <xdr:col>2</xdr:col>
      <xdr:colOff>1</xdr:colOff>
      <xdr:row>2</xdr:row>
      <xdr:rowOff>1270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7446F94-AAB7-4037-BE2F-E043376656BE}"/>
            </a:ext>
          </a:extLst>
        </xdr:cNvPr>
        <xdr:cNvGrpSpPr>
          <a:grpSpLocks/>
        </xdr:cNvGrpSpPr>
      </xdr:nvGrpSpPr>
      <xdr:grpSpPr bwMode="auto">
        <a:xfrm>
          <a:off x="1" y="9525"/>
          <a:ext cx="1162050" cy="363220"/>
          <a:chOff x="892" y="153"/>
          <a:chExt cx="2144" cy="552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33513FCA-BC30-8BB9-7B8B-FD8B8A886964}"/>
              </a:ext>
            </a:extLst>
          </xdr:cNvPr>
          <xdr:cNvGrpSpPr>
            <a:grpSpLocks/>
          </xdr:cNvGrpSpPr>
        </xdr:nvGrpSpPr>
        <xdr:grpSpPr bwMode="auto">
          <a:xfrm>
            <a:off x="892" y="153"/>
            <a:ext cx="1036" cy="452"/>
            <a:chOff x="892" y="153"/>
            <a:chExt cx="1036" cy="452"/>
          </a:xfrm>
        </xdr:grpSpPr>
        <xdr:sp macro="" textlink="">
          <xdr:nvSpPr>
            <xdr:cNvPr id="71" name="Freeform 4884">
              <a:extLst>
                <a:ext uri="{FF2B5EF4-FFF2-40B4-BE49-F238E27FC236}">
                  <a16:creationId xmlns:a16="http://schemas.microsoft.com/office/drawing/2014/main" id="{DC16EE7D-3A98-ADCB-EADA-B191F2DB0F76}"/>
                </a:ext>
              </a:extLst>
            </xdr:cNvPr>
            <xdr:cNvSpPr>
              <a:spLocks/>
            </xdr:cNvSpPr>
          </xdr:nvSpPr>
          <xdr:spPr bwMode="auto">
            <a:xfrm>
              <a:off x="892" y="153"/>
              <a:ext cx="1036" cy="452"/>
            </a:xfrm>
            <a:custGeom>
              <a:avLst/>
              <a:gdLst>
                <a:gd name="T0" fmla="+- 0 1239 892"/>
                <a:gd name="T1" fmla="*/ T0 w 1036"/>
                <a:gd name="T2" fmla="+- 0 604 153"/>
                <a:gd name="T3" fmla="*/ 604 h 452"/>
                <a:gd name="T4" fmla="+- 0 895 892"/>
                <a:gd name="T5" fmla="*/ T4 w 1036"/>
                <a:gd name="T6" fmla="+- 0 604 153"/>
                <a:gd name="T7" fmla="*/ 604 h 452"/>
                <a:gd name="T8" fmla="+- 0 892 892"/>
                <a:gd name="T9" fmla="*/ T8 w 1036"/>
                <a:gd name="T10" fmla="+- 0 601 153"/>
                <a:gd name="T11" fmla="*/ 601 h 452"/>
                <a:gd name="T12" fmla="+- 0 892 892"/>
                <a:gd name="T13" fmla="*/ T12 w 1036"/>
                <a:gd name="T14" fmla="+- 0 595 153"/>
                <a:gd name="T15" fmla="*/ 595 h 452"/>
                <a:gd name="T16" fmla="+- 0 892 892"/>
                <a:gd name="T17" fmla="*/ T16 w 1036"/>
                <a:gd name="T18" fmla="+- 0 594 153"/>
                <a:gd name="T19" fmla="*/ 594 h 452"/>
                <a:gd name="T20" fmla="+- 0 1046 892"/>
                <a:gd name="T21" fmla="*/ T20 w 1036"/>
                <a:gd name="T22" fmla="+- 0 225 153"/>
                <a:gd name="T23" fmla="*/ 225 h 452"/>
                <a:gd name="T24" fmla="+- 0 1087 892"/>
                <a:gd name="T25" fmla="*/ T24 w 1036"/>
                <a:gd name="T26" fmla="+- 0 178 153"/>
                <a:gd name="T27" fmla="*/ 178 h 452"/>
                <a:gd name="T28" fmla="+- 0 1146 892"/>
                <a:gd name="T29" fmla="*/ T28 w 1036"/>
                <a:gd name="T30" fmla="+- 0 155 153"/>
                <a:gd name="T31" fmla="*/ 155 h 452"/>
                <a:gd name="T32" fmla="+- 0 1919 892"/>
                <a:gd name="T33" fmla="*/ T32 w 1036"/>
                <a:gd name="T34" fmla="+- 0 153 153"/>
                <a:gd name="T35" fmla="*/ 153 h 452"/>
                <a:gd name="T36" fmla="+- 0 1923 892"/>
                <a:gd name="T37" fmla="*/ T36 w 1036"/>
                <a:gd name="T38" fmla="+- 0 153 153"/>
                <a:gd name="T39" fmla="*/ 153 h 452"/>
                <a:gd name="T40" fmla="+- 0 1927 892"/>
                <a:gd name="T41" fmla="*/ T40 w 1036"/>
                <a:gd name="T42" fmla="+- 0 156 153"/>
                <a:gd name="T43" fmla="*/ 156 h 452"/>
                <a:gd name="T44" fmla="+- 0 1927 892"/>
                <a:gd name="T45" fmla="*/ T44 w 1036"/>
                <a:gd name="T46" fmla="+- 0 162 153"/>
                <a:gd name="T47" fmla="*/ 162 h 452"/>
                <a:gd name="T48" fmla="+- 0 1927 892"/>
                <a:gd name="T49" fmla="*/ T48 w 1036"/>
                <a:gd name="T50" fmla="+- 0 163 153"/>
                <a:gd name="T51" fmla="*/ 163 h 452"/>
                <a:gd name="T52" fmla="+- 0 1900 892"/>
                <a:gd name="T53" fmla="*/ T52 w 1036"/>
                <a:gd name="T54" fmla="+- 0 227 153"/>
                <a:gd name="T55" fmla="*/ 227 h 452"/>
                <a:gd name="T56" fmla="+- 0 1899 892"/>
                <a:gd name="T57" fmla="*/ T56 w 1036"/>
                <a:gd name="T58" fmla="+- 0 230 153"/>
                <a:gd name="T59" fmla="*/ 230 h 452"/>
                <a:gd name="T60" fmla="+- 0 1896 892"/>
                <a:gd name="T61" fmla="*/ T60 w 1036"/>
                <a:gd name="T62" fmla="+- 0 232 153"/>
                <a:gd name="T63" fmla="*/ 232 h 452"/>
                <a:gd name="T64" fmla="+- 0 1212 892"/>
                <a:gd name="T65" fmla="*/ T64 w 1036"/>
                <a:gd name="T66" fmla="+- 0 233 153"/>
                <a:gd name="T67" fmla="*/ 233 h 452"/>
                <a:gd name="T68" fmla="+- 0 1189 892"/>
                <a:gd name="T69" fmla="*/ T68 w 1036"/>
                <a:gd name="T70" fmla="+- 0 237 153"/>
                <a:gd name="T71" fmla="*/ 237 h 452"/>
                <a:gd name="T72" fmla="+- 0 1135 892"/>
                <a:gd name="T73" fmla="*/ T72 w 1036"/>
                <a:gd name="T74" fmla="+- 0 266 153"/>
                <a:gd name="T75" fmla="*/ 266 h 452"/>
                <a:gd name="T76" fmla="+- 0 1100 892"/>
                <a:gd name="T77" fmla="*/ T76 w 1036"/>
                <a:gd name="T78" fmla="+- 0 330 153"/>
                <a:gd name="T79" fmla="*/ 330 h 452"/>
                <a:gd name="T80" fmla="+- 0 1096 892"/>
                <a:gd name="T81" fmla="*/ T80 w 1036"/>
                <a:gd name="T82" fmla="+- 0 366 153"/>
                <a:gd name="T83" fmla="*/ 366 h 452"/>
                <a:gd name="T84" fmla="+- 0 1098 892"/>
                <a:gd name="T85" fmla="*/ T84 w 1036"/>
                <a:gd name="T86" fmla="+- 0 384 153"/>
                <a:gd name="T87" fmla="*/ 384 h 452"/>
                <a:gd name="T88" fmla="+- 0 1130 892"/>
                <a:gd name="T89" fmla="*/ T88 w 1036"/>
                <a:gd name="T90" fmla="+- 0 446 153"/>
                <a:gd name="T91" fmla="*/ 446 h 452"/>
                <a:gd name="T92" fmla="+- 0 1260 892"/>
                <a:gd name="T93" fmla="*/ T92 w 1036"/>
                <a:gd name="T94" fmla="+- 0 569 153"/>
                <a:gd name="T95" fmla="*/ 569 h 452"/>
                <a:gd name="T96" fmla="+- 0 1264 892"/>
                <a:gd name="T97" fmla="*/ T96 w 1036"/>
                <a:gd name="T98" fmla="+- 0 586 153"/>
                <a:gd name="T99" fmla="*/ 586 h 452"/>
                <a:gd name="T100" fmla="+- 0 1256 892"/>
                <a:gd name="T101" fmla="*/ T100 w 1036"/>
                <a:gd name="T102" fmla="+- 0 599 153"/>
                <a:gd name="T103" fmla="*/ 599 h 452"/>
                <a:gd name="T104" fmla="+- 0 1239 892"/>
                <a:gd name="T105" fmla="*/ T104 w 1036"/>
                <a:gd name="T106" fmla="+- 0 604 153"/>
                <a:gd name="T107" fmla="*/ 604 h 45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  <a:cxn ang="0">
                  <a:pos x="T105" y="T107"/>
                </a:cxn>
              </a:cxnLst>
              <a:rect l="0" t="0" r="r" b="b"/>
              <a:pathLst>
                <a:path w="1036" h="452">
                  <a:moveTo>
                    <a:pt x="347" y="451"/>
                  </a:moveTo>
                  <a:lnTo>
                    <a:pt x="3" y="451"/>
                  </a:lnTo>
                  <a:lnTo>
                    <a:pt x="0" y="448"/>
                  </a:lnTo>
                  <a:lnTo>
                    <a:pt x="0" y="442"/>
                  </a:lnTo>
                  <a:lnTo>
                    <a:pt x="0" y="441"/>
                  </a:lnTo>
                  <a:lnTo>
                    <a:pt x="154" y="72"/>
                  </a:lnTo>
                  <a:lnTo>
                    <a:pt x="195" y="25"/>
                  </a:lnTo>
                  <a:lnTo>
                    <a:pt x="254" y="2"/>
                  </a:lnTo>
                  <a:lnTo>
                    <a:pt x="1027" y="0"/>
                  </a:lnTo>
                  <a:lnTo>
                    <a:pt x="1031" y="0"/>
                  </a:lnTo>
                  <a:lnTo>
                    <a:pt x="1035" y="3"/>
                  </a:lnTo>
                  <a:lnTo>
                    <a:pt x="1035" y="9"/>
                  </a:lnTo>
                  <a:lnTo>
                    <a:pt x="1035" y="10"/>
                  </a:lnTo>
                  <a:lnTo>
                    <a:pt x="1008" y="74"/>
                  </a:lnTo>
                  <a:lnTo>
                    <a:pt x="1007" y="77"/>
                  </a:lnTo>
                  <a:lnTo>
                    <a:pt x="1004" y="79"/>
                  </a:lnTo>
                  <a:lnTo>
                    <a:pt x="320" y="80"/>
                  </a:lnTo>
                  <a:lnTo>
                    <a:pt x="297" y="84"/>
                  </a:lnTo>
                  <a:lnTo>
                    <a:pt x="243" y="113"/>
                  </a:lnTo>
                  <a:lnTo>
                    <a:pt x="208" y="177"/>
                  </a:lnTo>
                  <a:lnTo>
                    <a:pt x="204" y="213"/>
                  </a:lnTo>
                  <a:lnTo>
                    <a:pt x="206" y="231"/>
                  </a:lnTo>
                  <a:lnTo>
                    <a:pt x="238" y="293"/>
                  </a:lnTo>
                  <a:lnTo>
                    <a:pt x="368" y="416"/>
                  </a:lnTo>
                  <a:lnTo>
                    <a:pt x="372" y="433"/>
                  </a:lnTo>
                  <a:lnTo>
                    <a:pt x="364" y="446"/>
                  </a:lnTo>
                  <a:lnTo>
                    <a:pt x="347" y="45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FEBDEEF4-0FDB-904B-F5A0-9CCA80A3D382}"/>
              </a:ext>
            </a:extLst>
          </xdr:cNvPr>
          <xdr:cNvGrpSpPr>
            <a:grpSpLocks/>
          </xdr:cNvGrpSpPr>
        </xdr:nvGrpSpPr>
        <xdr:grpSpPr bwMode="auto">
          <a:xfrm>
            <a:off x="1554" y="335"/>
            <a:ext cx="299" cy="370"/>
            <a:chOff x="1554" y="335"/>
            <a:chExt cx="299" cy="370"/>
          </a:xfrm>
        </xdr:grpSpPr>
        <xdr:sp macro="" textlink="">
          <xdr:nvSpPr>
            <xdr:cNvPr id="69" name="Freeform 4882">
              <a:extLst>
                <a:ext uri="{FF2B5EF4-FFF2-40B4-BE49-F238E27FC236}">
                  <a16:creationId xmlns:a16="http://schemas.microsoft.com/office/drawing/2014/main" id="{04850819-1612-73D3-894C-EC7DEB815291}"/>
                </a:ext>
              </a:extLst>
            </xdr:cNvPr>
            <xdr:cNvSpPr>
              <a:spLocks/>
            </xdr:cNvSpPr>
          </xdr:nvSpPr>
          <xdr:spPr bwMode="auto">
            <a:xfrm>
              <a:off x="1554" y="335"/>
              <a:ext cx="299" cy="370"/>
            </a:xfrm>
            <a:custGeom>
              <a:avLst/>
              <a:gdLst>
                <a:gd name="T0" fmla="+- 0 1557 1554"/>
                <a:gd name="T1" fmla="*/ T0 w 299"/>
                <a:gd name="T2" fmla="+- 0 705 335"/>
                <a:gd name="T3" fmla="*/ 705 h 370"/>
                <a:gd name="T4" fmla="+- 0 1554 1554"/>
                <a:gd name="T5" fmla="*/ T4 w 299"/>
                <a:gd name="T6" fmla="+- 0 701 335"/>
                <a:gd name="T7" fmla="*/ 701 h 370"/>
                <a:gd name="T8" fmla="+- 0 1554 1554"/>
                <a:gd name="T9" fmla="*/ T8 w 299"/>
                <a:gd name="T10" fmla="+- 0 696 335"/>
                <a:gd name="T11" fmla="*/ 696 h 370"/>
                <a:gd name="T12" fmla="+- 0 1554 1554"/>
                <a:gd name="T13" fmla="*/ T12 w 299"/>
                <a:gd name="T14" fmla="+- 0 694 335"/>
                <a:gd name="T15" fmla="*/ 694 h 370"/>
                <a:gd name="T16" fmla="+- 0 1555 1554"/>
                <a:gd name="T17" fmla="*/ T16 w 299"/>
                <a:gd name="T18" fmla="+- 0 693 335"/>
                <a:gd name="T19" fmla="*/ 693 h 370"/>
                <a:gd name="T20" fmla="+- 0 1701 1554"/>
                <a:gd name="T21" fmla="*/ T20 w 299"/>
                <a:gd name="T22" fmla="+- 0 340 335"/>
                <a:gd name="T23" fmla="*/ 340 h 370"/>
                <a:gd name="T24" fmla="+- 0 1708 1554"/>
                <a:gd name="T25" fmla="*/ T24 w 299"/>
                <a:gd name="T26" fmla="+- 0 335 335"/>
                <a:gd name="T27" fmla="*/ 335 h 370"/>
                <a:gd name="T28" fmla="+- 0 1848 1554"/>
                <a:gd name="T29" fmla="*/ T28 w 299"/>
                <a:gd name="T30" fmla="+- 0 335 335"/>
                <a:gd name="T31" fmla="*/ 335 h 370"/>
                <a:gd name="T32" fmla="+- 0 1852 1554"/>
                <a:gd name="T33" fmla="*/ T32 w 299"/>
                <a:gd name="T34" fmla="+- 0 338 335"/>
                <a:gd name="T35" fmla="*/ 338 h 370"/>
                <a:gd name="T36" fmla="+- 0 1852 1554"/>
                <a:gd name="T37" fmla="*/ T36 w 299"/>
                <a:gd name="T38" fmla="+- 0 340 335"/>
                <a:gd name="T39" fmla="*/ 340 h 370"/>
                <a:gd name="T40" fmla="+- 0 1852 1554"/>
                <a:gd name="T41" fmla="*/ T40 w 299"/>
                <a:gd name="T42" fmla="+- 0 344 335"/>
                <a:gd name="T43" fmla="*/ 344 h 370"/>
                <a:gd name="T44" fmla="+- 0 1852 1554"/>
                <a:gd name="T45" fmla="*/ T44 w 299"/>
                <a:gd name="T46" fmla="+- 0 345 335"/>
                <a:gd name="T47" fmla="*/ 345 h 370"/>
                <a:gd name="T48" fmla="+- 0 1851 1554"/>
                <a:gd name="T49" fmla="*/ T48 w 299"/>
                <a:gd name="T50" fmla="+- 0 345 335"/>
                <a:gd name="T51" fmla="*/ 345 h 370"/>
                <a:gd name="T52" fmla="+- 0 1738 1554"/>
                <a:gd name="T53" fmla="*/ T52 w 299"/>
                <a:gd name="T54" fmla="+- 0 620 335"/>
                <a:gd name="T55" fmla="*/ 620 h 370"/>
                <a:gd name="T56" fmla="+- 0 1731 1554"/>
                <a:gd name="T57" fmla="*/ T56 w 299"/>
                <a:gd name="T58" fmla="+- 0 633 335"/>
                <a:gd name="T59" fmla="*/ 633 h 370"/>
                <a:gd name="T60" fmla="+- 0 1690 1554"/>
                <a:gd name="T61" fmla="*/ T60 w 299"/>
                <a:gd name="T62" fmla="+- 0 679 335"/>
                <a:gd name="T63" fmla="*/ 679 h 370"/>
                <a:gd name="T64" fmla="+- 0 1631 1554"/>
                <a:gd name="T65" fmla="*/ T64 w 299"/>
                <a:gd name="T66" fmla="+- 0 703 335"/>
                <a:gd name="T67" fmla="*/ 703 h 370"/>
                <a:gd name="T68" fmla="+- 0 1609 1554"/>
                <a:gd name="T69" fmla="*/ T68 w 299"/>
                <a:gd name="T70" fmla="+- 0 705 335"/>
                <a:gd name="T71" fmla="*/ 705 h 370"/>
                <a:gd name="T72" fmla="+- 0 1557 1554"/>
                <a:gd name="T73" fmla="*/ T72 w 299"/>
                <a:gd name="T74" fmla="+- 0 705 335"/>
                <a:gd name="T75" fmla="*/ 705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</a:cxnLst>
              <a:rect l="0" t="0" r="r" b="b"/>
              <a:pathLst>
                <a:path w="299" h="370">
                  <a:moveTo>
                    <a:pt x="3" y="370"/>
                  </a:moveTo>
                  <a:lnTo>
                    <a:pt x="0" y="366"/>
                  </a:lnTo>
                  <a:lnTo>
                    <a:pt x="0" y="361"/>
                  </a:lnTo>
                  <a:lnTo>
                    <a:pt x="0" y="359"/>
                  </a:lnTo>
                  <a:lnTo>
                    <a:pt x="1" y="358"/>
                  </a:lnTo>
                  <a:lnTo>
                    <a:pt x="147" y="5"/>
                  </a:lnTo>
                  <a:lnTo>
                    <a:pt x="154" y="0"/>
                  </a:lnTo>
                  <a:lnTo>
                    <a:pt x="294" y="0"/>
                  </a:lnTo>
                  <a:lnTo>
                    <a:pt x="298" y="3"/>
                  </a:lnTo>
                  <a:lnTo>
                    <a:pt x="298" y="5"/>
                  </a:lnTo>
                  <a:lnTo>
                    <a:pt x="298" y="9"/>
                  </a:lnTo>
                  <a:lnTo>
                    <a:pt x="298" y="10"/>
                  </a:lnTo>
                  <a:lnTo>
                    <a:pt x="297" y="10"/>
                  </a:lnTo>
                  <a:lnTo>
                    <a:pt x="184" y="285"/>
                  </a:lnTo>
                  <a:lnTo>
                    <a:pt x="177" y="298"/>
                  </a:lnTo>
                  <a:lnTo>
                    <a:pt x="136" y="344"/>
                  </a:lnTo>
                  <a:lnTo>
                    <a:pt x="77" y="368"/>
                  </a:lnTo>
                  <a:lnTo>
                    <a:pt x="55" y="370"/>
                  </a:lnTo>
                  <a:lnTo>
                    <a:pt x="3" y="3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0" name="Freeform 4881">
              <a:extLst>
                <a:ext uri="{FF2B5EF4-FFF2-40B4-BE49-F238E27FC236}">
                  <a16:creationId xmlns:a16="http://schemas.microsoft.com/office/drawing/2014/main" id="{FF62AE4C-50DE-6D3C-1F90-41C3D039FD13}"/>
                </a:ext>
              </a:extLst>
            </xdr:cNvPr>
            <xdr:cNvSpPr>
              <a:spLocks/>
            </xdr:cNvSpPr>
          </xdr:nvSpPr>
          <xdr:spPr bwMode="auto">
            <a:xfrm>
              <a:off x="1554" y="335"/>
              <a:ext cx="299" cy="370"/>
            </a:xfrm>
            <a:custGeom>
              <a:avLst/>
              <a:gdLst>
                <a:gd name="T0" fmla="+- 0 1738 1554"/>
                <a:gd name="T1" fmla="*/ T0 w 299"/>
                <a:gd name="T2" fmla="+- 0 620 335"/>
                <a:gd name="T3" fmla="*/ 620 h 370"/>
                <a:gd name="T4" fmla="+- 0 1738 1554"/>
                <a:gd name="T5" fmla="*/ T4 w 299"/>
                <a:gd name="T6" fmla="+- 0 620 335"/>
                <a:gd name="T7" fmla="*/ 620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299" h="370">
                  <a:moveTo>
                    <a:pt x="184" y="285"/>
                  </a:moveTo>
                  <a:lnTo>
                    <a:pt x="184" y="28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956611C0-ED7E-CB91-DDEF-5B8AF075B812}"/>
              </a:ext>
            </a:extLst>
          </xdr:cNvPr>
          <xdr:cNvGrpSpPr>
            <a:grpSpLocks/>
          </xdr:cNvGrpSpPr>
        </xdr:nvGrpSpPr>
        <xdr:grpSpPr bwMode="auto">
          <a:xfrm>
            <a:off x="1200" y="335"/>
            <a:ext cx="394" cy="370"/>
            <a:chOff x="1200" y="335"/>
            <a:chExt cx="394" cy="370"/>
          </a:xfrm>
        </xdr:grpSpPr>
        <xdr:sp macro="" textlink="">
          <xdr:nvSpPr>
            <xdr:cNvPr id="68" name="Freeform 4879">
              <a:extLst>
                <a:ext uri="{FF2B5EF4-FFF2-40B4-BE49-F238E27FC236}">
                  <a16:creationId xmlns:a16="http://schemas.microsoft.com/office/drawing/2014/main" id="{E087D8B8-0D2C-EE63-CB86-F834DFB54796}"/>
                </a:ext>
              </a:extLst>
            </xdr:cNvPr>
            <xdr:cNvSpPr>
              <a:spLocks/>
            </xdr:cNvSpPr>
          </xdr:nvSpPr>
          <xdr:spPr bwMode="auto">
            <a:xfrm>
              <a:off x="1200" y="335"/>
              <a:ext cx="394" cy="370"/>
            </a:xfrm>
            <a:custGeom>
              <a:avLst/>
              <a:gdLst>
                <a:gd name="T0" fmla="+- 0 1439 1200"/>
                <a:gd name="T1" fmla="*/ T0 w 394"/>
                <a:gd name="T2" fmla="+- 0 705 335"/>
                <a:gd name="T3" fmla="*/ 705 h 370"/>
                <a:gd name="T4" fmla="+- 0 1290 1200"/>
                <a:gd name="T5" fmla="*/ T4 w 394"/>
                <a:gd name="T6" fmla="+- 0 705 335"/>
                <a:gd name="T7" fmla="*/ 705 h 370"/>
                <a:gd name="T8" fmla="+- 0 1289 1200"/>
                <a:gd name="T9" fmla="*/ T8 w 394"/>
                <a:gd name="T10" fmla="+- 0 704 335"/>
                <a:gd name="T11" fmla="*/ 704 h 370"/>
                <a:gd name="T12" fmla="+- 0 1289 1200"/>
                <a:gd name="T13" fmla="*/ T12 w 394"/>
                <a:gd name="T14" fmla="+- 0 702 335"/>
                <a:gd name="T15" fmla="*/ 702 h 370"/>
                <a:gd name="T16" fmla="+- 0 1290 1200"/>
                <a:gd name="T17" fmla="*/ T16 w 394"/>
                <a:gd name="T18" fmla="+- 0 701 335"/>
                <a:gd name="T19" fmla="*/ 701 h 370"/>
                <a:gd name="T20" fmla="+- 0 1298 1200"/>
                <a:gd name="T21" fmla="*/ T20 w 394"/>
                <a:gd name="T22" fmla="+- 0 697 335"/>
                <a:gd name="T23" fmla="*/ 697 h 370"/>
                <a:gd name="T24" fmla="+- 0 1312 1200"/>
                <a:gd name="T25" fmla="*/ T24 w 394"/>
                <a:gd name="T26" fmla="+- 0 688 335"/>
                <a:gd name="T27" fmla="*/ 688 h 370"/>
                <a:gd name="T28" fmla="+- 0 1351 1200"/>
                <a:gd name="T29" fmla="*/ T28 w 394"/>
                <a:gd name="T30" fmla="+- 0 641 335"/>
                <a:gd name="T31" fmla="*/ 641 h 370"/>
                <a:gd name="T32" fmla="+- 0 1366 1200"/>
                <a:gd name="T33" fmla="*/ T32 w 394"/>
                <a:gd name="T34" fmla="+- 0 593 335"/>
                <a:gd name="T35" fmla="*/ 593 h 370"/>
                <a:gd name="T36" fmla="+- 0 1366 1200"/>
                <a:gd name="T37" fmla="*/ T36 w 394"/>
                <a:gd name="T38" fmla="+- 0 564 335"/>
                <a:gd name="T39" fmla="*/ 564 h 370"/>
                <a:gd name="T40" fmla="+- 0 1339 1200"/>
                <a:gd name="T41" fmla="*/ T40 w 394"/>
                <a:gd name="T42" fmla="+- 0 503 335"/>
                <a:gd name="T43" fmla="*/ 503 h 370"/>
                <a:gd name="T44" fmla="+- 0 1201 1200"/>
                <a:gd name="T45" fmla="*/ T44 w 394"/>
                <a:gd name="T46" fmla="+- 0 368 335"/>
                <a:gd name="T47" fmla="*/ 368 h 370"/>
                <a:gd name="T48" fmla="+- 0 1200 1200"/>
                <a:gd name="T49" fmla="*/ T48 w 394"/>
                <a:gd name="T50" fmla="+- 0 352 335"/>
                <a:gd name="T51" fmla="*/ 352 h 370"/>
                <a:gd name="T52" fmla="+- 0 1209 1200"/>
                <a:gd name="T53" fmla="*/ T52 w 394"/>
                <a:gd name="T54" fmla="+- 0 340 335"/>
                <a:gd name="T55" fmla="*/ 340 h 370"/>
                <a:gd name="T56" fmla="+- 0 1224 1200"/>
                <a:gd name="T57" fmla="*/ T56 w 394"/>
                <a:gd name="T58" fmla="+- 0 335 335"/>
                <a:gd name="T59" fmla="*/ 335 h 370"/>
                <a:gd name="T60" fmla="+- 0 1590 1200"/>
                <a:gd name="T61" fmla="*/ T60 w 394"/>
                <a:gd name="T62" fmla="+- 0 335 335"/>
                <a:gd name="T63" fmla="*/ 335 h 370"/>
                <a:gd name="T64" fmla="+- 0 1593 1200"/>
                <a:gd name="T65" fmla="*/ T64 w 394"/>
                <a:gd name="T66" fmla="+- 0 338 335"/>
                <a:gd name="T67" fmla="*/ 338 h 370"/>
                <a:gd name="T68" fmla="+- 0 1593 1200"/>
                <a:gd name="T69" fmla="*/ T68 w 394"/>
                <a:gd name="T70" fmla="+- 0 344 335"/>
                <a:gd name="T71" fmla="*/ 344 h 370"/>
                <a:gd name="T72" fmla="+- 0 1593 1200"/>
                <a:gd name="T73" fmla="*/ T72 w 394"/>
                <a:gd name="T74" fmla="+- 0 345 335"/>
                <a:gd name="T75" fmla="*/ 345 h 370"/>
                <a:gd name="T76" fmla="+- 0 1593 1200"/>
                <a:gd name="T77" fmla="*/ T76 w 394"/>
                <a:gd name="T78" fmla="+- 0 345 335"/>
                <a:gd name="T79" fmla="*/ 345 h 370"/>
                <a:gd name="T80" fmla="+- 0 1446 1200"/>
                <a:gd name="T81" fmla="*/ T80 w 394"/>
                <a:gd name="T82" fmla="+- 0 700 335"/>
                <a:gd name="T83" fmla="*/ 700 h 370"/>
                <a:gd name="T84" fmla="+- 0 1439 1200"/>
                <a:gd name="T85" fmla="*/ T84 w 394"/>
                <a:gd name="T86" fmla="+- 0 705 335"/>
                <a:gd name="T87" fmla="*/ 705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</a:cxnLst>
              <a:rect l="0" t="0" r="r" b="b"/>
              <a:pathLst>
                <a:path w="394" h="370">
                  <a:moveTo>
                    <a:pt x="239" y="370"/>
                  </a:moveTo>
                  <a:lnTo>
                    <a:pt x="90" y="370"/>
                  </a:lnTo>
                  <a:lnTo>
                    <a:pt x="89" y="369"/>
                  </a:lnTo>
                  <a:lnTo>
                    <a:pt x="89" y="367"/>
                  </a:lnTo>
                  <a:lnTo>
                    <a:pt x="90" y="366"/>
                  </a:lnTo>
                  <a:lnTo>
                    <a:pt x="98" y="362"/>
                  </a:lnTo>
                  <a:lnTo>
                    <a:pt x="112" y="353"/>
                  </a:lnTo>
                  <a:lnTo>
                    <a:pt x="151" y="306"/>
                  </a:lnTo>
                  <a:lnTo>
                    <a:pt x="166" y="258"/>
                  </a:lnTo>
                  <a:lnTo>
                    <a:pt x="166" y="229"/>
                  </a:lnTo>
                  <a:lnTo>
                    <a:pt x="139" y="168"/>
                  </a:lnTo>
                  <a:lnTo>
                    <a:pt x="1" y="33"/>
                  </a:lnTo>
                  <a:lnTo>
                    <a:pt x="0" y="17"/>
                  </a:lnTo>
                  <a:lnTo>
                    <a:pt x="9" y="5"/>
                  </a:lnTo>
                  <a:lnTo>
                    <a:pt x="24" y="0"/>
                  </a:lnTo>
                  <a:lnTo>
                    <a:pt x="390" y="0"/>
                  </a:lnTo>
                  <a:lnTo>
                    <a:pt x="393" y="3"/>
                  </a:lnTo>
                  <a:lnTo>
                    <a:pt x="393" y="9"/>
                  </a:lnTo>
                  <a:lnTo>
                    <a:pt x="393" y="10"/>
                  </a:lnTo>
                  <a:lnTo>
                    <a:pt x="246" y="365"/>
                  </a:lnTo>
                  <a:lnTo>
                    <a:pt x="239" y="3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106542EE-3393-F5F3-C18C-E5D6FCB96027}"/>
              </a:ext>
            </a:extLst>
          </xdr:cNvPr>
          <xdr:cNvGrpSpPr>
            <a:grpSpLocks/>
          </xdr:cNvGrpSpPr>
        </xdr:nvGrpSpPr>
        <xdr:grpSpPr bwMode="auto">
          <a:xfrm>
            <a:off x="1986" y="492"/>
            <a:ext cx="11" cy="16"/>
            <a:chOff x="1986" y="492"/>
            <a:chExt cx="11" cy="16"/>
          </a:xfrm>
        </xdr:grpSpPr>
        <xdr:sp macro="" textlink="">
          <xdr:nvSpPr>
            <xdr:cNvPr id="67" name="Freeform 4877">
              <a:extLst>
                <a:ext uri="{FF2B5EF4-FFF2-40B4-BE49-F238E27FC236}">
                  <a16:creationId xmlns:a16="http://schemas.microsoft.com/office/drawing/2014/main" id="{B36A5C16-1204-6AD9-94EE-38EB3147E83C}"/>
                </a:ext>
              </a:extLst>
            </xdr:cNvPr>
            <xdr:cNvSpPr>
              <a:spLocks/>
            </xdr:cNvSpPr>
          </xdr:nvSpPr>
          <xdr:spPr bwMode="auto">
            <a:xfrm>
              <a:off x="1986" y="492"/>
              <a:ext cx="11" cy="16"/>
            </a:xfrm>
            <a:custGeom>
              <a:avLst/>
              <a:gdLst>
                <a:gd name="T0" fmla="+- 0 1986 1986"/>
                <a:gd name="T1" fmla="*/ T0 w 11"/>
                <a:gd name="T2" fmla="+- 0 500 492"/>
                <a:gd name="T3" fmla="*/ 500 h 16"/>
                <a:gd name="T4" fmla="+- 0 1997 1986"/>
                <a:gd name="T5" fmla="*/ T4 w 11"/>
                <a:gd name="T6" fmla="+- 0 500 492"/>
                <a:gd name="T7" fmla="*/ 500 h 1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11" h="16">
                  <a:moveTo>
                    <a:pt x="0" y="8"/>
                  </a:moveTo>
                  <a:lnTo>
                    <a:pt x="11" y="8"/>
                  </a:lnTo>
                </a:path>
              </a:pathLst>
            </a:custGeom>
            <a:noFill/>
            <a:ln w="11238">
              <a:solidFill>
                <a:srgbClr val="001E4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FD0471C8-3455-80D2-2A51-F05F9CBC1F84}"/>
              </a:ext>
            </a:extLst>
          </xdr:cNvPr>
          <xdr:cNvGrpSpPr>
            <a:grpSpLocks/>
          </xdr:cNvGrpSpPr>
        </xdr:nvGrpSpPr>
        <xdr:grpSpPr bwMode="auto">
          <a:xfrm>
            <a:off x="1927" y="495"/>
            <a:ext cx="36" cy="106"/>
            <a:chOff x="1927" y="495"/>
            <a:chExt cx="36" cy="106"/>
          </a:xfrm>
        </xdr:grpSpPr>
        <xdr:sp macro="" textlink="">
          <xdr:nvSpPr>
            <xdr:cNvPr id="65" name="Freeform 4875">
              <a:extLst>
                <a:ext uri="{FF2B5EF4-FFF2-40B4-BE49-F238E27FC236}">
                  <a16:creationId xmlns:a16="http://schemas.microsoft.com/office/drawing/2014/main" id="{02996226-6694-EFC9-C487-E075DC6D4159}"/>
                </a:ext>
              </a:extLst>
            </xdr:cNvPr>
            <xdr:cNvSpPr>
              <a:spLocks/>
            </xdr:cNvSpPr>
          </xdr:nvSpPr>
          <xdr:spPr bwMode="auto">
            <a:xfrm>
              <a:off x="1927" y="495"/>
              <a:ext cx="36" cy="106"/>
            </a:xfrm>
            <a:custGeom>
              <a:avLst/>
              <a:gdLst>
                <a:gd name="T0" fmla="+- 0 1951 1927"/>
                <a:gd name="T1" fmla="*/ T0 w 36"/>
                <a:gd name="T2" fmla="+- 0 591 495"/>
                <a:gd name="T3" fmla="*/ 591 h 106"/>
                <a:gd name="T4" fmla="+- 0 1940 1927"/>
                <a:gd name="T5" fmla="*/ T4 w 36"/>
                <a:gd name="T6" fmla="+- 0 591 495"/>
                <a:gd name="T7" fmla="*/ 591 h 106"/>
                <a:gd name="T8" fmla="+- 0 1940 1927"/>
                <a:gd name="T9" fmla="*/ T8 w 36"/>
                <a:gd name="T10" fmla="+- 0 505 495"/>
                <a:gd name="T11" fmla="*/ 505 h 106"/>
                <a:gd name="T12" fmla="+- 0 1928 1927"/>
                <a:gd name="T13" fmla="*/ T12 w 36"/>
                <a:gd name="T14" fmla="+- 0 505 495"/>
                <a:gd name="T15" fmla="*/ 505 h 106"/>
                <a:gd name="T16" fmla="+- 0 1928 1927"/>
                <a:gd name="T17" fmla="*/ T16 w 36"/>
                <a:gd name="T18" fmla="+- 0 495 495"/>
                <a:gd name="T19" fmla="*/ 495 h 106"/>
                <a:gd name="T20" fmla="+- 0 1951 1927"/>
                <a:gd name="T21" fmla="*/ T20 w 36"/>
                <a:gd name="T22" fmla="+- 0 495 495"/>
                <a:gd name="T23" fmla="*/ 495 h 106"/>
                <a:gd name="T24" fmla="+- 0 1951 1927"/>
                <a:gd name="T25" fmla="*/ T24 w 36"/>
                <a:gd name="T26" fmla="+- 0 591 495"/>
                <a:gd name="T27" fmla="*/ 591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6" h="106">
                  <a:moveTo>
                    <a:pt x="24" y="96"/>
                  </a:moveTo>
                  <a:lnTo>
                    <a:pt x="13" y="96"/>
                  </a:lnTo>
                  <a:lnTo>
                    <a:pt x="13" y="10"/>
                  </a:lnTo>
                  <a:lnTo>
                    <a:pt x="1" y="10"/>
                  </a:lnTo>
                  <a:lnTo>
                    <a:pt x="1" y="0"/>
                  </a:lnTo>
                  <a:lnTo>
                    <a:pt x="24" y="0"/>
                  </a:lnTo>
                  <a:lnTo>
                    <a:pt x="24" y="9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6" name="Freeform 4874">
              <a:extLst>
                <a:ext uri="{FF2B5EF4-FFF2-40B4-BE49-F238E27FC236}">
                  <a16:creationId xmlns:a16="http://schemas.microsoft.com/office/drawing/2014/main" id="{7BA88821-00B8-B248-2D33-618B5EC49C97}"/>
                </a:ext>
              </a:extLst>
            </xdr:cNvPr>
            <xdr:cNvSpPr>
              <a:spLocks/>
            </xdr:cNvSpPr>
          </xdr:nvSpPr>
          <xdr:spPr bwMode="auto">
            <a:xfrm>
              <a:off x="1927" y="495"/>
              <a:ext cx="36" cy="106"/>
            </a:xfrm>
            <a:custGeom>
              <a:avLst/>
              <a:gdLst>
                <a:gd name="T0" fmla="+- 0 1963 1927"/>
                <a:gd name="T1" fmla="*/ T0 w 36"/>
                <a:gd name="T2" fmla="+- 0 600 495"/>
                <a:gd name="T3" fmla="*/ 600 h 106"/>
                <a:gd name="T4" fmla="+- 0 1927 1927"/>
                <a:gd name="T5" fmla="*/ T4 w 36"/>
                <a:gd name="T6" fmla="+- 0 600 495"/>
                <a:gd name="T7" fmla="*/ 600 h 106"/>
                <a:gd name="T8" fmla="+- 0 1927 1927"/>
                <a:gd name="T9" fmla="*/ T8 w 36"/>
                <a:gd name="T10" fmla="+- 0 591 495"/>
                <a:gd name="T11" fmla="*/ 591 h 106"/>
                <a:gd name="T12" fmla="+- 0 1963 1927"/>
                <a:gd name="T13" fmla="*/ T12 w 36"/>
                <a:gd name="T14" fmla="+- 0 591 495"/>
                <a:gd name="T15" fmla="*/ 591 h 106"/>
                <a:gd name="T16" fmla="+- 0 1963 1927"/>
                <a:gd name="T17" fmla="*/ T16 w 36"/>
                <a:gd name="T18" fmla="+- 0 600 495"/>
                <a:gd name="T19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6" h="106">
                  <a:moveTo>
                    <a:pt x="36" y="105"/>
                  </a:moveTo>
                  <a:lnTo>
                    <a:pt x="0" y="105"/>
                  </a:lnTo>
                  <a:lnTo>
                    <a:pt x="0" y="96"/>
                  </a:lnTo>
                  <a:lnTo>
                    <a:pt x="36" y="96"/>
                  </a:lnTo>
                  <a:lnTo>
                    <a:pt x="36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56220264-2003-8CDB-2C72-E30B8524EDC4}"/>
              </a:ext>
            </a:extLst>
          </xdr:cNvPr>
          <xdr:cNvGrpSpPr>
            <a:grpSpLocks/>
          </xdr:cNvGrpSpPr>
        </xdr:nvGrpSpPr>
        <xdr:grpSpPr bwMode="auto">
          <a:xfrm>
            <a:off x="1976" y="522"/>
            <a:ext cx="36" cy="79"/>
            <a:chOff x="1976" y="522"/>
            <a:chExt cx="36" cy="79"/>
          </a:xfrm>
        </xdr:grpSpPr>
        <xdr:sp macro="" textlink="">
          <xdr:nvSpPr>
            <xdr:cNvPr id="63" name="Freeform 4872">
              <a:extLst>
                <a:ext uri="{FF2B5EF4-FFF2-40B4-BE49-F238E27FC236}">
                  <a16:creationId xmlns:a16="http://schemas.microsoft.com/office/drawing/2014/main" id="{8CDF522C-2033-B9A3-9E29-8B7CB350C2FC}"/>
                </a:ext>
              </a:extLst>
            </xdr:cNvPr>
            <xdr:cNvSpPr>
              <a:spLocks/>
            </xdr:cNvSpPr>
          </xdr:nvSpPr>
          <xdr:spPr bwMode="auto">
            <a:xfrm>
              <a:off x="1976" y="522"/>
              <a:ext cx="36" cy="79"/>
            </a:xfrm>
            <a:custGeom>
              <a:avLst/>
              <a:gdLst>
                <a:gd name="T0" fmla="+- 0 1999 1976"/>
                <a:gd name="T1" fmla="*/ T0 w 36"/>
                <a:gd name="T2" fmla="+- 0 591 522"/>
                <a:gd name="T3" fmla="*/ 591 h 79"/>
                <a:gd name="T4" fmla="+- 0 1989 1976"/>
                <a:gd name="T5" fmla="*/ T4 w 36"/>
                <a:gd name="T6" fmla="+- 0 591 522"/>
                <a:gd name="T7" fmla="*/ 591 h 79"/>
                <a:gd name="T8" fmla="+- 0 1989 1976"/>
                <a:gd name="T9" fmla="*/ T8 w 36"/>
                <a:gd name="T10" fmla="+- 0 532 522"/>
                <a:gd name="T11" fmla="*/ 532 h 79"/>
                <a:gd name="T12" fmla="+- 0 1976 1976"/>
                <a:gd name="T13" fmla="*/ T12 w 36"/>
                <a:gd name="T14" fmla="+- 0 532 522"/>
                <a:gd name="T15" fmla="*/ 532 h 79"/>
                <a:gd name="T16" fmla="+- 0 1976 1976"/>
                <a:gd name="T17" fmla="*/ T16 w 36"/>
                <a:gd name="T18" fmla="+- 0 522 522"/>
                <a:gd name="T19" fmla="*/ 522 h 79"/>
                <a:gd name="T20" fmla="+- 0 1999 1976"/>
                <a:gd name="T21" fmla="*/ T20 w 36"/>
                <a:gd name="T22" fmla="+- 0 522 522"/>
                <a:gd name="T23" fmla="*/ 522 h 79"/>
                <a:gd name="T24" fmla="+- 0 1999 1976"/>
                <a:gd name="T25" fmla="*/ T24 w 36"/>
                <a:gd name="T26" fmla="+- 0 591 522"/>
                <a:gd name="T27" fmla="*/ 591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6" h="79">
                  <a:moveTo>
                    <a:pt x="23" y="69"/>
                  </a:moveTo>
                  <a:lnTo>
                    <a:pt x="13" y="69"/>
                  </a:lnTo>
                  <a:lnTo>
                    <a:pt x="13" y="10"/>
                  </a:lnTo>
                  <a:lnTo>
                    <a:pt x="0" y="10"/>
                  </a:lnTo>
                  <a:lnTo>
                    <a:pt x="0" y="0"/>
                  </a:lnTo>
                  <a:lnTo>
                    <a:pt x="23" y="0"/>
                  </a:lnTo>
                  <a:lnTo>
                    <a:pt x="23" y="6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4" name="Freeform 4871">
              <a:extLst>
                <a:ext uri="{FF2B5EF4-FFF2-40B4-BE49-F238E27FC236}">
                  <a16:creationId xmlns:a16="http://schemas.microsoft.com/office/drawing/2014/main" id="{13BE7003-1489-76EF-589B-CCACC5AB3540}"/>
                </a:ext>
              </a:extLst>
            </xdr:cNvPr>
            <xdr:cNvSpPr>
              <a:spLocks/>
            </xdr:cNvSpPr>
          </xdr:nvSpPr>
          <xdr:spPr bwMode="auto">
            <a:xfrm>
              <a:off x="1976" y="522"/>
              <a:ext cx="36" cy="79"/>
            </a:xfrm>
            <a:custGeom>
              <a:avLst/>
              <a:gdLst>
                <a:gd name="T0" fmla="+- 0 2011 1976"/>
                <a:gd name="T1" fmla="*/ T0 w 36"/>
                <a:gd name="T2" fmla="+- 0 600 522"/>
                <a:gd name="T3" fmla="*/ 600 h 79"/>
                <a:gd name="T4" fmla="+- 0 1976 1976"/>
                <a:gd name="T5" fmla="*/ T4 w 36"/>
                <a:gd name="T6" fmla="+- 0 600 522"/>
                <a:gd name="T7" fmla="*/ 600 h 79"/>
                <a:gd name="T8" fmla="+- 0 1976 1976"/>
                <a:gd name="T9" fmla="*/ T8 w 36"/>
                <a:gd name="T10" fmla="+- 0 591 522"/>
                <a:gd name="T11" fmla="*/ 591 h 79"/>
                <a:gd name="T12" fmla="+- 0 2011 1976"/>
                <a:gd name="T13" fmla="*/ T12 w 36"/>
                <a:gd name="T14" fmla="+- 0 591 522"/>
                <a:gd name="T15" fmla="*/ 591 h 79"/>
                <a:gd name="T16" fmla="+- 0 2011 1976"/>
                <a:gd name="T17" fmla="*/ T16 w 36"/>
                <a:gd name="T18" fmla="+- 0 600 522"/>
                <a:gd name="T19" fmla="*/ 600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6" h="79">
                  <a:moveTo>
                    <a:pt x="35" y="78"/>
                  </a:moveTo>
                  <a:lnTo>
                    <a:pt x="0" y="78"/>
                  </a:lnTo>
                  <a:lnTo>
                    <a:pt x="0" y="69"/>
                  </a:lnTo>
                  <a:lnTo>
                    <a:pt x="35" y="69"/>
                  </a:lnTo>
                  <a:lnTo>
                    <a:pt x="35" y="7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590B23C7-4E8B-8CFA-604E-4BD83ED66C27}"/>
              </a:ext>
            </a:extLst>
          </xdr:cNvPr>
          <xdr:cNvGrpSpPr>
            <a:grpSpLocks/>
          </xdr:cNvGrpSpPr>
        </xdr:nvGrpSpPr>
        <xdr:grpSpPr bwMode="auto">
          <a:xfrm>
            <a:off x="2022" y="494"/>
            <a:ext cx="39" cy="107"/>
            <a:chOff x="2022" y="494"/>
            <a:chExt cx="39" cy="107"/>
          </a:xfrm>
        </xdr:grpSpPr>
        <xdr:sp macro="" textlink="">
          <xdr:nvSpPr>
            <xdr:cNvPr id="59" name="Freeform 4869">
              <a:extLst>
                <a:ext uri="{FF2B5EF4-FFF2-40B4-BE49-F238E27FC236}">
                  <a16:creationId xmlns:a16="http://schemas.microsoft.com/office/drawing/2014/main" id="{030C4912-1587-70E5-39C2-E953EC56F57B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45 2022"/>
                <a:gd name="T1" fmla="*/ T0 w 39"/>
                <a:gd name="T2" fmla="+- 0 522 494"/>
                <a:gd name="T3" fmla="*/ 522 h 107"/>
                <a:gd name="T4" fmla="+- 0 2035 2022"/>
                <a:gd name="T5" fmla="*/ T4 w 39"/>
                <a:gd name="T6" fmla="+- 0 522 494"/>
                <a:gd name="T7" fmla="*/ 522 h 107"/>
                <a:gd name="T8" fmla="+- 0 2035 2022"/>
                <a:gd name="T9" fmla="*/ T8 w 39"/>
                <a:gd name="T10" fmla="+- 0 521 494"/>
                <a:gd name="T11" fmla="*/ 521 h 107"/>
                <a:gd name="T12" fmla="+- 0 2035 2022"/>
                <a:gd name="T13" fmla="*/ T12 w 39"/>
                <a:gd name="T14" fmla="+- 0 513 494"/>
                <a:gd name="T15" fmla="*/ 513 h 107"/>
                <a:gd name="T16" fmla="+- 0 2035 2022"/>
                <a:gd name="T17" fmla="*/ T16 w 39"/>
                <a:gd name="T18" fmla="+- 0 506 494"/>
                <a:gd name="T19" fmla="*/ 506 h 107"/>
                <a:gd name="T20" fmla="+- 0 2042 2022"/>
                <a:gd name="T21" fmla="*/ T20 w 39"/>
                <a:gd name="T22" fmla="+- 0 500 494"/>
                <a:gd name="T23" fmla="*/ 500 h 107"/>
                <a:gd name="T24" fmla="+- 0 2046 2022"/>
                <a:gd name="T25" fmla="*/ T24 w 39"/>
                <a:gd name="T26" fmla="+- 0 496 494"/>
                <a:gd name="T27" fmla="*/ 496 h 107"/>
                <a:gd name="T28" fmla="+- 0 2052 2022"/>
                <a:gd name="T29" fmla="*/ T28 w 39"/>
                <a:gd name="T30" fmla="+- 0 494 494"/>
                <a:gd name="T31" fmla="*/ 494 h 107"/>
                <a:gd name="T32" fmla="+- 0 2061 2022"/>
                <a:gd name="T33" fmla="*/ T32 w 39"/>
                <a:gd name="T34" fmla="+- 0 494 494"/>
                <a:gd name="T35" fmla="*/ 494 h 107"/>
                <a:gd name="T36" fmla="+- 0 2061 2022"/>
                <a:gd name="T37" fmla="*/ T36 w 39"/>
                <a:gd name="T38" fmla="+- 0 503 494"/>
                <a:gd name="T39" fmla="*/ 503 h 107"/>
                <a:gd name="T40" fmla="+- 0 2056 2022"/>
                <a:gd name="T41" fmla="*/ T40 w 39"/>
                <a:gd name="T42" fmla="+- 0 503 494"/>
                <a:gd name="T43" fmla="*/ 503 h 107"/>
                <a:gd name="T44" fmla="+- 0 2053 2022"/>
                <a:gd name="T45" fmla="*/ T44 w 39"/>
                <a:gd name="T46" fmla="+- 0 505 494"/>
                <a:gd name="T47" fmla="*/ 505 h 107"/>
                <a:gd name="T48" fmla="+- 0 2050 2022"/>
                <a:gd name="T49" fmla="*/ T48 w 39"/>
                <a:gd name="T50" fmla="+- 0 507 494"/>
                <a:gd name="T51" fmla="*/ 507 h 107"/>
                <a:gd name="T52" fmla="+- 0 2045 2022"/>
                <a:gd name="T53" fmla="*/ T52 w 39"/>
                <a:gd name="T54" fmla="+- 0 510 494"/>
                <a:gd name="T55" fmla="*/ 510 h 107"/>
                <a:gd name="T56" fmla="+- 0 2045 2022"/>
                <a:gd name="T57" fmla="*/ T56 w 39"/>
                <a:gd name="T58" fmla="+- 0 515 494"/>
                <a:gd name="T59" fmla="*/ 515 h 107"/>
                <a:gd name="T60" fmla="+- 0 2045 2022"/>
                <a:gd name="T61" fmla="*/ T60 w 39"/>
                <a:gd name="T62" fmla="+- 0 521 494"/>
                <a:gd name="T63" fmla="*/ 521 h 107"/>
                <a:gd name="T64" fmla="+- 0 2045 2022"/>
                <a:gd name="T65" fmla="*/ T64 w 39"/>
                <a:gd name="T66" fmla="+- 0 522 494"/>
                <a:gd name="T67" fmla="*/ 522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39" h="107">
                  <a:moveTo>
                    <a:pt x="23" y="28"/>
                  </a:moveTo>
                  <a:lnTo>
                    <a:pt x="13" y="28"/>
                  </a:lnTo>
                  <a:lnTo>
                    <a:pt x="13" y="27"/>
                  </a:lnTo>
                  <a:lnTo>
                    <a:pt x="13" y="19"/>
                  </a:lnTo>
                  <a:lnTo>
                    <a:pt x="13" y="12"/>
                  </a:lnTo>
                  <a:lnTo>
                    <a:pt x="20" y="6"/>
                  </a:lnTo>
                  <a:lnTo>
                    <a:pt x="24" y="2"/>
                  </a:lnTo>
                  <a:lnTo>
                    <a:pt x="30" y="0"/>
                  </a:lnTo>
                  <a:lnTo>
                    <a:pt x="39" y="0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31" y="11"/>
                  </a:lnTo>
                  <a:lnTo>
                    <a:pt x="28" y="13"/>
                  </a:lnTo>
                  <a:lnTo>
                    <a:pt x="23" y="16"/>
                  </a:lnTo>
                  <a:lnTo>
                    <a:pt x="23" y="21"/>
                  </a:lnTo>
                  <a:lnTo>
                    <a:pt x="23" y="27"/>
                  </a:lnTo>
                  <a:lnTo>
                    <a:pt x="23" y="2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0" name="Freeform 4868">
              <a:extLst>
                <a:ext uri="{FF2B5EF4-FFF2-40B4-BE49-F238E27FC236}">
                  <a16:creationId xmlns:a16="http://schemas.microsoft.com/office/drawing/2014/main" id="{D5BC61DA-D366-B448-E2D9-6CC13A7C4091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58 2022"/>
                <a:gd name="T1" fmla="*/ T0 w 39"/>
                <a:gd name="T2" fmla="+- 0 533 494"/>
                <a:gd name="T3" fmla="*/ 533 h 107"/>
                <a:gd name="T4" fmla="+- 0 2022 2022"/>
                <a:gd name="T5" fmla="*/ T4 w 39"/>
                <a:gd name="T6" fmla="+- 0 533 494"/>
                <a:gd name="T7" fmla="*/ 533 h 107"/>
                <a:gd name="T8" fmla="+- 0 2022 2022"/>
                <a:gd name="T9" fmla="*/ T8 w 39"/>
                <a:gd name="T10" fmla="+- 0 522 494"/>
                <a:gd name="T11" fmla="*/ 522 h 107"/>
                <a:gd name="T12" fmla="+- 0 2058 2022"/>
                <a:gd name="T13" fmla="*/ T12 w 39"/>
                <a:gd name="T14" fmla="+- 0 522 494"/>
                <a:gd name="T15" fmla="*/ 522 h 107"/>
                <a:gd name="T16" fmla="+- 0 2058 2022"/>
                <a:gd name="T17" fmla="*/ T16 w 39"/>
                <a:gd name="T18" fmla="+- 0 533 494"/>
                <a:gd name="T19" fmla="*/ 533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36" y="39"/>
                  </a:moveTo>
                  <a:lnTo>
                    <a:pt x="0" y="39"/>
                  </a:lnTo>
                  <a:lnTo>
                    <a:pt x="0" y="28"/>
                  </a:lnTo>
                  <a:lnTo>
                    <a:pt x="36" y="28"/>
                  </a:lnTo>
                  <a:lnTo>
                    <a:pt x="36" y="3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1" name="Freeform 4867">
              <a:extLst>
                <a:ext uri="{FF2B5EF4-FFF2-40B4-BE49-F238E27FC236}">
                  <a16:creationId xmlns:a16="http://schemas.microsoft.com/office/drawing/2014/main" id="{D32C1B90-CCFE-C272-AC0C-484491FF4CBC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45 2022"/>
                <a:gd name="T1" fmla="*/ T0 w 39"/>
                <a:gd name="T2" fmla="+- 0 591 494"/>
                <a:gd name="T3" fmla="*/ 591 h 107"/>
                <a:gd name="T4" fmla="+- 0 2035 2022"/>
                <a:gd name="T5" fmla="*/ T4 w 39"/>
                <a:gd name="T6" fmla="+- 0 591 494"/>
                <a:gd name="T7" fmla="*/ 591 h 107"/>
                <a:gd name="T8" fmla="+- 0 2035 2022"/>
                <a:gd name="T9" fmla="*/ T8 w 39"/>
                <a:gd name="T10" fmla="+- 0 533 494"/>
                <a:gd name="T11" fmla="*/ 533 h 107"/>
                <a:gd name="T12" fmla="+- 0 2045 2022"/>
                <a:gd name="T13" fmla="*/ T12 w 39"/>
                <a:gd name="T14" fmla="+- 0 533 494"/>
                <a:gd name="T15" fmla="*/ 533 h 107"/>
                <a:gd name="T16" fmla="+- 0 2045 2022"/>
                <a:gd name="T17" fmla="*/ T16 w 39"/>
                <a:gd name="T18" fmla="+- 0 591 494"/>
                <a:gd name="T19" fmla="*/ 591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23" y="97"/>
                  </a:moveTo>
                  <a:lnTo>
                    <a:pt x="13" y="97"/>
                  </a:lnTo>
                  <a:lnTo>
                    <a:pt x="13" y="39"/>
                  </a:lnTo>
                  <a:lnTo>
                    <a:pt x="23" y="39"/>
                  </a:lnTo>
                  <a:lnTo>
                    <a:pt x="23" y="9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2" name="Freeform 4866">
              <a:extLst>
                <a:ext uri="{FF2B5EF4-FFF2-40B4-BE49-F238E27FC236}">
                  <a16:creationId xmlns:a16="http://schemas.microsoft.com/office/drawing/2014/main" id="{1FC9A4D9-22E7-9A1F-948E-53F7C6CE89D2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58 2022"/>
                <a:gd name="T1" fmla="*/ T0 w 39"/>
                <a:gd name="T2" fmla="+- 0 601 494"/>
                <a:gd name="T3" fmla="*/ 601 h 107"/>
                <a:gd name="T4" fmla="+- 0 2022 2022"/>
                <a:gd name="T5" fmla="*/ T4 w 39"/>
                <a:gd name="T6" fmla="+- 0 601 494"/>
                <a:gd name="T7" fmla="*/ 601 h 107"/>
                <a:gd name="T8" fmla="+- 0 2022 2022"/>
                <a:gd name="T9" fmla="*/ T8 w 39"/>
                <a:gd name="T10" fmla="+- 0 591 494"/>
                <a:gd name="T11" fmla="*/ 591 h 107"/>
                <a:gd name="T12" fmla="+- 0 2058 2022"/>
                <a:gd name="T13" fmla="*/ T12 w 39"/>
                <a:gd name="T14" fmla="+- 0 591 494"/>
                <a:gd name="T15" fmla="*/ 591 h 107"/>
                <a:gd name="T16" fmla="+- 0 2058 2022"/>
                <a:gd name="T17" fmla="*/ T16 w 39"/>
                <a:gd name="T18" fmla="+- 0 601 494"/>
                <a:gd name="T19" fmla="*/ 601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36" y="107"/>
                  </a:moveTo>
                  <a:lnTo>
                    <a:pt x="0" y="107"/>
                  </a:lnTo>
                  <a:lnTo>
                    <a:pt x="0" y="97"/>
                  </a:lnTo>
                  <a:lnTo>
                    <a:pt x="36" y="97"/>
                  </a:lnTo>
                  <a:lnTo>
                    <a:pt x="36" y="10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64271757-095E-8B62-631E-2C1A22320BE5}"/>
              </a:ext>
            </a:extLst>
          </xdr:cNvPr>
          <xdr:cNvGrpSpPr>
            <a:grpSpLocks/>
          </xdr:cNvGrpSpPr>
        </xdr:nvGrpSpPr>
        <xdr:grpSpPr bwMode="auto">
          <a:xfrm>
            <a:off x="2076" y="522"/>
            <a:ext cx="76" cy="79"/>
            <a:chOff x="2076" y="522"/>
            <a:chExt cx="76" cy="79"/>
          </a:xfrm>
        </xdr:grpSpPr>
        <xdr:sp macro="" textlink="">
          <xdr:nvSpPr>
            <xdr:cNvPr id="56" name="Freeform 4864">
              <a:extLst>
                <a:ext uri="{FF2B5EF4-FFF2-40B4-BE49-F238E27FC236}">
                  <a16:creationId xmlns:a16="http://schemas.microsoft.com/office/drawing/2014/main" id="{03F7A899-2DDE-662C-C92B-3CE4C7BC4D63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01 2076"/>
                <a:gd name="T1" fmla="*/ T0 w 76"/>
                <a:gd name="T2" fmla="+- 0 601 522"/>
                <a:gd name="T3" fmla="*/ 601 h 79"/>
                <a:gd name="T4" fmla="+- 0 2087 2076"/>
                <a:gd name="T5" fmla="*/ T4 w 76"/>
                <a:gd name="T6" fmla="+- 0 591 522"/>
                <a:gd name="T7" fmla="*/ 591 h 79"/>
                <a:gd name="T8" fmla="+- 0 2078 2076"/>
                <a:gd name="T9" fmla="*/ T8 w 76"/>
                <a:gd name="T10" fmla="+- 0 573 522"/>
                <a:gd name="T11" fmla="*/ 573 h 79"/>
                <a:gd name="T12" fmla="+- 0 2076 2076"/>
                <a:gd name="T13" fmla="*/ T12 w 76"/>
                <a:gd name="T14" fmla="+- 0 545 522"/>
                <a:gd name="T15" fmla="*/ 545 h 79"/>
                <a:gd name="T16" fmla="+- 0 2091 2076"/>
                <a:gd name="T17" fmla="*/ T16 w 76"/>
                <a:gd name="T18" fmla="+- 0 529 522"/>
                <a:gd name="T19" fmla="*/ 529 h 79"/>
                <a:gd name="T20" fmla="+- 0 2112 2076"/>
                <a:gd name="T21" fmla="*/ T20 w 76"/>
                <a:gd name="T22" fmla="+- 0 522 522"/>
                <a:gd name="T23" fmla="*/ 522 h 79"/>
                <a:gd name="T24" fmla="+- 0 2130 2076"/>
                <a:gd name="T25" fmla="*/ T24 w 76"/>
                <a:gd name="T26" fmla="+- 0 527 522"/>
                <a:gd name="T27" fmla="*/ 527 h 79"/>
                <a:gd name="T28" fmla="+- 0 2136 2076"/>
                <a:gd name="T29" fmla="*/ T28 w 76"/>
                <a:gd name="T30" fmla="+- 0 532 522"/>
                <a:gd name="T31" fmla="*/ 532 h 79"/>
                <a:gd name="T32" fmla="+- 0 2098 2076"/>
                <a:gd name="T33" fmla="*/ T32 w 76"/>
                <a:gd name="T34" fmla="+- 0 532 522"/>
                <a:gd name="T35" fmla="*/ 532 h 79"/>
                <a:gd name="T36" fmla="+- 0 2085 2076"/>
                <a:gd name="T37" fmla="*/ T36 w 76"/>
                <a:gd name="T38" fmla="+- 0 543 522"/>
                <a:gd name="T39" fmla="*/ 543 h 79"/>
                <a:gd name="T40" fmla="+- 0 2083 2076"/>
                <a:gd name="T41" fmla="*/ T40 w 76"/>
                <a:gd name="T42" fmla="+- 0 557 522"/>
                <a:gd name="T43" fmla="*/ 557 h 79"/>
                <a:gd name="T44" fmla="+- 0 2150 2076"/>
                <a:gd name="T45" fmla="*/ T44 w 76"/>
                <a:gd name="T46" fmla="+- 0 557 522"/>
                <a:gd name="T47" fmla="*/ 557 h 79"/>
                <a:gd name="T48" fmla="+- 0 2152 2076"/>
                <a:gd name="T49" fmla="*/ T48 w 76"/>
                <a:gd name="T50" fmla="+- 0 563 522"/>
                <a:gd name="T51" fmla="*/ 563 h 79"/>
                <a:gd name="T52" fmla="+- 0 2152 2076"/>
                <a:gd name="T53" fmla="*/ T52 w 76"/>
                <a:gd name="T54" fmla="+- 0 566 522"/>
                <a:gd name="T55" fmla="*/ 566 h 79"/>
                <a:gd name="T56" fmla="+- 0 2083 2076"/>
                <a:gd name="T57" fmla="*/ T56 w 76"/>
                <a:gd name="T58" fmla="+- 0 566 522"/>
                <a:gd name="T59" fmla="*/ 566 h 79"/>
                <a:gd name="T60" fmla="+- 0 2084 2076"/>
                <a:gd name="T61" fmla="*/ T60 w 76"/>
                <a:gd name="T62" fmla="+- 0 581 522"/>
                <a:gd name="T63" fmla="*/ 581 h 79"/>
                <a:gd name="T64" fmla="+- 0 2097 2076"/>
                <a:gd name="T65" fmla="*/ T64 w 76"/>
                <a:gd name="T66" fmla="+- 0 593 522"/>
                <a:gd name="T67" fmla="*/ 593 h 79"/>
                <a:gd name="T68" fmla="+- 0 2135 2076"/>
                <a:gd name="T69" fmla="*/ T68 w 76"/>
                <a:gd name="T70" fmla="+- 0 593 522"/>
                <a:gd name="T71" fmla="*/ 593 h 79"/>
                <a:gd name="T72" fmla="+- 0 2126 2076"/>
                <a:gd name="T73" fmla="*/ T72 w 76"/>
                <a:gd name="T74" fmla="+- 0 598 522"/>
                <a:gd name="T75" fmla="*/ 598 h 79"/>
                <a:gd name="T76" fmla="+- 0 2101 2076"/>
                <a:gd name="T77" fmla="*/ T76 w 76"/>
                <a:gd name="T78" fmla="+- 0 601 522"/>
                <a:gd name="T79" fmla="*/ 601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6" h="79">
                  <a:moveTo>
                    <a:pt x="25" y="79"/>
                  </a:moveTo>
                  <a:lnTo>
                    <a:pt x="11" y="69"/>
                  </a:lnTo>
                  <a:lnTo>
                    <a:pt x="2" y="51"/>
                  </a:lnTo>
                  <a:lnTo>
                    <a:pt x="0" y="23"/>
                  </a:lnTo>
                  <a:lnTo>
                    <a:pt x="15" y="7"/>
                  </a:lnTo>
                  <a:lnTo>
                    <a:pt x="36" y="0"/>
                  </a:lnTo>
                  <a:lnTo>
                    <a:pt x="54" y="5"/>
                  </a:lnTo>
                  <a:lnTo>
                    <a:pt x="60" y="10"/>
                  </a:lnTo>
                  <a:lnTo>
                    <a:pt x="22" y="10"/>
                  </a:lnTo>
                  <a:lnTo>
                    <a:pt x="9" y="21"/>
                  </a:lnTo>
                  <a:lnTo>
                    <a:pt x="7" y="35"/>
                  </a:lnTo>
                  <a:lnTo>
                    <a:pt x="74" y="35"/>
                  </a:lnTo>
                  <a:lnTo>
                    <a:pt x="76" y="41"/>
                  </a:lnTo>
                  <a:lnTo>
                    <a:pt x="76" y="44"/>
                  </a:lnTo>
                  <a:lnTo>
                    <a:pt x="7" y="44"/>
                  </a:lnTo>
                  <a:lnTo>
                    <a:pt x="8" y="59"/>
                  </a:lnTo>
                  <a:lnTo>
                    <a:pt x="21" y="71"/>
                  </a:lnTo>
                  <a:lnTo>
                    <a:pt x="59" y="71"/>
                  </a:lnTo>
                  <a:lnTo>
                    <a:pt x="50" y="76"/>
                  </a:lnTo>
                  <a:lnTo>
                    <a:pt x="25" y="7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7" name="Freeform 4863">
              <a:extLst>
                <a:ext uri="{FF2B5EF4-FFF2-40B4-BE49-F238E27FC236}">
                  <a16:creationId xmlns:a16="http://schemas.microsoft.com/office/drawing/2014/main" id="{F6D28FDB-2D18-CD3E-FF6B-76996DFA6696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50 2076"/>
                <a:gd name="T1" fmla="*/ T0 w 76"/>
                <a:gd name="T2" fmla="+- 0 557 522"/>
                <a:gd name="T3" fmla="*/ 557 h 79"/>
                <a:gd name="T4" fmla="+- 0 2142 2076"/>
                <a:gd name="T5" fmla="*/ T4 w 76"/>
                <a:gd name="T6" fmla="+- 0 557 522"/>
                <a:gd name="T7" fmla="*/ 557 h 79"/>
                <a:gd name="T8" fmla="+- 0 2139 2076"/>
                <a:gd name="T9" fmla="*/ T8 w 76"/>
                <a:gd name="T10" fmla="+- 0 543 522"/>
                <a:gd name="T11" fmla="*/ 543 h 79"/>
                <a:gd name="T12" fmla="+- 0 2127 2076"/>
                <a:gd name="T13" fmla="*/ T12 w 76"/>
                <a:gd name="T14" fmla="+- 0 532 522"/>
                <a:gd name="T15" fmla="*/ 532 h 79"/>
                <a:gd name="T16" fmla="+- 0 2136 2076"/>
                <a:gd name="T17" fmla="*/ T16 w 76"/>
                <a:gd name="T18" fmla="+- 0 532 522"/>
                <a:gd name="T19" fmla="*/ 532 h 79"/>
                <a:gd name="T20" fmla="+- 0 2146 2076"/>
                <a:gd name="T21" fmla="*/ T20 w 76"/>
                <a:gd name="T22" fmla="+- 0 541 522"/>
                <a:gd name="T23" fmla="*/ 541 h 79"/>
                <a:gd name="T24" fmla="+- 0 2150 2076"/>
                <a:gd name="T25" fmla="*/ T24 w 76"/>
                <a:gd name="T26" fmla="+- 0 557 522"/>
                <a:gd name="T27" fmla="*/ 557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76" h="79">
                  <a:moveTo>
                    <a:pt x="74" y="35"/>
                  </a:moveTo>
                  <a:lnTo>
                    <a:pt x="66" y="35"/>
                  </a:lnTo>
                  <a:lnTo>
                    <a:pt x="63" y="21"/>
                  </a:lnTo>
                  <a:lnTo>
                    <a:pt x="51" y="10"/>
                  </a:lnTo>
                  <a:lnTo>
                    <a:pt x="60" y="10"/>
                  </a:lnTo>
                  <a:lnTo>
                    <a:pt x="70" y="19"/>
                  </a:lnTo>
                  <a:lnTo>
                    <a:pt x="74" y="3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8" name="Freeform 4862">
              <a:extLst>
                <a:ext uri="{FF2B5EF4-FFF2-40B4-BE49-F238E27FC236}">
                  <a16:creationId xmlns:a16="http://schemas.microsoft.com/office/drawing/2014/main" id="{1C7B061C-6CF7-4300-C3DB-5F0D140DB0AA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35 2076"/>
                <a:gd name="T1" fmla="*/ T0 w 76"/>
                <a:gd name="T2" fmla="+- 0 593 522"/>
                <a:gd name="T3" fmla="*/ 593 h 79"/>
                <a:gd name="T4" fmla="+- 0 2123 2076"/>
                <a:gd name="T5" fmla="*/ T4 w 76"/>
                <a:gd name="T6" fmla="+- 0 593 522"/>
                <a:gd name="T7" fmla="*/ 593 h 79"/>
                <a:gd name="T8" fmla="+- 0 2132 2076"/>
                <a:gd name="T9" fmla="*/ T8 w 76"/>
                <a:gd name="T10" fmla="+- 0 587 522"/>
                <a:gd name="T11" fmla="*/ 587 h 79"/>
                <a:gd name="T12" fmla="+- 0 2137 2076"/>
                <a:gd name="T13" fmla="*/ T12 w 76"/>
                <a:gd name="T14" fmla="+- 0 578 522"/>
                <a:gd name="T15" fmla="*/ 578 h 79"/>
                <a:gd name="T16" fmla="+- 0 2138 2076"/>
                <a:gd name="T17" fmla="*/ T16 w 76"/>
                <a:gd name="T18" fmla="+- 0 578 522"/>
                <a:gd name="T19" fmla="*/ 578 h 79"/>
                <a:gd name="T20" fmla="+- 0 2149 2076"/>
                <a:gd name="T21" fmla="*/ T20 w 76"/>
                <a:gd name="T22" fmla="+- 0 578 522"/>
                <a:gd name="T23" fmla="*/ 578 h 79"/>
                <a:gd name="T24" fmla="+- 0 2142 2076"/>
                <a:gd name="T25" fmla="*/ T24 w 76"/>
                <a:gd name="T26" fmla="+- 0 588 522"/>
                <a:gd name="T27" fmla="*/ 588 h 79"/>
                <a:gd name="T28" fmla="+- 0 2135 2076"/>
                <a:gd name="T29" fmla="*/ T28 w 76"/>
                <a:gd name="T30" fmla="+- 0 593 522"/>
                <a:gd name="T31" fmla="*/ 593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6" h="79">
                  <a:moveTo>
                    <a:pt x="59" y="71"/>
                  </a:moveTo>
                  <a:lnTo>
                    <a:pt x="47" y="71"/>
                  </a:lnTo>
                  <a:lnTo>
                    <a:pt x="56" y="65"/>
                  </a:lnTo>
                  <a:lnTo>
                    <a:pt x="61" y="56"/>
                  </a:lnTo>
                  <a:lnTo>
                    <a:pt x="62" y="56"/>
                  </a:lnTo>
                  <a:lnTo>
                    <a:pt x="73" y="56"/>
                  </a:lnTo>
                  <a:lnTo>
                    <a:pt x="66" y="66"/>
                  </a:lnTo>
                  <a:lnTo>
                    <a:pt x="59" y="7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4EBEBB29-96A8-977F-9C30-116C30BCDC4B}"/>
              </a:ext>
            </a:extLst>
          </xdr:cNvPr>
          <xdr:cNvGrpSpPr>
            <a:grpSpLocks/>
          </xdr:cNvGrpSpPr>
        </xdr:nvGrpSpPr>
        <xdr:grpSpPr bwMode="auto">
          <a:xfrm>
            <a:off x="2228" y="520"/>
            <a:ext cx="78" cy="81"/>
            <a:chOff x="2228" y="520"/>
            <a:chExt cx="78" cy="81"/>
          </a:xfrm>
        </xdr:grpSpPr>
        <xdr:sp macro="" textlink="">
          <xdr:nvSpPr>
            <xdr:cNvPr id="52" name="Freeform 4860">
              <a:extLst>
                <a:ext uri="{FF2B5EF4-FFF2-40B4-BE49-F238E27FC236}">
                  <a16:creationId xmlns:a16="http://schemas.microsoft.com/office/drawing/2014/main" id="{52F4E871-C8B2-F3B2-0A90-75641843B0DD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274 2228"/>
                <a:gd name="T1" fmla="*/ T0 w 78"/>
                <a:gd name="T2" fmla="+- 0 600 520"/>
                <a:gd name="T3" fmla="*/ 600 h 81"/>
                <a:gd name="T4" fmla="+- 0 2252 2228"/>
                <a:gd name="T5" fmla="*/ T4 w 78"/>
                <a:gd name="T6" fmla="+- 0 600 520"/>
                <a:gd name="T7" fmla="*/ 600 h 81"/>
                <a:gd name="T8" fmla="+- 0 2238 2228"/>
                <a:gd name="T9" fmla="*/ T8 w 78"/>
                <a:gd name="T10" fmla="+- 0 590 520"/>
                <a:gd name="T11" fmla="*/ 590 h 81"/>
                <a:gd name="T12" fmla="+- 0 2229 2228"/>
                <a:gd name="T13" fmla="*/ T12 w 78"/>
                <a:gd name="T14" fmla="+- 0 571 520"/>
                <a:gd name="T15" fmla="*/ 571 h 81"/>
                <a:gd name="T16" fmla="+- 0 2228 2228"/>
                <a:gd name="T17" fmla="*/ T16 w 78"/>
                <a:gd name="T18" fmla="+- 0 543 520"/>
                <a:gd name="T19" fmla="*/ 543 h 81"/>
                <a:gd name="T20" fmla="+- 0 2243 2228"/>
                <a:gd name="T21" fmla="*/ T20 w 78"/>
                <a:gd name="T22" fmla="+- 0 527 520"/>
                <a:gd name="T23" fmla="*/ 527 h 81"/>
                <a:gd name="T24" fmla="+- 0 2266 2228"/>
                <a:gd name="T25" fmla="*/ T24 w 78"/>
                <a:gd name="T26" fmla="+- 0 520 520"/>
                <a:gd name="T27" fmla="*/ 520 h 81"/>
                <a:gd name="T28" fmla="+- 0 2272 2228"/>
                <a:gd name="T29" fmla="*/ T28 w 78"/>
                <a:gd name="T30" fmla="+- 0 520 520"/>
                <a:gd name="T31" fmla="*/ 520 h 81"/>
                <a:gd name="T32" fmla="+- 0 2286 2228"/>
                <a:gd name="T33" fmla="*/ T32 w 78"/>
                <a:gd name="T34" fmla="+- 0 522 520"/>
                <a:gd name="T35" fmla="*/ 522 h 81"/>
                <a:gd name="T36" fmla="+- 0 2293 2228"/>
                <a:gd name="T37" fmla="*/ T36 w 78"/>
                <a:gd name="T38" fmla="+- 0 531 520"/>
                <a:gd name="T39" fmla="*/ 531 h 81"/>
                <a:gd name="T40" fmla="+- 0 2259 2228"/>
                <a:gd name="T41" fmla="*/ T40 w 78"/>
                <a:gd name="T42" fmla="+- 0 531 520"/>
                <a:gd name="T43" fmla="*/ 531 h 81"/>
                <a:gd name="T44" fmla="+- 0 2242 2228"/>
                <a:gd name="T45" fmla="*/ T44 w 78"/>
                <a:gd name="T46" fmla="+- 0 542 520"/>
                <a:gd name="T47" fmla="*/ 542 h 81"/>
                <a:gd name="T48" fmla="+- 0 2235 2228"/>
                <a:gd name="T49" fmla="*/ T48 w 78"/>
                <a:gd name="T50" fmla="+- 0 566 520"/>
                <a:gd name="T51" fmla="*/ 566 h 81"/>
                <a:gd name="T52" fmla="+- 0 2245 2228"/>
                <a:gd name="T53" fmla="*/ T52 w 78"/>
                <a:gd name="T54" fmla="+- 0 585 520"/>
                <a:gd name="T55" fmla="*/ 585 h 81"/>
                <a:gd name="T56" fmla="+- 0 2266 2228"/>
                <a:gd name="T57" fmla="*/ T56 w 78"/>
                <a:gd name="T58" fmla="+- 0 592 520"/>
                <a:gd name="T59" fmla="*/ 592 h 81"/>
                <a:gd name="T60" fmla="+- 0 2306 2228"/>
                <a:gd name="T61" fmla="*/ T60 w 78"/>
                <a:gd name="T62" fmla="+- 0 592 520"/>
                <a:gd name="T63" fmla="*/ 592 h 81"/>
                <a:gd name="T64" fmla="+- 0 2306 2228"/>
                <a:gd name="T65" fmla="*/ T64 w 78"/>
                <a:gd name="T66" fmla="+- 0 593 520"/>
                <a:gd name="T67" fmla="*/ 593 h 81"/>
                <a:gd name="T68" fmla="+- 0 2291 2228"/>
                <a:gd name="T69" fmla="*/ T68 w 78"/>
                <a:gd name="T70" fmla="+- 0 593 520"/>
                <a:gd name="T71" fmla="*/ 593 h 81"/>
                <a:gd name="T72" fmla="+- 0 2274 2228"/>
                <a:gd name="T73" fmla="*/ T72 w 78"/>
                <a:gd name="T74" fmla="+- 0 600 520"/>
                <a:gd name="T75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</a:cxnLst>
              <a:rect l="0" t="0" r="r" b="b"/>
              <a:pathLst>
                <a:path w="78" h="81">
                  <a:moveTo>
                    <a:pt x="46" y="80"/>
                  </a:moveTo>
                  <a:lnTo>
                    <a:pt x="24" y="80"/>
                  </a:lnTo>
                  <a:lnTo>
                    <a:pt x="10" y="70"/>
                  </a:lnTo>
                  <a:lnTo>
                    <a:pt x="1" y="51"/>
                  </a:lnTo>
                  <a:lnTo>
                    <a:pt x="0" y="23"/>
                  </a:lnTo>
                  <a:lnTo>
                    <a:pt x="15" y="7"/>
                  </a:lnTo>
                  <a:lnTo>
                    <a:pt x="38" y="0"/>
                  </a:lnTo>
                  <a:lnTo>
                    <a:pt x="44" y="0"/>
                  </a:lnTo>
                  <a:lnTo>
                    <a:pt x="58" y="2"/>
                  </a:lnTo>
                  <a:lnTo>
                    <a:pt x="65" y="11"/>
                  </a:lnTo>
                  <a:lnTo>
                    <a:pt x="31" y="11"/>
                  </a:lnTo>
                  <a:lnTo>
                    <a:pt x="14" y="22"/>
                  </a:lnTo>
                  <a:lnTo>
                    <a:pt x="7" y="46"/>
                  </a:lnTo>
                  <a:lnTo>
                    <a:pt x="17" y="65"/>
                  </a:lnTo>
                  <a:lnTo>
                    <a:pt x="38" y="72"/>
                  </a:lnTo>
                  <a:lnTo>
                    <a:pt x="78" y="72"/>
                  </a:lnTo>
                  <a:lnTo>
                    <a:pt x="78" y="73"/>
                  </a:lnTo>
                  <a:lnTo>
                    <a:pt x="63" y="73"/>
                  </a:lnTo>
                  <a:lnTo>
                    <a:pt x="46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3" name="Freeform 4859">
              <a:extLst>
                <a:ext uri="{FF2B5EF4-FFF2-40B4-BE49-F238E27FC236}">
                  <a16:creationId xmlns:a16="http://schemas.microsoft.com/office/drawing/2014/main" id="{693488C6-FB18-99FC-9986-8E0742745CD4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535 520"/>
                <a:gd name="T3" fmla="*/ 535 h 81"/>
                <a:gd name="T4" fmla="+- 0 2295 2228"/>
                <a:gd name="T5" fmla="*/ T4 w 78"/>
                <a:gd name="T6" fmla="+- 0 535 520"/>
                <a:gd name="T7" fmla="*/ 535 h 81"/>
                <a:gd name="T8" fmla="+- 0 2295 2228"/>
                <a:gd name="T9" fmla="*/ T8 w 78"/>
                <a:gd name="T10" fmla="+- 0 522 520"/>
                <a:gd name="T11" fmla="*/ 522 h 81"/>
                <a:gd name="T12" fmla="+- 0 2306 2228"/>
                <a:gd name="T13" fmla="*/ T12 w 78"/>
                <a:gd name="T14" fmla="+- 0 522 520"/>
                <a:gd name="T15" fmla="*/ 522 h 81"/>
                <a:gd name="T16" fmla="+- 0 2306 2228"/>
                <a:gd name="T17" fmla="*/ T16 w 78"/>
                <a:gd name="T18" fmla="+- 0 535 520"/>
                <a:gd name="T19" fmla="*/ 535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81">
                  <a:moveTo>
                    <a:pt x="78" y="15"/>
                  </a:moveTo>
                  <a:lnTo>
                    <a:pt x="67" y="15"/>
                  </a:lnTo>
                  <a:lnTo>
                    <a:pt x="67" y="2"/>
                  </a:lnTo>
                  <a:lnTo>
                    <a:pt x="78" y="2"/>
                  </a:lnTo>
                  <a:lnTo>
                    <a:pt x="78" y="1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4" name="Freeform 4858">
              <a:extLst>
                <a:ext uri="{FF2B5EF4-FFF2-40B4-BE49-F238E27FC236}">
                  <a16:creationId xmlns:a16="http://schemas.microsoft.com/office/drawing/2014/main" id="{8C486446-34D8-AA92-9249-AC7CCAB2C04A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592 520"/>
                <a:gd name="T3" fmla="*/ 592 h 81"/>
                <a:gd name="T4" fmla="+- 0 2266 2228"/>
                <a:gd name="T5" fmla="*/ T4 w 78"/>
                <a:gd name="T6" fmla="+- 0 592 520"/>
                <a:gd name="T7" fmla="*/ 592 h 81"/>
                <a:gd name="T8" fmla="+- 0 2276 2228"/>
                <a:gd name="T9" fmla="*/ T8 w 78"/>
                <a:gd name="T10" fmla="+- 0 590 520"/>
                <a:gd name="T11" fmla="*/ 590 h 81"/>
                <a:gd name="T12" fmla="+- 0 2290 2228"/>
                <a:gd name="T13" fmla="*/ T12 w 78"/>
                <a:gd name="T14" fmla="+- 0 577 520"/>
                <a:gd name="T15" fmla="*/ 577 h 81"/>
                <a:gd name="T16" fmla="+- 0 2295 2228"/>
                <a:gd name="T17" fmla="*/ T16 w 78"/>
                <a:gd name="T18" fmla="+- 0 552 520"/>
                <a:gd name="T19" fmla="*/ 552 h 81"/>
                <a:gd name="T20" fmla="+- 0 2282 2228"/>
                <a:gd name="T21" fmla="*/ T20 w 78"/>
                <a:gd name="T22" fmla="+- 0 537 520"/>
                <a:gd name="T23" fmla="*/ 537 h 81"/>
                <a:gd name="T24" fmla="+- 0 2259 2228"/>
                <a:gd name="T25" fmla="*/ T24 w 78"/>
                <a:gd name="T26" fmla="+- 0 531 520"/>
                <a:gd name="T27" fmla="*/ 531 h 81"/>
                <a:gd name="T28" fmla="+- 0 2293 2228"/>
                <a:gd name="T29" fmla="*/ T28 w 78"/>
                <a:gd name="T30" fmla="+- 0 531 520"/>
                <a:gd name="T31" fmla="*/ 531 h 81"/>
                <a:gd name="T32" fmla="+- 0 2295 2228"/>
                <a:gd name="T33" fmla="*/ T32 w 78"/>
                <a:gd name="T34" fmla="+- 0 535 520"/>
                <a:gd name="T35" fmla="*/ 535 h 81"/>
                <a:gd name="T36" fmla="+- 0 2306 2228"/>
                <a:gd name="T37" fmla="*/ T36 w 78"/>
                <a:gd name="T38" fmla="+- 0 535 520"/>
                <a:gd name="T39" fmla="*/ 535 h 81"/>
                <a:gd name="T40" fmla="+- 0 2306 2228"/>
                <a:gd name="T41" fmla="*/ T40 w 78"/>
                <a:gd name="T42" fmla="+- 0 592 520"/>
                <a:gd name="T43" fmla="*/ 592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78" h="81">
                  <a:moveTo>
                    <a:pt x="78" y="72"/>
                  </a:moveTo>
                  <a:lnTo>
                    <a:pt x="38" y="72"/>
                  </a:lnTo>
                  <a:lnTo>
                    <a:pt x="48" y="70"/>
                  </a:lnTo>
                  <a:lnTo>
                    <a:pt x="62" y="57"/>
                  </a:lnTo>
                  <a:lnTo>
                    <a:pt x="67" y="32"/>
                  </a:lnTo>
                  <a:lnTo>
                    <a:pt x="54" y="17"/>
                  </a:lnTo>
                  <a:lnTo>
                    <a:pt x="31" y="11"/>
                  </a:lnTo>
                  <a:lnTo>
                    <a:pt x="65" y="11"/>
                  </a:lnTo>
                  <a:lnTo>
                    <a:pt x="67" y="15"/>
                  </a:lnTo>
                  <a:lnTo>
                    <a:pt x="78" y="15"/>
                  </a:lnTo>
                  <a:lnTo>
                    <a:pt x="78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5" name="Freeform 4857">
              <a:extLst>
                <a:ext uri="{FF2B5EF4-FFF2-40B4-BE49-F238E27FC236}">
                  <a16:creationId xmlns:a16="http://schemas.microsoft.com/office/drawing/2014/main" id="{F9AF8F76-EF74-4B1F-D0FD-7F04F37C0641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600 520"/>
                <a:gd name="T3" fmla="*/ 600 h 81"/>
                <a:gd name="T4" fmla="+- 0 2295 2228"/>
                <a:gd name="T5" fmla="*/ T4 w 78"/>
                <a:gd name="T6" fmla="+- 0 600 520"/>
                <a:gd name="T7" fmla="*/ 600 h 81"/>
                <a:gd name="T8" fmla="+- 0 2291 2228"/>
                <a:gd name="T9" fmla="*/ T8 w 78"/>
                <a:gd name="T10" fmla="+- 0 593 520"/>
                <a:gd name="T11" fmla="*/ 593 h 81"/>
                <a:gd name="T12" fmla="+- 0 2306 2228"/>
                <a:gd name="T13" fmla="*/ T12 w 78"/>
                <a:gd name="T14" fmla="+- 0 593 520"/>
                <a:gd name="T15" fmla="*/ 593 h 81"/>
                <a:gd name="T16" fmla="+- 0 2306 2228"/>
                <a:gd name="T17" fmla="*/ T16 w 78"/>
                <a:gd name="T18" fmla="+- 0 600 520"/>
                <a:gd name="T19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81">
                  <a:moveTo>
                    <a:pt x="78" y="80"/>
                  </a:moveTo>
                  <a:lnTo>
                    <a:pt x="67" y="80"/>
                  </a:lnTo>
                  <a:lnTo>
                    <a:pt x="63" y="73"/>
                  </a:lnTo>
                  <a:lnTo>
                    <a:pt x="78" y="73"/>
                  </a:lnTo>
                  <a:lnTo>
                    <a:pt x="78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0D87505D-6BBB-A8CA-E985-CB43786A86B2}"/>
              </a:ext>
            </a:extLst>
          </xdr:cNvPr>
          <xdr:cNvGrpSpPr>
            <a:grpSpLocks/>
          </xdr:cNvGrpSpPr>
        </xdr:nvGrpSpPr>
        <xdr:grpSpPr bwMode="auto">
          <a:xfrm>
            <a:off x="2328" y="522"/>
            <a:ext cx="69" cy="80"/>
            <a:chOff x="2328" y="522"/>
            <a:chExt cx="69" cy="80"/>
          </a:xfrm>
        </xdr:grpSpPr>
        <xdr:sp macro="" textlink="">
          <xdr:nvSpPr>
            <xdr:cNvPr id="49" name="Freeform 4855">
              <a:extLst>
                <a:ext uri="{FF2B5EF4-FFF2-40B4-BE49-F238E27FC236}">
                  <a16:creationId xmlns:a16="http://schemas.microsoft.com/office/drawing/2014/main" id="{D322304F-235D-9DB0-0DE1-0387B575983C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77 2328"/>
                <a:gd name="T1" fmla="*/ T0 w 69"/>
                <a:gd name="T2" fmla="+- 0 602 522"/>
                <a:gd name="T3" fmla="*/ 602 h 80"/>
                <a:gd name="T4" fmla="+- 0 2346 2328"/>
                <a:gd name="T5" fmla="*/ T4 w 69"/>
                <a:gd name="T6" fmla="+- 0 602 522"/>
                <a:gd name="T7" fmla="*/ 602 h 80"/>
                <a:gd name="T8" fmla="+- 0 2338 2328"/>
                <a:gd name="T9" fmla="*/ T8 w 69"/>
                <a:gd name="T10" fmla="+- 0 595 522"/>
                <a:gd name="T11" fmla="*/ 595 h 80"/>
                <a:gd name="T12" fmla="+- 0 2334 2328"/>
                <a:gd name="T13" fmla="*/ T12 w 69"/>
                <a:gd name="T14" fmla="+- 0 591 522"/>
                <a:gd name="T15" fmla="*/ 591 h 80"/>
                <a:gd name="T16" fmla="+- 0 2330 2328"/>
                <a:gd name="T17" fmla="*/ T16 w 69"/>
                <a:gd name="T18" fmla="+- 0 585 522"/>
                <a:gd name="T19" fmla="*/ 585 h 80"/>
                <a:gd name="T20" fmla="+- 0 2328 2328"/>
                <a:gd name="T21" fmla="*/ T20 w 69"/>
                <a:gd name="T22" fmla="+- 0 576 522"/>
                <a:gd name="T23" fmla="*/ 576 h 80"/>
                <a:gd name="T24" fmla="+- 0 2328 2328"/>
                <a:gd name="T25" fmla="*/ T24 w 69"/>
                <a:gd name="T26" fmla="+- 0 522 522"/>
                <a:gd name="T27" fmla="*/ 522 h 80"/>
                <a:gd name="T28" fmla="+- 0 2339 2328"/>
                <a:gd name="T29" fmla="*/ T28 w 69"/>
                <a:gd name="T30" fmla="+- 0 522 522"/>
                <a:gd name="T31" fmla="*/ 522 h 80"/>
                <a:gd name="T32" fmla="+- 0 2339 2328"/>
                <a:gd name="T33" fmla="*/ T32 w 69"/>
                <a:gd name="T34" fmla="+- 0 574 522"/>
                <a:gd name="T35" fmla="*/ 574 h 80"/>
                <a:gd name="T36" fmla="+- 0 2340 2328"/>
                <a:gd name="T37" fmla="*/ T36 w 69"/>
                <a:gd name="T38" fmla="+- 0 581 522"/>
                <a:gd name="T39" fmla="*/ 581 h 80"/>
                <a:gd name="T40" fmla="+- 0 2344 2328"/>
                <a:gd name="T41" fmla="*/ T40 w 69"/>
                <a:gd name="T42" fmla="+- 0 585 522"/>
                <a:gd name="T43" fmla="*/ 585 h 80"/>
                <a:gd name="T44" fmla="+- 0 2348 2328"/>
                <a:gd name="T45" fmla="*/ T44 w 69"/>
                <a:gd name="T46" fmla="+- 0 590 522"/>
                <a:gd name="T47" fmla="*/ 590 h 80"/>
                <a:gd name="T48" fmla="+- 0 2354 2328"/>
                <a:gd name="T49" fmla="*/ T48 w 69"/>
                <a:gd name="T50" fmla="+- 0 592 522"/>
                <a:gd name="T51" fmla="*/ 592 h 80"/>
                <a:gd name="T52" fmla="+- 0 2384 2328"/>
                <a:gd name="T53" fmla="*/ T52 w 69"/>
                <a:gd name="T54" fmla="+- 0 592 522"/>
                <a:gd name="T55" fmla="*/ 592 h 80"/>
                <a:gd name="T56" fmla="+- 0 2383 2328"/>
                <a:gd name="T57" fmla="*/ T56 w 69"/>
                <a:gd name="T58" fmla="+- 0 594 522"/>
                <a:gd name="T59" fmla="*/ 594 h 80"/>
                <a:gd name="T60" fmla="+- 0 2377 2328"/>
                <a:gd name="T61" fmla="*/ T60 w 69"/>
                <a:gd name="T62" fmla="+- 0 602 522"/>
                <a:gd name="T63" fmla="*/ 60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</a:cxnLst>
              <a:rect l="0" t="0" r="r" b="b"/>
              <a:pathLst>
                <a:path w="69" h="80">
                  <a:moveTo>
                    <a:pt x="49" y="80"/>
                  </a:moveTo>
                  <a:lnTo>
                    <a:pt x="18" y="80"/>
                  </a:lnTo>
                  <a:lnTo>
                    <a:pt x="10" y="73"/>
                  </a:lnTo>
                  <a:lnTo>
                    <a:pt x="6" y="69"/>
                  </a:lnTo>
                  <a:lnTo>
                    <a:pt x="2" y="63"/>
                  </a:lnTo>
                  <a:lnTo>
                    <a:pt x="0" y="54"/>
                  </a:lnTo>
                  <a:lnTo>
                    <a:pt x="0" y="0"/>
                  </a:lnTo>
                  <a:lnTo>
                    <a:pt x="11" y="0"/>
                  </a:lnTo>
                  <a:lnTo>
                    <a:pt x="11" y="52"/>
                  </a:lnTo>
                  <a:lnTo>
                    <a:pt x="12" y="59"/>
                  </a:lnTo>
                  <a:lnTo>
                    <a:pt x="16" y="63"/>
                  </a:lnTo>
                  <a:lnTo>
                    <a:pt x="20" y="68"/>
                  </a:lnTo>
                  <a:lnTo>
                    <a:pt x="26" y="70"/>
                  </a:lnTo>
                  <a:lnTo>
                    <a:pt x="56" y="70"/>
                  </a:lnTo>
                  <a:lnTo>
                    <a:pt x="55" y="72"/>
                  </a:lnTo>
                  <a:lnTo>
                    <a:pt x="49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0" name="Freeform 4854">
              <a:extLst>
                <a:ext uri="{FF2B5EF4-FFF2-40B4-BE49-F238E27FC236}">
                  <a16:creationId xmlns:a16="http://schemas.microsoft.com/office/drawing/2014/main" id="{945450AC-AE73-3334-DCE6-51542ACD6424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84 2328"/>
                <a:gd name="T1" fmla="*/ T0 w 69"/>
                <a:gd name="T2" fmla="+- 0 592 522"/>
                <a:gd name="T3" fmla="*/ 592 h 80"/>
                <a:gd name="T4" fmla="+- 0 2368 2328"/>
                <a:gd name="T5" fmla="*/ T4 w 69"/>
                <a:gd name="T6" fmla="+- 0 592 522"/>
                <a:gd name="T7" fmla="*/ 592 h 80"/>
                <a:gd name="T8" fmla="+- 0 2373 2328"/>
                <a:gd name="T9" fmla="*/ T8 w 69"/>
                <a:gd name="T10" fmla="+- 0 590 522"/>
                <a:gd name="T11" fmla="*/ 590 h 80"/>
                <a:gd name="T12" fmla="+- 0 2377 2328"/>
                <a:gd name="T13" fmla="*/ T12 w 69"/>
                <a:gd name="T14" fmla="+- 0 586 522"/>
                <a:gd name="T15" fmla="*/ 586 h 80"/>
                <a:gd name="T16" fmla="+- 0 2381 2328"/>
                <a:gd name="T17" fmla="*/ T16 w 69"/>
                <a:gd name="T18" fmla="+- 0 582 522"/>
                <a:gd name="T19" fmla="*/ 582 h 80"/>
                <a:gd name="T20" fmla="+- 0 2385 2328"/>
                <a:gd name="T21" fmla="*/ T20 w 69"/>
                <a:gd name="T22" fmla="+- 0 577 522"/>
                <a:gd name="T23" fmla="*/ 577 h 80"/>
                <a:gd name="T24" fmla="+- 0 2385 2328"/>
                <a:gd name="T25" fmla="*/ T24 w 69"/>
                <a:gd name="T26" fmla="+- 0 564 522"/>
                <a:gd name="T27" fmla="*/ 564 h 80"/>
                <a:gd name="T28" fmla="+- 0 2385 2328"/>
                <a:gd name="T29" fmla="*/ T28 w 69"/>
                <a:gd name="T30" fmla="+- 0 522 522"/>
                <a:gd name="T31" fmla="*/ 522 h 80"/>
                <a:gd name="T32" fmla="+- 0 2396 2328"/>
                <a:gd name="T33" fmla="*/ T32 w 69"/>
                <a:gd name="T34" fmla="+- 0 522 522"/>
                <a:gd name="T35" fmla="*/ 522 h 80"/>
                <a:gd name="T36" fmla="+- 0 2396 2328"/>
                <a:gd name="T37" fmla="*/ T36 w 69"/>
                <a:gd name="T38" fmla="+- 0 590 522"/>
                <a:gd name="T39" fmla="*/ 590 h 80"/>
                <a:gd name="T40" fmla="+- 0 2386 2328"/>
                <a:gd name="T41" fmla="*/ T40 w 69"/>
                <a:gd name="T42" fmla="+- 0 590 522"/>
                <a:gd name="T43" fmla="*/ 590 h 80"/>
                <a:gd name="T44" fmla="+- 0 2384 2328"/>
                <a:gd name="T45" fmla="*/ T44 w 69"/>
                <a:gd name="T46" fmla="+- 0 592 522"/>
                <a:gd name="T47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69" h="80">
                  <a:moveTo>
                    <a:pt x="56" y="70"/>
                  </a:moveTo>
                  <a:lnTo>
                    <a:pt x="40" y="70"/>
                  </a:lnTo>
                  <a:lnTo>
                    <a:pt x="45" y="68"/>
                  </a:lnTo>
                  <a:lnTo>
                    <a:pt x="49" y="64"/>
                  </a:lnTo>
                  <a:lnTo>
                    <a:pt x="53" y="60"/>
                  </a:lnTo>
                  <a:lnTo>
                    <a:pt x="57" y="55"/>
                  </a:lnTo>
                  <a:lnTo>
                    <a:pt x="57" y="42"/>
                  </a:lnTo>
                  <a:lnTo>
                    <a:pt x="57" y="0"/>
                  </a:lnTo>
                  <a:lnTo>
                    <a:pt x="68" y="0"/>
                  </a:lnTo>
                  <a:lnTo>
                    <a:pt x="68" y="68"/>
                  </a:lnTo>
                  <a:lnTo>
                    <a:pt x="58" y="68"/>
                  </a:lnTo>
                  <a:lnTo>
                    <a:pt x="56" y="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1" name="Freeform 4853">
              <a:extLst>
                <a:ext uri="{FF2B5EF4-FFF2-40B4-BE49-F238E27FC236}">
                  <a16:creationId xmlns:a16="http://schemas.microsoft.com/office/drawing/2014/main" id="{5C4560F2-EBC9-149D-96C6-0744C90831C9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96 2328"/>
                <a:gd name="T1" fmla="*/ T0 w 69"/>
                <a:gd name="T2" fmla="+- 0 600 522"/>
                <a:gd name="T3" fmla="*/ 600 h 80"/>
                <a:gd name="T4" fmla="+- 0 2386 2328"/>
                <a:gd name="T5" fmla="*/ T4 w 69"/>
                <a:gd name="T6" fmla="+- 0 600 522"/>
                <a:gd name="T7" fmla="*/ 600 h 80"/>
                <a:gd name="T8" fmla="+- 0 2386 2328"/>
                <a:gd name="T9" fmla="*/ T8 w 69"/>
                <a:gd name="T10" fmla="+- 0 590 522"/>
                <a:gd name="T11" fmla="*/ 590 h 80"/>
                <a:gd name="T12" fmla="+- 0 2396 2328"/>
                <a:gd name="T13" fmla="*/ T12 w 69"/>
                <a:gd name="T14" fmla="+- 0 590 522"/>
                <a:gd name="T15" fmla="*/ 590 h 80"/>
                <a:gd name="T16" fmla="+- 0 2396 2328"/>
                <a:gd name="T17" fmla="*/ T16 w 69"/>
                <a:gd name="T18" fmla="+- 0 600 522"/>
                <a:gd name="T1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69" h="80">
                  <a:moveTo>
                    <a:pt x="68" y="78"/>
                  </a:moveTo>
                  <a:lnTo>
                    <a:pt x="58" y="78"/>
                  </a:lnTo>
                  <a:lnTo>
                    <a:pt x="58" y="68"/>
                  </a:lnTo>
                  <a:lnTo>
                    <a:pt x="68" y="68"/>
                  </a:lnTo>
                  <a:lnTo>
                    <a:pt x="68" y="7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EC909932-468D-6F5C-C188-6710D803D34F}"/>
              </a:ext>
            </a:extLst>
          </xdr:cNvPr>
          <xdr:cNvGrpSpPr>
            <a:grpSpLocks/>
          </xdr:cNvGrpSpPr>
        </xdr:nvGrpSpPr>
        <xdr:grpSpPr bwMode="auto">
          <a:xfrm>
            <a:off x="2411" y="520"/>
            <a:ext cx="79" cy="111"/>
            <a:chOff x="2411" y="520"/>
            <a:chExt cx="79" cy="111"/>
          </a:xfrm>
        </xdr:grpSpPr>
        <xdr:sp macro="" textlink="">
          <xdr:nvSpPr>
            <xdr:cNvPr id="44" name="Freeform 4851">
              <a:extLst>
                <a:ext uri="{FF2B5EF4-FFF2-40B4-BE49-F238E27FC236}">
                  <a16:creationId xmlns:a16="http://schemas.microsoft.com/office/drawing/2014/main" id="{4C2C7B13-DAB1-2AAE-F83E-1D404D569ACA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36 2411"/>
                <a:gd name="T1" fmla="*/ T0 w 79"/>
                <a:gd name="T2" fmla="+- 0 600 520"/>
                <a:gd name="T3" fmla="*/ 600 h 111"/>
                <a:gd name="T4" fmla="+- 0 2423 2411"/>
                <a:gd name="T5" fmla="*/ T4 w 79"/>
                <a:gd name="T6" fmla="+- 0 590 520"/>
                <a:gd name="T7" fmla="*/ 590 h 111"/>
                <a:gd name="T8" fmla="+- 0 2414 2411"/>
                <a:gd name="T9" fmla="*/ T8 w 79"/>
                <a:gd name="T10" fmla="+- 0 571 520"/>
                <a:gd name="T11" fmla="*/ 571 h 111"/>
                <a:gd name="T12" fmla="+- 0 2414 2411"/>
                <a:gd name="T13" fmla="*/ T12 w 79"/>
                <a:gd name="T14" fmla="+- 0 541 520"/>
                <a:gd name="T15" fmla="*/ 541 h 111"/>
                <a:gd name="T16" fmla="+- 0 2429 2411"/>
                <a:gd name="T17" fmla="*/ T16 w 79"/>
                <a:gd name="T18" fmla="+- 0 526 520"/>
                <a:gd name="T19" fmla="*/ 526 h 111"/>
                <a:gd name="T20" fmla="+- 0 2449 2411"/>
                <a:gd name="T21" fmla="*/ T20 w 79"/>
                <a:gd name="T22" fmla="+- 0 520 520"/>
                <a:gd name="T23" fmla="*/ 520 h 111"/>
                <a:gd name="T24" fmla="+- 0 2455 2411"/>
                <a:gd name="T25" fmla="*/ T24 w 79"/>
                <a:gd name="T26" fmla="+- 0 520 520"/>
                <a:gd name="T27" fmla="*/ 520 h 111"/>
                <a:gd name="T28" fmla="+- 0 2469 2411"/>
                <a:gd name="T29" fmla="*/ T28 w 79"/>
                <a:gd name="T30" fmla="+- 0 522 520"/>
                <a:gd name="T31" fmla="*/ 522 h 111"/>
                <a:gd name="T32" fmla="+- 0 2475 2411"/>
                <a:gd name="T33" fmla="*/ T32 w 79"/>
                <a:gd name="T34" fmla="+- 0 531 520"/>
                <a:gd name="T35" fmla="*/ 531 h 111"/>
                <a:gd name="T36" fmla="+- 0 2443 2411"/>
                <a:gd name="T37" fmla="*/ T36 w 79"/>
                <a:gd name="T38" fmla="+- 0 531 520"/>
                <a:gd name="T39" fmla="*/ 531 h 111"/>
                <a:gd name="T40" fmla="+- 0 2426 2411"/>
                <a:gd name="T41" fmla="*/ T40 w 79"/>
                <a:gd name="T42" fmla="+- 0 542 520"/>
                <a:gd name="T43" fmla="*/ 542 h 111"/>
                <a:gd name="T44" fmla="+- 0 2420 2411"/>
                <a:gd name="T45" fmla="*/ T44 w 79"/>
                <a:gd name="T46" fmla="+- 0 565 520"/>
                <a:gd name="T47" fmla="*/ 565 h 111"/>
                <a:gd name="T48" fmla="+- 0 2429 2411"/>
                <a:gd name="T49" fmla="*/ T48 w 79"/>
                <a:gd name="T50" fmla="+- 0 584 520"/>
                <a:gd name="T51" fmla="*/ 584 h 111"/>
                <a:gd name="T52" fmla="+- 0 2449 2411"/>
                <a:gd name="T53" fmla="*/ T52 w 79"/>
                <a:gd name="T54" fmla="+- 0 592 520"/>
                <a:gd name="T55" fmla="*/ 592 h 111"/>
                <a:gd name="T56" fmla="+- 0 2474 2411"/>
                <a:gd name="T57" fmla="*/ T56 w 79"/>
                <a:gd name="T58" fmla="+- 0 592 520"/>
                <a:gd name="T59" fmla="*/ 592 h 111"/>
                <a:gd name="T60" fmla="+- 0 2461 2411"/>
                <a:gd name="T61" fmla="*/ T60 w 79"/>
                <a:gd name="T62" fmla="+- 0 599 520"/>
                <a:gd name="T63" fmla="*/ 599 h 111"/>
                <a:gd name="T64" fmla="+- 0 2436 2411"/>
                <a:gd name="T65" fmla="*/ T64 w 79"/>
                <a:gd name="T66" fmla="+- 0 600 520"/>
                <a:gd name="T67" fmla="*/ 600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9" h="111">
                  <a:moveTo>
                    <a:pt x="25" y="80"/>
                  </a:moveTo>
                  <a:lnTo>
                    <a:pt x="12" y="70"/>
                  </a:lnTo>
                  <a:lnTo>
                    <a:pt x="3" y="51"/>
                  </a:lnTo>
                  <a:lnTo>
                    <a:pt x="3" y="21"/>
                  </a:lnTo>
                  <a:lnTo>
                    <a:pt x="18" y="6"/>
                  </a:lnTo>
                  <a:lnTo>
                    <a:pt x="38" y="0"/>
                  </a:lnTo>
                  <a:lnTo>
                    <a:pt x="44" y="0"/>
                  </a:lnTo>
                  <a:lnTo>
                    <a:pt x="58" y="2"/>
                  </a:lnTo>
                  <a:lnTo>
                    <a:pt x="64" y="11"/>
                  </a:lnTo>
                  <a:lnTo>
                    <a:pt x="32" y="11"/>
                  </a:lnTo>
                  <a:lnTo>
                    <a:pt x="15" y="22"/>
                  </a:lnTo>
                  <a:lnTo>
                    <a:pt x="9" y="45"/>
                  </a:lnTo>
                  <a:lnTo>
                    <a:pt x="18" y="64"/>
                  </a:lnTo>
                  <a:lnTo>
                    <a:pt x="38" y="72"/>
                  </a:lnTo>
                  <a:lnTo>
                    <a:pt x="63" y="72"/>
                  </a:lnTo>
                  <a:lnTo>
                    <a:pt x="50" y="79"/>
                  </a:lnTo>
                  <a:lnTo>
                    <a:pt x="25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5" name="Freeform 4850">
              <a:extLst>
                <a:ext uri="{FF2B5EF4-FFF2-40B4-BE49-F238E27FC236}">
                  <a16:creationId xmlns:a16="http://schemas.microsoft.com/office/drawing/2014/main" id="{24D893F5-66EC-10E1-F9E2-1BA37D667808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89 2411"/>
                <a:gd name="T1" fmla="*/ T0 w 79"/>
                <a:gd name="T2" fmla="+- 0 535 520"/>
                <a:gd name="T3" fmla="*/ 535 h 111"/>
                <a:gd name="T4" fmla="+- 0 2478 2411"/>
                <a:gd name="T5" fmla="*/ T4 w 79"/>
                <a:gd name="T6" fmla="+- 0 535 520"/>
                <a:gd name="T7" fmla="*/ 535 h 111"/>
                <a:gd name="T8" fmla="+- 0 2478 2411"/>
                <a:gd name="T9" fmla="*/ T8 w 79"/>
                <a:gd name="T10" fmla="+- 0 522 520"/>
                <a:gd name="T11" fmla="*/ 522 h 111"/>
                <a:gd name="T12" fmla="+- 0 2489 2411"/>
                <a:gd name="T13" fmla="*/ T12 w 79"/>
                <a:gd name="T14" fmla="+- 0 522 520"/>
                <a:gd name="T15" fmla="*/ 522 h 111"/>
                <a:gd name="T16" fmla="+- 0 2489 2411"/>
                <a:gd name="T17" fmla="*/ T16 w 79"/>
                <a:gd name="T18" fmla="+- 0 535 520"/>
                <a:gd name="T19" fmla="*/ 535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9" h="111">
                  <a:moveTo>
                    <a:pt x="78" y="15"/>
                  </a:moveTo>
                  <a:lnTo>
                    <a:pt x="67" y="15"/>
                  </a:lnTo>
                  <a:lnTo>
                    <a:pt x="67" y="2"/>
                  </a:lnTo>
                  <a:lnTo>
                    <a:pt x="78" y="2"/>
                  </a:lnTo>
                  <a:lnTo>
                    <a:pt x="78" y="1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6" name="Freeform 4849">
              <a:extLst>
                <a:ext uri="{FF2B5EF4-FFF2-40B4-BE49-F238E27FC236}">
                  <a16:creationId xmlns:a16="http://schemas.microsoft.com/office/drawing/2014/main" id="{6C630C25-9B32-695B-B0BC-CB4ECE06BC8C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74 2411"/>
                <a:gd name="T1" fmla="*/ T0 w 79"/>
                <a:gd name="T2" fmla="+- 0 592 520"/>
                <a:gd name="T3" fmla="*/ 592 h 111"/>
                <a:gd name="T4" fmla="+- 0 2449 2411"/>
                <a:gd name="T5" fmla="*/ T4 w 79"/>
                <a:gd name="T6" fmla="+- 0 592 520"/>
                <a:gd name="T7" fmla="*/ 592 h 111"/>
                <a:gd name="T8" fmla="+- 0 2460 2411"/>
                <a:gd name="T9" fmla="*/ T8 w 79"/>
                <a:gd name="T10" fmla="+- 0 590 520"/>
                <a:gd name="T11" fmla="*/ 590 h 111"/>
                <a:gd name="T12" fmla="+- 0 2474 2411"/>
                <a:gd name="T13" fmla="*/ T12 w 79"/>
                <a:gd name="T14" fmla="+- 0 576 520"/>
                <a:gd name="T15" fmla="*/ 576 h 111"/>
                <a:gd name="T16" fmla="+- 0 2478 2411"/>
                <a:gd name="T17" fmla="*/ T16 w 79"/>
                <a:gd name="T18" fmla="+- 0 553 520"/>
                <a:gd name="T19" fmla="*/ 553 h 111"/>
                <a:gd name="T20" fmla="+- 0 2466 2411"/>
                <a:gd name="T21" fmla="*/ T20 w 79"/>
                <a:gd name="T22" fmla="+- 0 537 520"/>
                <a:gd name="T23" fmla="*/ 537 h 111"/>
                <a:gd name="T24" fmla="+- 0 2443 2411"/>
                <a:gd name="T25" fmla="*/ T24 w 79"/>
                <a:gd name="T26" fmla="+- 0 531 520"/>
                <a:gd name="T27" fmla="*/ 531 h 111"/>
                <a:gd name="T28" fmla="+- 0 2475 2411"/>
                <a:gd name="T29" fmla="*/ T28 w 79"/>
                <a:gd name="T30" fmla="+- 0 531 520"/>
                <a:gd name="T31" fmla="*/ 531 h 111"/>
                <a:gd name="T32" fmla="+- 0 2478 2411"/>
                <a:gd name="T33" fmla="*/ T32 w 79"/>
                <a:gd name="T34" fmla="+- 0 535 520"/>
                <a:gd name="T35" fmla="*/ 535 h 111"/>
                <a:gd name="T36" fmla="+- 0 2489 2411"/>
                <a:gd name="T37" fmla="*/ T36 w 79"/>
                <a:gd name="T38" fmla="+- 0 535 520"/>
                <a:gd name="T39" fmla="*/ 535 h 111"/>
                <a:gd name="T40" fmla="+- 0 2489 2411"/>
                <a:gd name="T41" fmla="*/ T40 w 79"/>
                <a:gd name="T42" fmla="+- 0 591 520"/>
                <a:gd name="T43" fmla="*/ 591 h 111"/>
                <a:gd name="T44" fmla="+- 0 2476 2411"/>
                <a:gd name="T45" fmla="*/ T44 w 79"/>
                <a:gd name="T46" fmla="+- 0 591 520"/>
                <a:gd name="T47" fmla="*/ 591 h 111"/>
                <a:gd name="T48" fmla="+- 0 2474 2411"/>
                <a:gd name="T49" fmla="*/ T48 w 79"/>
                <a:gd name="T50" fmla="+- 0 592 520"/>
                <a:gd name="T51" fmla="*/ 592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79" h="111">
                  <a:moveTo>
                    <a:pt x="63" y="72"/>
                  </a:moveTo>
                  <a:lnTo>
                    <a:pt x="38" y="72"/>
                  </a:lnTo>
                  <a:lnTo>
                    <a:pt x="49" y="70"/>
                  </a:lnTo>
                  <a:lnTo>
                    <a:pt x="63" y="56"/>
                  </a:lnTo>
                  <a:lnTo>
                    <a:pt x="67" y="33"/>
                  </a:lnTo>
                  <a:lnTo>
                    <a:pt x="55" y="17"/>
                  </a:lnTo>
                  <a:lnTo>
                    <a:pt x="32" y="11"/>
                  </a:lnTo>
                  <a:lnTo>
                    <a:pt x="64" y="11"/>
                  </a:lnTo>
                  <a:lnTo>
                    <a:pt x="67" y="15"/>
                  </a:lnTo>
                  <a:lnTo>
                    <a:pt x="78" y="15"/>
                  </a:lnTo>
                  <a:lnTo>
                    <a:pt x="78" y="71"/>
                  </a:lnTo>
                  <a:lnTo>
                    <a:pt x="65" y="71"/>
                  </a:lnTo>
                  <a:lnTo>
                    <a:pt x="63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7" name="Freeform 4848">
              <a:extLst>
                <a:ext uri="{FF2B5EF4-FFF2-40B4-BE49-F238E27FC236}">
                  <a16:creationId xmlns:a16="http://schemas.microsoft.com/office/drawing/2014/main" id="{4454319C-8C87-4F16-1D40-8D3D17DE1040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79 2411"/>
                <a:gd name="T1" fmla="*/ T0 w 79"/>
                <a:gd name="T2" fmla="+- 0 621 520"/>
                <a:gd name="T3" fmla="*/ 621 h 111"/>
                <a:gd name="T4" fmla="+- 0 2464 2411"/>
                <a:gd name="T5" fmla="*/ T4 w 79"/>
                <a:gd name="T6" fmla="+- 0 621 520"/>
                <a:gd name="T7" fmla="*/ 621 h 111"/>
                <a:gd name="T8" fmla="+- 0 2478 2411"/>
                <a:gd name="T9" fmla="*/ T8 w 79"/>
                <a:gd name="T10" fmla="+- 0 613 520"/>
                <a:gd name="T11" fmla="*/ 613 h 111"/>
                <a:gd name="T12" fmla="+- 0 2478 2411"/>
                <a:gd name="T13" fmla="*/ T12 w 79"/>
                <a:gd name="T14" fmla="+- 0 592 520"/>
                <a:gd name="T15" fmla="*/ 592 h 111"/>
                <a:gd name="T16" fmla="+- 0 2476 2411"/>
                <a:gd name="T17" fmla="*/ T16 w 79"/>
                <a:gd name="T18" fmla="+- 0 591 520"/>
                <a:gd name="T19" fmla="*/ 591 h 111"/>
                <a:gd name="T20" fmla="+- 0 2489 2411"/>
                <a:gd name="T21" fmla="*/ T20 w 79"/>
                <a:gd name="T22" fmla="+- 0 591 520"/>
                <a:gd name="T23" fmla="*/ 591 h 111"/>
                <a:gd name="T24" fmla="+- 0 2489 2411"/>
                <a:gd name="T25" fmla="*/ T24 w 79"/>
                <a:gd name="T26" fmla="+- 0 607 520"/>
                <a:gd name="T27" fmla="*/ 607 h 111"/>
                <a:gd name="T28" fmla="+- 0 2482 2411"/>
                <a:gd name="T29" fmla="*/ T28 w 79"/>
                <a:gd name="T30" fmla="+- 0 616 520"/>
                <a:gd name="T31" fmla="*/ 616 h 111"/>
                <a:gd name="T32" fmla="+- 0 2479 2411"/>
                <a:gd name="T33" fmla="*/ T32 w 79"/>
                <a:gd name="T34" fmla="+- 0 621 520"/>
                <a:gd name="T35" fmla="*/ 621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79" h="111">
                  <a:moveTo>
                    <a:pt x="68" y="101"/>
                  </a:moveTo>
                  <a:lnTo>
                    <a:pt x="53" y="101"/>
                  </a:lnTo>
                  <a:lnTo>
                    <a:pt x="67" y="93"/>
                  </a:lnTo>
                  <a:lnTo>
                    <a:pt x="67" y="72"/>
                  </a:lnTo>
                  <a:lnTo>
                    <a:pt x="65" y="71"/>
                  </a:lnTo>
                  <a:lnTo>
                    <a:pt x="78" y="71"/>
                  </a:lnTo>
                  <a:lnTo>
                    <a:pt x="78" y="87"/>
                  </a:lnTo>
                  <a:lnTo>
                    <a:pt x="71" y="96"/>
                  </a:lnTo>
                  <a:lnTo>
                    <a:pt x="68" y="10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8" name="Freeform 4847">
              <a:extLst>
                <a:ext uri="{FF2B5EF4-FFF2-40B4-BE49-F238E27FC236}">
                  <a16:creationId xmlns:a16="http://schemas.microsoft.com/office/drawing/2014/main" id="{191EE66D-FBF0-2AB1-761C-348E59D856E8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53 2411"/>
                <a:gd name="T1" fmla="*/ T0 w 79"/>
                <a:gd name="T2" fmla="+- 0 631 520"/>
                <a:gd name="T3" fmla="*/ 631 h 111"/>
                <a:gd name="T4" fmla="+- 0 2446 2411"/>
                <a:gd name="T5" fmla="*/ T4 w 79"/>
                <a:gd name="T6" fmla="+- 0 630 520"/>
                <a:gd name="T7" fmla="*/ 630 h 111"/>
                <a:gd name="T8" fmla="+- 0 2427 2411"/>
                <a:gd name="T9" fmla="*/ T8 w 79"/>
                <a:gd name="T10" fmla="+- 0 624 520"/>
                <a:gd name="T11" fmla="*/ 624 h 111"/>
                <a:gd name="T12" fmla="+- 0 2411 2411"/>
                <a:gd name="T13" fmla="*/ T12 w 79"/>
                <a:gd name="T14" fmla="+- 0 602 520"/>
                <a:gd name="T15" fmla="*/ 602 h 111"/>
                <a:gd name="T16" fmla="+- 0 2411 2411"/>
                <a:gd name="T17" fmla="*/ T16 w 79"/>
                <a:gd name="T18" fmla="+- 0 601 520"/>
                <a:gd name="T19" fmla="*/ 601 h 111"/>
                <a:gd name="T20" fmla="+- 0 2423 2411"/>
                <a:gd name="T21" fmla="*/ T20 w 79"/>
                <a:gd name="T22" fmla="+- 0 601 520"/>
                <a:gd name="T23" fmla="*/ 601 h 111"/>
                <a:gd name="T24" fmla="+- 0 2423 2411"/>
                <a:gd name="T25" fmla="*/ T24 w 79"/>
                <a:gd name="T26" fmla="+- 0 602 520"/>
                <a:gd name="T27" fmla="*/ 602 h 111"/>
                <a:gd name="T28" fmla="+- 0 2425 2411"/>
                <a:gd name="T29" fmla="*/ T28 w 79"/>
                <a:gd name="T30" fmla="+- 0 607 520"/>
                <a:gd name="T31" fmla="*/ 607 h 111"/>
                <a:gd name="T32" fmla="+- 0 2433 2411"/>
                <a:gd name="T33" fmla="*/ T32 w 79"/>
                <a:gd name="T34" fmla="+- 0 621 520"/>
                <a:gd name="T35" fmla="*/ 621 h 111"/>
                <a:gd name="T36" fmla="+- 0 2479 2411"/>
                <a:gd name="T37" fmla="*/ T36 w 79"/>
                <a:gd name="T38" fmla="+- 0 621 520"/>
                <a:gd name="T39" fmla="*/ 621 h 111"/>
                <a:gd name="T40" fmla="+- 0 2472 2411"/>
                <a:gd name="T41" fmla="*/ T40 w 79"/>
                <a:gd name="T42" fmla="+- 0 630 520"/>
                <a:gd name="T43" fmla="*/ 630 h 111"/>
                <a:gd name="T44" fmla="+- 0 2453 2411"/>
                <a:gd name="T45" fmla="*/ T44 w 79"/>
                <a:gd name="T46" fmla="+- 0 631 520"/>
                <a:gd name="T47" fmla="*/ 631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79" h="111">
                  <a:moveTo>
                    <a:pt x="42" y="111"/>
                  </a:moveTo>
                  <a:lnTo>
                    <a:pt x="35" y="110"/>
                  </a:lnTo>
                  <a:lnTo>
                    <a:pt x="16" y="104"/>
                  </a:lnTo>
                  <a:lnTo>
                    <a:pt x="0" y="82"/>
                  </a:lnTo>
                  <a:lnTo>
                    <a:pt x="0" y="81"/>
                  </a:lnTo>
                  <a:lnTo>
                    <a:pt x="12" y="81"/>
                  </a:lnTo>
                  <a:lnTo>
                    <a:pt x="12" y="82"/>
                  </a:lnTo>
                  <a:lnTo>
                    <a:pt x="14" y="87"/>
                  </a:lnTo>
                  <a:lnTo>
                    <a:pt x="22" y="101"/>
                  </a:lnTo>
                  <a:lnTo>
                    <a:pt x="68" y="101"/>
                  </a:lnTo>
                  <a:lnTo>
                    <a:pt x="61" y="110"/>
                  </a:lnTo>
                  <a:lnTo>
                    <a:pt x="42" y="11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0500C1F4-F5EE-F7A4-2BD9-8C524696A792}"/>
              </a:ext>
            </a:extLst>
          </xdr:cNvPr>
          <xdr:cNvGrpSpPr>
            <a:grpSpLocks/>
          </xdr:cNvGrpSpPr>
        </xdr:nvGrpSpPr>
        <xdr:grpSpPr bwMode="auto">
          <a:xfrm>
            <a:off x="2506" y="520"/>
            <a:ext cx="115" cy="81"/>
            <a:chOff x="2506" y="520"/>
            <a:chExt cx="115" cy="81"/>
          </a:xfrm>
        </xdr:grpSpPr>
        <xdr:sp macro="" textlink="">
          <xdr:nvSpPr>
            <xdr:cNvPr id="39" name="Freeform 4845">
              <a:extLst>
                <a:ext uri="{FF2B5EF4-FFF2-40B4-BE49-F238E27FC236}">
                  <a16:creationId xmlns:a16="http://schemas.microsoft.com/office/drawing/2014/main" id="{3C624BE4-1263-E32A-D9EB-D8F6615C9ABD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61 2506"/>
                <a:gd name="T1" fmla="*/ T0 w 115"/>
                <a:gd name="T2" fmla="+- 0 530 520"/>
                <a:gd name="T3" fmla="*/ 530 h 81"/>
                <a:gd name="T4" fmla="+- 0 2517 2506"/>
                <a:gd name="T5" fmla="*/ T4 w 115"/>
                <a:gd name="T6" fmla="+- 0 530 520"/>
                <a:gd name="T7" fmla="*/ 530 h 81"/>
                <a:gd name="T8" fmla="+- 0 2522 2506"/>
                <a:gd name="T9" fmla="*/ T8 w 115"/>
                <a:gd name="T10" fmla="+- 0 523 520"/>
                <a:gd name="T11" fmla="*/ 523 h 81"/>
                <a:gd name="T12" fmla="+- 0 2530 2506"/>
                <a:gd name="T13" fmla="*/ T12 w 115"/>
                <a:gd name="T14" fmla="+- 0 520 520"/>
                <a:gd name="T15" fmla="*/ 520 h 81"/>
                <a:gd name="T16" fmla="+- 0 2544 2506"/>
                <a:gd name="T17" fmla="*/ T16 w 115"/>
                <a:gd name="T18" fmla="+- 0 520 520"/>
                <a:gd name="T19" fmla="*/ 520 h 81"/>
                <a:gd name="T20" fmla="+- 0 2557 2506"/>
                <a:gd name="T21" fmla="*/ T20 w 115"/>
                <a:gd name="T22" fmla="+- 0 523 520"/>
                <a:gd name="T23" fmla="*/ 523 h 81"/>
                <a:gd name="T24" fmla="+- 0 2561 2506"/>
                <a:gd name="T25" fmla="*/ T24 w 115"/>
                <a:gd name="T26" fmla="+- 0 530 520"/>
                <a:gd name="T27" fmla="*/ 53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15" h="81">
                  <a:moveTo>
                    <a:pt x="55" y="10"/>
                  </a:moveTo>
                  <a:lnTo>
                    <a:pt x="11" y="10"/>
                  </a:lnTo>
                  <a:lnTo>
                    <a:pt x="16" y="3"/>
                  </a:lnTo>
                  <a:lnTo>
                    <a:pt x="24" y="0"/>
                  </a:lnTo>
                  <a:lnTo>
                    <a:pt x="38" y="0"/>
                  </a:lnTo>
                  <a:lnTo>
                    <a:pt x="51" y="3"/>
                  </a:lnTo>
                  <a:lnTo>
                    <a:pt x="55" y="1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0" name="Freeform 4844">
              <a:extLst>
                <a:ext uri="{FF2B5EF4-FFF2-40B4-BE49-F238E27FC236}">
                  <a16:creationId xmlns:a16="http://schemas.microsoft.com/office/drawing/2014/main" id="{47E0D5A4-9283-08DA-E7EF-6588B27D5F04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75 2506"/>
                <a:gd name="T1" fmla="*/ T0 w 115"/>
                <a:gd name="T2" fmla="+- 0 534 520"/>
                <a:gd name="T3" fmla="*/ 534 h 81"/>
                <a:gd name="T4" fmla="+- 0 2563 2506"/>
                <a:gd name="T5" fmla="*/ T4 w 115"/>
                <a:gd name="T6" fmla="+- 0 534 520"/>
                <a:gd name="T7" fmla="*/ 534 h 81"/>
                <a:gd name="T8" fmla="+- 0 2569 2506"/>
                <a:gd name="T9" fmla="*/ T8 w 115"/>
                <a:gd name="T10" fmla="+- 0 523 520"/>
                <a:gd name="T11" fmla="*/ 523 h 81"/>
                <a:gd name="T12" fmla="+- 0 2582 2506"/>
                <a:gd name="T13" fmla="*/ T12 w 115"/>
                <a:gd name="T14" fmla="+- 0 520 520"/>
                <a:gd name="T15" fmla="*/ 520 h 81"/>
                <a:gd name="T16" fmla="+- 0 2589 2506"/>
                <a:gd name="T17" fmla="*/ T16 w 115"/>
                <a:gd name="T18" fmla="+- 0 520 520"/>
                <a:gd name="T19" fmla="*/ 520 h 81"/>
                <a:gd name="T20" fmla="+- 0 2594 2506"/>
                <a:gd name="T21" fmla="*/ T20 w 115"/>
                <a:gd name="T22" fmla="+- 0 521 520"/>
                <a:gd name="T23" fmla="*/ 521 h 81"/>
                <a:gd name="T24" fmla="+- 0 2612 2506"/>
                <a:gd name="T25" fmla="*/ T24 w 115"/>
                <a:gd name="T26" fmla="+- 0 529 520"/>
                <a:gd name="T27" fmla="*/ 529 h 81"/>
                <a:gd name="T28" fmla="+- 0 2612 2506"/>
                <a:gd name="T29" fmla="*/ T28 w 115"/>
                <a:gd name="T30" fmla="+- 0 530 520"/>
                <a:gd name="T31" fmla="*/ 530 h 81"/>
                <a:gd name="T32" fmla="+- 0 2582 2506"/>
                <a:gd name="T33" fmla="*/ T32 w 115"/>
                <a:gd name="T34" fmla="+- 0 530 520"/>
                <a:gd name="T35" fmla="*/ 530 h 81"/>
                <a:gd name="T36" fmla="+- 0 2576 2506"/>
                <a:gd name="T37" fmla="*/ T36 w 115"/>
                <a:gd name="T38" fmla="+- 0 534 520"/>
                <a:gd name="T39" fmla="*/ 534 h 81"/>
                <a:gd name="T40" fmla="+- 0 2575 2506"/>
                <a:gd name="T41" fmla="*/ T40 w 115"/>
                <a:gd name="T42" fmla="+- 0 534 520"/>
                <a:gd name="T43" fmla="*/ 534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15" h="81">
                  <a:moveTo>
                    <a:pt x="69" y="14"/>
                  </a:moveTo>
                  <a:lnTo>
                    <a:pt x="57" y="14"/>
                  </a:lnTo>
                  <a:lnTo>
                    <a:pt x="63" y="3"/>
                  </a:lnTo>
                  <a:lnTo>
                    <a:pt x="76" y="0"/>
                  </a:lnTo>
                  <a:lnTo>
                    <a:pt x="83" y="0"/>
                  </a:lnTo>
                  <a:lnTo>
                    <a:pt x="88" y="1"/>
                  </a:lnTo>
                  <a:lnTo>
                    <a:pt x="106" y="9"/>
                  </a:lnTo>
                  <a:lnTo>
                    <a:pt x="106" y="10"/>
                  </a:lnTo>
                  <a:lnTo>
                    <a:pt x="76" y="10"/>
                  </a:lnTo>
                  <a:lnTo>
                    <a:pt x="70" y="14"/>
                  </a:lnTo>
                  <a:lnTo>
                    <a:pt x="69" y="14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1" name="Freeform 4843">
              <a:extLst>
                <a:ext uri="{FF2B5EF4-FFF2-40B4-BE49-F238E27FC236}">
                  <a16:creationId xmlns:a16="http://schemas.microsoft.com/office/drawing/2014/main" id="{59C4B71F-6A2D-1C66-B98E-B76012E43F12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17 2506"/>
                <a:gd name="T1" fmla="*/ T0 w 115"/>
                <a:gd name="T2" fmla="+- 0 601 520"/>
                <a:gd name="T3" fmla="*/ 601 h 81"/>
                <a:gd name="T4" fmla="+- 0 2506 2506"/>
                <a:gd name="T5" fmla="*/ T4 w 115"/>
                <a:gd name="T6" fmla="+- 0 601 520"/>
                <a:gd name="T7" fmla="*/ 601 h 81"/>
                <a:gd name="T8" fmla="+- 0 2506 2506"/>
                <a:gd name="T9" fmla="*/ T8 w 115"/>
                <a:gd name="T10" fmla="+- 0 522 520"/>
                <a:gd name="T11" fmla="*/ 522 h 81"/>
                <a:gd name="T12" fmla="+- 0 2517 2506"/>
                <a:gd name="T13" fmla="*/ T12 w 115"/>
                <a:gd name="T14" fmla="+- 0 522 520"/>
                <a:gd name="T15" fmla="*/ 522 h 81"/>
                <a:gd name="T16" fmla="+- 0 2517 2506"/>
                <a:gd name="T17" fmla="*/ T16 w 115"/>
                <a:gd name="T18" fmla="+- 0 530 520"/>
                <a:gd name="T19" fmla="*/ 530 h 81"/>
                <a:gd name="T20" fmla="+- 0 2561 2506"/>
                <a:gd name="T21" fmla="*/ T20 w 115"/>
                <a:gd name="T22" fmla="+- 0 530 520"/>
                <a:gd name="T23" fmla="*/ 530 h 81"/>
                <a:gd name="T24" fmla="+- 0 2561 2506"/>
                <a:gd name="T25" fmla="*/ T24 w 115"/>
                <a:gd name="T26" fmla="+- 0 530 520"/>
                <a:gd name="T27" fmla="*/ 530 h 81"/>
                <a:gd name="T28" fmla="+- 0 2530 2506"/>
                <a:gd name="T29" fmla="*/ T28 w 115"/>
                <a:gd name="T30" fmla="+- 0 530 520"/>
                <a:gd name="T31" fmla="*/ 530 h 81"/>
                <a:gd name="T32" fmla="+- 0 2524 2506"/>
                <a:gd name="T33" fmla="*/ T32 w 115"/>
                <a:gd name="T34" fmla="+- 0 534 520"/>
                <a:gd name="T35" fmla="*/ 534 h 81"/>
                <a:gd name="T36" fmla="+- 0 2520 2506"/>
                <a:gd name="T37" fmla="*/ T36 w 115"/>
                <a:gd name="T38" fmla="+- 0 540 520"/>
                <a:gd name="T39" fmla="*/ 540 h 81"/>
                <a:gd name="T40" fmla="+- 0 2518 2506"/>
                <a:gd name="T41" fmla="*/ T40 w 115"/>
                <a:gd name="T42" fmla="+- 0 543 520"/>
                <a:gd name="T43" fmla="*/ 543 h 81"/>
                <a:gd name="T44" fmla="+- 0 2517 2506"/>
                <a:gd name="T45" fmla="*/ T44 w 115"/>
                <a:gd name="T46" fmla="+- 0 547 520"/>
                <a:gd name="T47" fmla="*/ 547 h 81"/>
                <a:gd name="T48" fmla="+- 0 2517 2506"/>
                <a:gd name="T49" fmla="*/ T48 w 115"/>
                <a:gd name="T50" fmla="+- 0 601 520"/>
                <a:gd name="T51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115" h="81">
                  <a:moveTo>
                    <a:pt x="11" y="81"/>
                  </a:moveTo>
                  <a:lnTo>
                    <a:pt x="0" y="81"/>
                  </a:lnTo>
                  <a:lnTo>
                    <a:pt x="0" y="2"/>
                  </a:lnTo>
                  <a:lnTo>
                    <a:pt x="11" y="2"/>
                  </a:lnTo>
                  <a:lnTo>
                    <a:pt x="11" y="10"/>
                  </a:lnTo>
                  <a:lnTo>
                    <a:pt x="55" y="10"/>
                  </a:lnTo>
                  <a:lnTo>
                    <a:pt x="24" y="10"/>
                  </a:lnTo>
                  <a:lnTo>
                    <a:pt x="18" y="14"/>
                  </a:lnTo>
                  <a:lnTo>
                    <a:pt x="14" y="20"/>
                  </a:lnTo>
                  <a:lnTo>
                    <a:pt x="12" y="23"/>
                  </a:lnTo>
                  <a:lnTo>
                    <a:pt x="11" y="27"/>
                  </a:lnTo>
                  <a:lnTo>
                    <a:pt x="11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2" name="Freeform 4842">
              <a:extLst>
                <a:ext uri="{FF2B5EF4-FFF2-40B4-BE49-F238E27FC236}">
                  <a16:creationId xmlns:a16="http://schemas.microsoft.com/office/drawing/2014/main" id="{E51E8294-7A52-0FEC-BBEA-A1DFF2240307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69 2506"/>
                <a:gd name="T1" fmla="*/ T0 w 115"/>
                <a:gd name="T2" fmla="+- 0 601 520"/>
                <a:gd name="T3" fmla="*/ 601 h 81"/>
                <a:gd name="T4" fmla="+- 0 2558 2506"/>
                <a:gd name="T5" fmla="*/ T4 w 115"/>
                <a:gd name="T6" fmla="+- 0 601 520"/>
                <a:gd name="T7" fmla="*/ 601 h 81"/>
                <a:gd name="T8" fmla="+- 0 2558 2506"/>
                <a:gd name="T9" fmla="*/ T8 w 115"/>
                <a:gd name="T10" fmla="+- 0 547 520"/>
                <a:gd name="T11" fmla="*/ 547 h 81"/>
                <a:gd name="T12" fmla="+- 0 2556 2506"/>
                <a:gd name="T13" fmla="*/ T12 w 115"/>
                <a:gd name="T14" fmla="+- 0 543 520"/>
                <a:gd name="T15" fmla="*/ 543 h 81"/>
                <a:gd name="T16" fmla="+- 0 2554 2506"/>
                <a:gd name="T17" fmla="*/ T16 w 115"/>
                <a:gd name="T18" fmla="+- 0 540 520"/>
                <a:gd name="T19" fmla="*/ 540 h 81"/>
                <a:gd name="T20" fmla="+- 0 2551 2506"/>
                <a:gd name="T21" fmla="*/ T20 w 115"/>
                <a:gd name="T22" fmla="+- 0 534 520"/>
                <a:gd name="T23" fmla="*/ 534 h 81"/>
                <a:gd name="T24" fmla="+- 0 2545 2506"/>
                <a:gd name="T25" fmla="*/ T24 w 115"/>
                <a:gd name="T26" fmla="+- 0 530 520"/>
                <a:gd name="T27" fmla="*/ 530 h 81"/>
                <a:gd name="T28" fmla="+- 0 2561 2506"/>
                <a:gd name="T29" fmla="*/ T28 w 115"/>
                <a:gd name="T30" fmla="+- 0 530 520"/>
                <a:gd name="T31" fmla="*/ 530 h 81"/>
                <a:gd name="T32" fmla="+- 0 2563 2506"/>
                <a:gd name="T33" fmla="*/ T32 w 115"/>
                <a:gd name="T34" fmla="+- 0 534 520"/>
                <a:gd name="T35" fmla="*/ 534 h 81"/>
                <a:gd name="T36" fmla="+- 0 2575 2506"/>
                <a:gd name="T37" fmla="*/ T36 w 115"/>
                <a:gd name="T38" fmla="+- 0 534 520"/>
                <a:gd name="T39" fmla="*/ 534 h 81"/>
                <a:gd name="T40" fmla="+- 0 2572 2506"/>
                <a:gd name="T41" fmla="*/ T40 w 115"/>
                <a:gd name="T42" fmla="+- 0 540 520"/>
                <a:gd name="T43" fmla="*/ 540 h 81"/>
                <a:gd name="T44" fmla="+- 0 2570 2506"/>
                <a:gd name="T45" fmla="*/ T44 w 115"/>
                <a:gd name="T46" fmla="+- 0 543 520"/>
                <a:gd name="T47" fmla="*/ 543 h 81"/>
                <a:gd name="T48" fmla="+- 0 2569 2506"/>
                <a:gd name="T49" fmla="*/ T48 w 115"/>
                <a:gd name="T50" fmla="+- 0 547 520"/>
                <a:gd name="T51" fmla="*/ 547 h 81"/>
                <a:gd name="T52" fmla="+- 0 2569 2506"/>
                <a:gd name="T53" fmla="*/ T52 w 115"/>
                <a:gd name="T54" fmla="+- 0 601 520"/>
                <a:gd name="T55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115" h="81">
                  <a:moveTo>
                    <a:pt x="63" y="81"/>
                  </a:moveTo>
                  <a:lnTo>
                    <a:pt x="52" y="81"/>
                  </a:lnTo>
                  <a:lnTo>
                    <a:pt x="52" y="27"/>
                  </a:lnTo>
                  <a:lnTo>
                    <a:pt x="50" y="23"/>
                  </a:lnTo>
                  <a:lnTo>
                    <a:pt x="48" y="20"/>
                  </a:lnTo>
                  <a:lnTo>
                    <a:pt x="45" y="14"/>
                  </a:lnTo>
                  <a:lnTo>
                    <a:pt x="39" y="10"/>
                  </a:lnTo>
                  <a:lnTo>
                    <a:pt x="55" y="10"/>
                  </a:lnTo>
                  <a:lnTo>
                    <a:pt x="57" y="14"/>
                  </a:lnTo>
                  <a:lnTo>
                    <a:pt x="69" y="14"/>
                  </a:lnTo>
                  <a:lnTo>
                    <a:pt x="66" y="20"/>
                  </a:lnTo>
                  <a:lnTo>
                    <a:pt x="64" y="23"/>
                  </a:lnTo>
                  <a:lnTo>
                    <a:pt x="63" y="27"/>
                  </a:lnTo>
                  <a:lnTo>
                    <a:pt x="63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3" name="Freeform 4841">
              <a:extLst>
                <a:ext uri="{FF2B5EF4-FFF2-40B4-BE49-F238E27FC236}">
                  <a16:creationId xmlns:a16="http://schemas.microsoft.com/office/drawing/2014/main" id="{2A6A2558-34E6-BFB9-480D-2ACA2F2E0B49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620 2506"/>
                <a:gd name="T1" fmla="*/ T0 w 115"/>
                <a:gd name="T2" fmla="+- 0 601 520"/>
                <a:gd name="T3" fmla="*/ 601 h 81"/>
                <a:gd name="T4" fmla="+- 0 2609 2506"/>
                <a:gd name="T5" fmla="*/ T4 w 115"/>
                <a:gd name="T6" fmla="+- 0 601 520"/>
                <a:gd name="T7" fmla="*/ 601 h 81"/>
                <a:gd name="T8" fmla="+- 0 2609 2506"/>
                <a:gd name="T9" fmla="*/ T8 w 115"/>
                <a:gd name="T10" fmla="+- 0 547 520"/>
                <a:gd name="T11" fmla="*/ 547 h 81"/>
                <a:gd name="T12" fmla="+- 0 2608 2506"/>
                <a:gd name="T13" fmla="*/ T12 w 115"/>
                <a:gd name="T14" fmla="+- 0 543 520"/>
                <a:gd name="T15" fmla="*/ 543 h 81"/>
                <a:gd name="T16" fmla="+- 0 2606 2506"/>
                <a:gd name="T17" fmla="*/ T16 w 115"/>
                <a:gd name="T18" fmla="+- 0 540 520"/>
                <a:gd name="T19" fmla="*/ 540 h 81"/>
                <a:gd name="T20" fmla="+- 0 2603 2506"/>
                <a:gd name="T21" fmla="*/ T20 w 115"/>
                <a:gd name="T22" fmla="+- 0 534 520"/>
                <a:gd name="T23" fmla="*/ 534 h 81"/>
                <a:gd name="T24" fmla="+- 0 2596 2506"/>
                <a:gd name="T25" fmla="*/ T24 w 115"/>
                <a:gd name="T26" fmla="+- 0 530 520"/>
                <a:gd name="T27" fmla="*/ 530 h 81"/>
                <a:gd name="T28" fmla="+- 0 2612 2506"/>
                <a:gd name="T29" fmla="*/ T28 w 115"/>
                <a:gd name="T30" fmla="+- 0 530 520"/>
                <a:gd name="T31" fmla="*/ 530 h 81"/>
                <a:gd name="T32" fmla="+- 0 2620 2506"/>
                <a:gd name="T33" fmla="*/ T32 w 115"/>
                <a:gd name="T34" fmla="+- 0 554 520"/>
                <a:gd name="T35" fmla="*/ 554 h 81"/>
                <a:gd name="T36" fmla="+- 0 2620 2506"/>
                <a:gd name="T37" fmla="*/ T36 w 115"/>
                <a:gd name="T38" fmla="+- 0 601 520"/>
                <a:gd name="T39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15" h="81">
                  <a:moveTo>
                    <a:pt x="114" y="81"/>
                  </a:moveTo>
                  <a:lnTo>
                    <a:pt x="103" y="81"/>
                  </a:lnTo>
                  <a:lnTo>
                    <a:pt x="103" y="27"/>
                  </a:lnTo>
                  <a:lnTo>
                    <a:pt x="102" y="23"/>
                  </a:lnTo>
                  <a:lnTo>
                    <a:pt x="100" y="20"/>
                  </a:lnTo>
                  <a:lnTo>
                    <a:pt x="97" y="14"/>
                  </a:lnTo>
                  <a:lnTo>
                    <a:pt x="90" y="10"/>
                  </a:lnTo>
                  <a:lnTo>
                    <a:pt x="106" y="10"/>
                  </a:lnTo>
                  <a:lnTo>
                    <a:pt x="114" y="34"/>
                  </a:lnTo>
                  <a:lnTo>
                    <a:pt x="114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0792CD47-A7AA-7DB6-DB79-BB41E38B398F}"/>
              </a:ext>
            </a:extLst>
          </xdr:cNvPr>
          <xdr:cNvGrpSpPr>
            <a:grpSpLocks/>
          </xdr:cNvGrpSpPr>
        </xdr:nvGrpSpPr>
        <xdr:grpSpPr bwMode="auto">
          <a:xfrm>
            <a:off x="2638" y="520"/>
            <a:ext cx="78" cy="80"/>
            <a:chOff x="2638" y="520"/>
            <a:chExt cx="78" cy="80"/>
          </a:xfrm>
        </xdr:grpSpPr>
        <xdr:sp macro="" textlink="">
          <xdr:nvSpPr>
            <xdr:cNvPr id="36" name="Freeform 4839">
              <a:extLst>
                <a:ext uri="{FF2B5EF4-FFF2-40B4-BE49-F238E27FC236}">
                  <a16:creationId xmlns:a16="http://schemas.microsoft.com/office/drawing/2014/main" id="{4FF6441F-4185-E810-74D7-B96D148CA2D2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661 2638"/>
                <a:gd name="T1" fmla="*/ T0 w 78"/>
                <a:gd name="T2" fmla="+- 0 600 520"/>
                <a:gd name="T3" fmla="*/ 600 h 80"/>
                <a:gd name="T4" fmla="+- 0 2647 2638"/>
                <a:gd name="T5" fmla="*/ T4 w 78"/>
                <a:gd name="T6" fmla="+- 0 590 520"/>
                <a:gd name="T7" fmla="*/ 590 h 80"/>
                <a:gd name="T8" fmla="+- 0 2639 2638"/>
                <a:gd name="T9" fmla="*/ T8 w 78"/>
                <a:gd name="T10" fmla="+- 0 571 520"/>
                <a:gd name="T11" fmla="*/ 571 h 80"/>
                <a:gd name="T12" fmla="+- 0 2638 2638"/>
                <a:gd name="T13" fmla="*/ T12 w 78"/>
                <a:gd name="T14" fmla="+- 0 542 520"/>
                <a:gd name="T15" fmla="*/ 542 h 80"/>
                <a:gd name="T16" fmla="+- 0 2653 2638"/>
                <a:gd name="T17" fmla="*/ T16 w 78"/>
                <a:gd name="T18" fmla="+- 0 527 520"/>
                <a:gd name="T19" fmla="*/ 527 h 80"/>
                <a:gd name="T20" fmla="+- 0 2674 2638"/>
                <a:gd name="T21" fmla="*/ T20 w 78"/>
                <a:gd name="T22" fmla="+- 0 520 520"/>
                <a:gd name="T23" fmla="*/ 520 h 80"/>
                <a:gd name="T24" fmla="+- 0 2696 2638"/>
                <a:gd name="T25" fmla="*/ T24 w 78"/>
                <a:gd name="T26" fmla="+- 0 527 520"/>
                <a:gd name="T27" fmla="*/ 527 h 80"/>
                <a:gd name="T28" fmla="+- 0 2699 2638"/>
                <a:gd name="T29" fmla="*/ T28 w 78"/>
                <a:gd name="T30" fmla="+- 0 530 520"/>
                <a:gd name="T31" fmla="*/ 530 h 80"/>
                <a:gd name="T32" fmla="+- 0 2661 2638"/>
                <a:gd name="T33" fmla="*/ T32 w 78"/>
                <a:gd name="T34" fmla="+- 0 530 520"/>
                <a:gd name="T35" fmla="*/ 530 h 80"/>
                <a:gd name="T36" fmla="+- 0 2648 2638"/>
                <a:gd name="T37" fmla="*/ T36 w 78"/>
                <a:gd name="T38" fmla="+- 0 539 520"/>
                <a:gd name="T39" fmla="*/ 539 h 80"/>
                <a:gd name="T40" fmla="+- 0 2645 2638"/>
                <a:gd name="T41" fmla="*/ T40 w 78"/>
                <a:gd name="T42" fmla="+- 0 556 520"/>
                <a:gd name="T43" fmla="*/ 556 h 80"/>
                <a:gd name="T44" fmla="+- 0 2715 2638"/>
                <a:gd name="T45" fmla="*/ T44 w 78"/>
                <a:gd name="T46" fmla="+- 0 556 520"/>
                <a:gd name="T47" fmla="*/ 556 h 80"/>
                <a:gd name="T48" fmla="+- 0 2715 2638"/>
                <a:gd name="T49" fmla="*/ T48 w 78"/>
                <a:gd name="T50" fmla="+- 0 565 520"/>
                <a:gd name="T51" fmla="*/ 565 h 80"/>
                <a:gd name="T52" fmla="+- 0 2714 2638"/>
                <a:gd name="T53" fmla="*/ T52 w 78"/>
                <a:gd name="T54" fmla="+- 0 565 520"/>
                <a:gd name="T55" fmla="*/ 565 h 80"/>
                <a:gd name="T56" fmla="+- 0 2645 2638"/>
                <a:gd name="T57" fmla="*/ T56 w 78"/>
                <a:gd name="T58" fmla="+- 0 565 520"/>
                <a:gd name="T59" fmla="*/ 565 h 80"/>
                <a:gd name="T60" fmla="+- 0 2646 2638"/>
                <a:gd name="T61" fmla="*/ T60 w 78"/>
                <a:gd name="T62" fmla="+- 0 580 520"/>
                <a:gd name="T63" fmla="*/ 580 h 80"/>
                <a:gd name="T64" fmla="+- 0 2659 2638"/>
                <a:gd name="T65" fmla="*/ T64 w 78"/>
                <a:gd name="T66" fmla="+- 0 592 520"/>
                <a:gd name="T67" fmla="*/ 592 h 80"/>
                <a:gd name="T68" fmla="+- 0 2697 2638"/>
                <a:gd name="T69" fmla="*/ T68 w 78"/>
                <a:gd name="T70" fmla="+- 0 592 520"/>
                <a:gd name="T71" fmla="*/ 592 h 80"/>
                <a:gd name="T72" fmla="+- 0 2687 2638"/>
                <a:gd name="T73" fmla="*/ T72 w 78"/>
                <a:gd name="T74" fmla="+- 0 598 520"/>
                <a:gd name="T75" fmla="*/ 598 h 80"/>
                <a:gd name="T76" fmla="+- 0 2661 2638"/>
                <a:gd name="T77" fmla="*/ T76 w 78"/>
                <a:gd name="T78" fmla="+- 0 600 520"/>
                <a:gd name="T7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8" h="80">
                  <a:moveTo>
                    <a:pt x="23" y="80"/>
                  </a:moveTo>
                  <a:lnTo>
                    <a:pt x="9" y="70"/>
                  </a:lnTo>
                  <a:lnTo>
                    <a:pt x="1" y="51"/>
                  </a:lnTo>
                  <a:lnTo>
                    <a:pt x="0" y="22"/>
                  </a:lnTo>
                  <a:lnTo>
                    <a:pt x="15" y="7"/>
                  </a:lnTo>
                  <a:lnTo>
                    <a:pt x="36" y="0"/>
                  </a:lnTo>
                  <a:lnTo>
                    <a:pt x="58" y="7"/>
                  </a:lnTo>
                  <a:lnTo>
                    <a:pt x="61" y="10"/>
                  </a:lnTo>
                  <a:lnTo>
                    <a:pt x="23" y="10"/>
                  </a:lnTo>
                  <a:lnTo>
                    <a:pt x="10" y="19"/>
                  </a:lnTo>
                  <a:lnTo>
                    <a:pt x="7" y="36"/>
                  </a:lnTo>
                  <a:lnTo>
                    <a:pt x="77" y="36"/>
                  </a:lnTo>
                  <a:lnTo>
                    <a:pt x="77" y="45"/>
                  </a:lnTo>
                  <a:lnTo>
                    <a:pt x="76" y="45"/>
                  </a:lnTo>
                  <a:lnTo>
                    <a:pt x="7" y="45"/>
                  </a:lnTo>
                  <a:lnTo>
                    <a:pt x="8" y="60"/>
                  </a:lnTo>
                  <a:lnTo>
                    <a:pt x="21" y="72"/>
                  </a:lnTo>
                  <a:lnTo>
                    <a:pt x="59" y="72"/>
                  </a:lnTo>
                  <a:lnTo>
                    <a:pt x="49" y="78"/>
                  </a:lnTo>
                  <a:lnTo>
                    <a:pt x="23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7" name="Freeform 4838">
              <a:extLst>
                <a:ext uri="{FF2B5EF4-FFF2-40B4-BE49-F238E27FC236}">
                  <a16:creationId xmlns:a16="http://schemas.microsoft.com/office/drawing/2014/main" id="{B15B102D-D2FF-C540-7172-2C0C8BAFBAF4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715 2638"/>
                <a:gd name="T1" fmla="*/ T0 w 78"/>
                <a:gd name="T2" fmla="+- 0 556 520"/>
                <a:gd name="T3" fmla="*/ 556 h 80"/>
                <a:gd name="T4" fmla="+- 0 2703 2638"/>
                <a:gd name="T5" fmla="*/ T4 w 78"/>
                <a:gd name="T6" fmla="+- 0 556 520"/>
                <a:gd name="T7" fmla="*/ 556 h 80"/>
                <a:gd name="T8" fmla="+- 0 2700 2638"/>
                <a:gd name="T9" fmla="*/ T8 w 78"/>
                <a:gd name="T10" fmla="+- 0 538 520"/>
                <a:gd name="T11" fmla="*/ 538 h 80"/>
                <a:gd name="T12" fmla="+- 0 2686 2638"/>
                <a:gd name="T13" fmla="*/ T12 w 78"/>
                <a:gd name="T14" fmla="+- 0 530 520"/>
                <a:gd name="T15" fmla="*/ 530 h 80"/>
                <a:gd name="T16" fmla="+- 0 2699 2638"/>
                <a:gd name="T17" fmla="*/ T16 w 78"/>
                <a:gd name="T18" fmla="+- 0 530 520"/>
                <a:gd name="T19" fmla="*/ 530 h 80"/>
                <a:gd name="T20" fmla="+- 0 2709 2638"/>
                <a:gd name="T21" fmla="*/ T20 w 78"/>
                <a:gd name="T22" fmla="+- 0 540 520"/>
                <a:gd name="T23" fmla="*/ 540 h 80"/>
                <a:gd name="T24" fmla="+- 0 2713 2638"/>
                <a:gd name="T25" fmla="*/ T24 w 78"/>
                <a:gd name="T26" fmla="+- 0 547 520"/>
                <a:gd name="T27" fmla="*/ 547 h 80"/>
                <a:gd name="T28" fmla="+- 0 2715 2638"/>
                <a:gd name="T29" fmla="*/ T28 w 78"/>
                <a:gd name="T30" fmla="+- 0 556 520"/>
                <a:gd name="T31" fmla="*/ 556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77" y="36"/>
                  </a:moveTo>
                  <a:lnTo>
                    <a:pt x="65" y="36"/>
                  </a:lnTo>
                  <a:lnTo>
                    <a:pt x="62" y="18"/>
                  </a:lnTo>
                  <a:lnTo>
                    <a:pt x="48" y="10"/>
                  </a:lnTo>
                  <a:lnTo>
                    <a:pt x="61" y="10"/>
                  </a:lnTo>
                  <a:lnTo>
                    <a:pt x="71" y="20"/>
                  </a:lnTo>
                  <a:lnTo>
                    <a:pt x="75" y="27"/>
                  </a:lnTo>
                  <a:lnTo>
                    <a:pt x="77" y="3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8" name="Freeform 4837">
              <a:extLst>
                <a:ext uri="{FF2B5EF4-FFF2-40B4-BE49-F238E27FC236}">
                  <a16:creationId xmlns:a16="http://schemas.microsoft.com/office/drawing/2014/main" id="{49BDE6E4-56C0-5D51-5AF3-88E3988CD341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697 2638"/>
                <a:gd name="T1" fmla="*/ T0 w 78"/>
                <a:gd name="T2" fmla="+- 0 592 520"/>
                <a:gd name="T3" fmla="*/ 592 h 80"/>
                <a:gd name="T4" fmla="+- 0 2674 2638"/>
                <a:gd name="T5" fmla="*/ T4 w 78"/>
                <a:gd name="T6" fmla="+- 0 592 520"/>
                <a:gd name="T7" fmla="*/ 592 h 80"/>
                <a:gd name="T8" fmla="+- 0 2689 2638"/>
                <a:gd name="T9" fmla="*/ T8 w 78"/>
                <a:gd name="T10" fmla="+- 0 592 520"/>
                <a:gd name="T11" fmla="*/ 592 h 80"/>
                <a:gd name="T12" fmla="+- 0 2698 2638"/>
                <a:gd name="T13" fmla="*/ T12 w 78"/>
                <a:gd name="T14" fmla="+- 0 582 520"/>
                <a:gd name="T15" fmla="*/ 582 h 80"/>
                <a:gd name="T16" fmla="+- 0 2701 2638"/>
                <a:gd name="T17" fmla="*/ T16 w 78"/>
                <a:gd name="T18" fmla="+- 0 574 520"/>
                <a:gd name="T19" fmla="*/ 574 h 80"/>
                <a:gd name="T20" fmla="+- 0 2713 2638"/>
                <a:gd name="T21" fmla="*/ T20 w 78"/>
                <a:gd name="T22" fmla="+- 0 574 520"/>
                <a:gd name="T23" fmla="*/ 574 h 80"/>
                <a:gd name="T24" fmla="+- 0 2704 2638"/>
                <a:gd name="T25" fmla="*/ T24 w 78"/>
                <a:gd name="T26" fmla="+- 0 589 520"/>
                <a:gd name="T27" fmla="*/ 589 h 80"/>
                <a:gd name="T28" fmla="+- 0 2697 2638"/>
                <a:gd name="T29" fmla="*/ T28 w 78"/>
                <a:gd name="T30" fmla="+- 0 592 520"/>
                <a:gd name="T31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59" y="72"/>
                  </a:moveTo>
                  <a:lnTo>
                    <a:pt x="36" y="72"/>
                  </a:lnTo>
                  <a:lnTo>
                    <a:pt x="51" y="72"/>
                  </a:lnTo>
                  <a:lnTo>
                    <a:pt x="60" y="62"/>
                  </a:lnTo>
                  <a:lnTo>
                    <a:pt x="63" y="54"/>
                  </a:lnTo>
                  <a:lnTo>
                    <a:pt x="75" y="54"/>
                  </a:lnTo>
                  <a:lnTo>
                    <a:pt x="66" y="69"/>
                  </a:lnTo>
                  <a:lnTo>
                    <a:pt x="59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2D169076-7A8F-74DF-A530-65E1FB3F7496}"/>
              </a:ext>
            </a:extLst>
          </xdr:cNvPr>
          <xdr:cNvGrpSpPr>
            <a:grpSpLocks/>
          </xdr:cNvGrpSpPr>
        </xdr:nvGrpSpPr>
        <xdr:grpSpPr bwMode="auto">
          <a:xfrm>
            <a:off x="2729" y="520"/>
            <a:ext cx="69" cy="81"/>
            <a:chOff x="2729" y="520"/>
            <a:chExt cx="69" cy="81"/>
          </a:xfrm>
        </xdr:grpSpPr>
        <xdr:sp macro="" textlink="">
          <xdr:nvSpPr>
            <xdr:cNvPr id="33" name="Freeform 4835">
              <a:extLst>
                <a:ext uri="{FF2B5EF4-FFF2-40B4-BE49-F238E27FC236}">
                  <a16:creationId xmlns:a16="http://schemas.microsoft.com/office/drawing/2014/main" id="{34F3CAE2-4670-8CE8-C179-D2C32199CB12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53 2729"/>
                <a:gd name="T1" fmla="*/ T0 w 69"/>
                <a:gd name="T2" fmla="+- 0 531 520"/>
                <a:gd name="T3" fmla="*/ 531 h 81"/>
                <a:gd name="T4" fmla="+- 0 2740 2729"/>
                <a:gd name="T5" fmla="*/ T4 w 69"/>
                <a:gd name="T6" fmla="+- 0 531 520"/>
                <a:gd name="T7" fmla="*/ 531 h 81"/>
                <a:gd name="T8" fmla="+- 0 2744 2729"/>
                <a:gd name="T9" fmla="*/ T8 w 69"/>
                <a:gd name="T10" fmla="+- 0 526 520"/>
                <a:gd name="T11" fmla="*/ 526 h 81"/>
                <a:gd name="T12" fmla="+- 0 2752 2729"/>
                <a:gd name="T13" fmla="*/ T12 w 69"/>
                <a:gd name="T14" fmla="+- 0 520 520"/>
                <a:gd name="T15" fmla="*/ 520 h 81"/>
                <a:gd name="T16" fmla="+- 0 2774 2729"/>
                <a:gd name="T17" fmla="*/ T16 w 69"/>
                <a:gd name="T18" fmla="+- 0 520 520"/>
                <a:gd name="T19" fmla="*/ 520 h 81"/>
                <a:gd name="T20" fmla="+- 0 2782 2729"/>
                <a:gd name="T21" fmla="*/ T20 w 69"/>
                <a:gd name="T22" fmla="+- 0 523 520"/>
                <a:gd name="T23" fmla="*/ 523 h 81"/>
                <a:gd name="T24" fmla="+- 0 2789 2729"/>
                <a:gd name="T25" fmla="*/ T24 w 69"/>
                <a:gd name="T26" fmla="+- 0 530 520"/>
                <a:gd name="T27" fmla="*/ 530 h 81"/>
                <a:gd name="T28" fmla="+- 0 2761 2729"/>
                <a:gd name="T29" fmla="*/ T28 w 69"/>
                <a:gd name="T30" fmla="+- 0 530 520"/>
                <a:gd name="T31" fmla="*/ 530 h 81"/>
                <a:gd name="T32" fmla="+- 0 2753 2729"/>
                <a:gd name="T33" fmla="*/ T32 w 69"/>
                <a:gd name="T34" fmla="+- 0 531 520"/>
                <a:gd name="T35" fmla="*/ 531 h 81"/>
                <a:gd name="T36" fmla="+- 0 2753 2729"/>
                <a:gd name="T37" fmla="*/ T36 w 69"/>
                <a:gd name="T38" fmla="+- 0 531 520"/>
                <a:gd name="T39" fmla="*/ 53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9" h="81">
                  <a:moveTo>
                    <a:pt x="24" y="11"/>
                  </a:moveTo>
                  <a:lnTo>
                    <a:pt x="11" y="11"/>
                  </a:lnTo>
                  <a:lnTo>
                    <a:pt x="15" y="6"/>
                  </a:lnTo>
                  <a:lnTo>
                    <a:pt x="23" y="0"/>
                  </a:lnTo>
                  <a:lnTo>
                    <a:pt x="45" y="0"/>
                  </a:lnTo>
                  <a:lnTo>
                    <a:pt x="53" y="3"/>
                  </a:lnTo>
                  <a:lnTo>
                    <a:pt x="60" y="10"/>
                  </a:lnTo>
                  <a:lnTo>
                    <a:pt x="32" y="10"/>
                  </a:lnTo>
                  <a:lnTo>
                    <a:pt x="24" y="1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4" name="Freeform 4834">
              <a:extLst>
                <a:ext uri="{FF2B5EF4-FFF2-40B4-BE49-F238E27FC236}">
                  <a16:creationId xmlns:a16="http://schemas.microsoft.com/office/drawing/2014/main" id="{468ED81A-6E38-ADB3-9D0E-127697630E83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40 2729"/>
                <a:gd name="T1" fmla="*/ T0 w 69"/>
                <a:gd name="T2" fmla="+- 0 601 520"/>
                <a:gd name="T3" fmla="*/ 601 h 81"/>
                <a:gd name="T4" fmla="+- 0 2729 2729"/>
                <a:gd name="T5" fmla="*/ T4 w 69"/>
                <a:gd name="T6" fmla="+- 0 601 520"/>
                <a:gd name="T7" fmla="*/ 601 h 81"/>
                <a:gd name="T8" fmla="+- 0 2729 2729"/>
                <a:gd name="T9" fmla="*/ T8 w 69"/>
                <a:gd name="T10" fmla="+- 0 522 520"/>
                <a:gd name="T11" fmla="*/ 522 h 81"/>
                <a:gd name="T12" fmla="+- 0 2740 2729"/>
                <a:gd name="T13" fmla="*/ T12 w 69"/>
                <a:gd name="T14" fmla="+- 0 522 520"/>
                <a:gd name="T15" fmla="*/ 522 h 81"/>
                <a:gd name="T16" fmla="+- 0 2740 2729"/>
                <a:gd name="T17" fmla="*/ T16 w 69"/>
                <a:gd name="T18" fmla="+- 0 531 520"/>
                <a:gd name="T19" fmla="*/ 531 h 81"/>
                <a:gd name="T20" fmla="+- 0 2753 2729"/>
                <a:gd name="T21" fmla="*/ T20 w 69"/>
                <a:gd name="T22" fmla="+- 0 531 520"/>
                <a:gd name="T23" fmla="*/ 531 h 81"/>
                <a:gd name="T24" fmla="+- 0 2747 2729"/>
                <a:gd name="T25" fmla="*/ T24 w 69"/>
                <a:gd name="T26" fmla="+- 0 537 520"/>
                <a:gd name="T27" fmla="*/ 537 h 81"/>
                <a:gd name="T28" fmla="+- 0 2743 2729"/>
                <a:gd name="T29" fmla="*/ T28 w 69"/>
                <a:gd name="T30" fmla="+- 0 541 520"/>
                <a:gd name="T31" fmla="*/ 541 h 81"/>
                <a:gd name="T32" fmla="+- 0 2740 2729"/>
                <a:gd name="T33" fmla="*/ T32 w 69"/>
                <a:gd name="T34" fmla="+- 0 549 520"/>
                <a:gd name="T35" fmla="*/ 549 h 81"/>
                <a:gd name="T36" fmla="+- 0 2740 2729"/>
                <a:gd name="T37" fmla="*/ T36 w 69"/>
                <a:gd name="T38" fmla="+- 0 558 520"/>
                <a:gd name="T39" fmla="*/ 558 h 81"/>
                <a:gd name="T40" fmla="+- 0 2740 2729"/>
                <a:gd name="T41" fmla="*/ T40 w 69"/>
                <a:gd name="T42" fmla="+- 0 601 520"/>
                <a:gd name="T43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69" h="81">
                  <a:moveTo>
                    <a:pt x="11" y="81"/>
                  </a:moveTo>
                  <a:lnTo>
                    <a:pt x="0" y="81"/>
                  </a:lnTo>
                  <a:lnTo>
                    <a:pt x="0" y="2"/>
                  </a:lnTo>
                  <a:lnTo>
                    <a:pt x="11" y="2"/>
                  </a:lnTo>
                  <a:lnTo>
                    <a:pt x="11" y="11"/>
                  </a:lnTo>
                  <a:lnTo>
                    <a:pt x="24" y="11"/>
                  </a:lnTo>
                  <a:lnTo>
                    <a:pt x="18" y="17"/>
                  </a:lnTo>
                  <a:lnTo>
                    <a:pt x="14" y="21"/>
                  </a:lnTo>
                  <a:lnTo>
                    <a:pt x="11" y="29"/>
                  </a:lnTo>
                  <a:lnTo>
                    <a:pt x="11" y="38"/>
                  </a:lnTo>
                  <a:lnTo>
                    <a:pt x="11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5" name="Freeform 4833">
              <a:extLst>
                <a:ext uri="{FF2B5EF4-FFF2-40B4-BE49-F238E27FC236}">
                  <a16:creationId xmlns:a16="http://schemas.microsoft.com/office/drawing/2014/main" id="{8240892A-BADC-A57C-44BA-0AD95CE5C2F4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98 2729"/>
                <a:gd name="T1" fmla="*/ T0 w 69"/>
                <a:gd name="T2" fmla="+- 0 600 520"/>
                <a:gd name="T3" fmla="*/ 600 h 81"/>
                <a:gd name="T4" fmla="+- 0 2787 2729"/>
                <a:gd name="T5" fmla="*/ T4 w 69"/>
                <a:gd name="T6" fmla="+- 0 600 520"/>
                <a:gd name="T7" fmla="*/ 600 h 81"/>
                <a:gd name="T8" fmla="+- 0 2787 2729"/>
                <a:gd name="T9" fmla="*/ T8 w 69"/>
                <a:gd name="T10" fmla="+- 0 549 520"/>
                <a:gd name="T11" fmla="*/ 549 h 81"/>
                <a:gd name="T12" fmla="+- 0 2784 2729"/>
                <a:gd name="T13" fmla="*/ T12 w 69"/>
                <a:gd name="T14" fmla="+- 0 541 520"/>
                <a:gd name="T15" fmla="*/ 541 h 81"/>
                <a:gd name="T16" fmla="+- 0 2774 2729"/>
                <a:gd name="T17" fmla="*/ T16 w 69"/>
                <a:gd name="T18" fmla="+- 0 531 520"/>
                <a:gd name="T19" fmla="*/ 531 h 81"/>
                <a:gd name="T20" fmla="+- 0 2766 2729"/>
                <a:gd name="T21" fmla="*/ T20 w 69"/>
                <a:gd name="T22" fmla="+- 0 530 520"/>
                <a:gd name="T23" fmla="*/ 530 h 81"/>
                <a:gd name="T24" fmla="+- 0 2789 2729"/>
                <a:gd name="T25" fmla="*/ T24 w 69"/>
                <a:gd name="T26" fmla="+- 0 530 520"/>
                <a:gd name="T27" fmla="*/ 530 h 81"/>
                <a:gd name="T28" fmla="+- 0 2795 2729"/>
                <a:gd name="T29" fmla="*/ T28 w 69"/>
                <a:gd name="T30" fmla="+- 0 536 520"/>
                <a:gd name="T31" fmla="*/ 536 h 81"/>
                <a:gd name="T32" fmla="+- 0 2798 2729"/>
                <a:gd name="T33" fmla="*/ T32 w 69"/>
                <a:gd name="T34" fmla="+- 0 546 520"/>
                <a:gd name="T35" fmla="*/ 546 h 81"/>
                <a:gd name="T36" fmla="+- 0 2798 2729"/>
                <a:gd name="T37" fmla="*/ T36 w 69"/>
                <a:gd name="T38" fmla="+- 0 600 520"/>
                <a:gd name="T39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9" h="81">
                  <a:moveTo>
                    <a:pt x="69" y="80"/>
                  </a:moveTo>
                  <a:lnTo>
                    <a:pt x="58" y="80"/>
                  </a:lnTo>
                  <a:lnTo>
                    <a:pt x="58" y="29"/>
                  </a:lnTo>
                  <a:lnTo>
                    <a:pt x="55" y="21"/>
                  </a:lnTo>
                  <a:lnTo>
                    <a:pt x="45" y="11"/>
                  </a:lnTo>
                  <a:lnTo>
                    <a:pt x="37" y="10"/>
                  </a:lnTo>
                  <a:lnTo>
                    <a:pt x="60" y="10"/>
                  </a:lnTo>
                  <a:lnTo>
                    <a:pt x="66" y="16"/>
                  </a:lnTo>
                  <a:lnTo>
                    <a:pt x="69" y="26"/>
                  </a:lnTo>
                  <a:lnTo>
                    <a:pt x="69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7BF21CD9-A8CB-039F-3E7C-351D6548A6C5}"/>
              </a:ext>
            </a:extLst>
          </xdr:cNvPr>
          <xdr:cNvGrpSpPr>
            <a:grpSpLocks/>
          </xdr:cNvGrpSpPr>
        </xdr:nvGrpSpPr>
        <xdr:grpSpPr bwMode="auto">
          <a:xfrm>
            <a:off x="2810" y="495"/>
            <a:ext cx="46" cy="106"/>
            <a:chOff x="2810" y="495"/>
            <a:chExt cx="46" cy="106"/>
          </a:xfrm>
        </xdr:grpSpPr>
        <xdr:sp macro="" textlink="">
          <xdr:nvSpPr>
            <xdr:cNvPr id="30" name="Freeform 4831">
              <a:extLst>
                <a:ext uri="{FF2B5EF4-FFF2-40B4-BE49-F238E27FC236}">
                  <a16:creationId xmlns:a16="http://schemas.microsoft.com/office/drawing/2014/main" id="{7F89EB61-793A-4958-3326-45C8AFB4ECA6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37 2810"/>
                <a:gd name="T1" fmla="*/ T0 w 46"/>
                <a:gd name="T2" fmla="+- 0 522 495"/>
                <a:gd name="T3" fmla="*/ 522 h 106"/>
                <a:gd name="T4" fmla="+- 0 2826 2810"/>
                <a:gd name="T5" fmla="*/ T4 w 46"/>
                <a:gd name="T6" fmla="+- 0 522 495"/>
                <a:gd name="T7" fmla="*/ 522 h 106"/>
                <a:gd name="T8" fmla="+- 0 2826 2810"/>
                <a:gd name="T9" fmla="*/ T8 w 46"/>
                <a:gd name="T10" fmla="+- 0 495 495"/>
                <a:gd name="T11" fmla="*/ 495 h 106"/>
                <a:gd name="T12" fmla="+- 0 2837 2810"/>
                <a:gd name="T13" fmla="*/ T12 w 46"/>
                <a:gd name="T14" fmla="+- 0 495 495"/>
                <a:gd name="T15" fmla="*/ 495 h 106"/>
                <a:gd name="T16" fmla="+- 0 2837 2810"/>
                <a:gd name="T17" fmla="*/ T16 w 46"/>
                <a:gd name="T18" fmla="+- 0 522 495"/>
                <a:gd name="T19" fmla="*/ 52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27" y="27"/>
                  </a:moveTo>
                  <a:lnTo>
                    <a:pt x="16" y="27"/>
                  </a:lnTo>
                  <a:lnTo>
                    <a:pt x="16" y="0"/>
                  </a:lnTo>
                  <a:lnTo>
                    <a:pt x="27" y="0"/>
                  </a:lnTo>
                  <a:lnTo>
                    <a:pt x="27" y="2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1" name="Freeform 4830">
              <a:extLst>
                <a:ext uri="{FF2B5EF4-FFF2-40B4-BE49-F238E27FC236}">
                  <a16:creationId xmlns:a16="http://schemas.microsoft.com/office/drawing/2014/main" id="{2E8D06E4-46A6-909E-1668-8E970E37D14D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56 2810"/>
                <a:gd name="T1" fmla="*/ T0 w 46"/>
                <a:gd name="T2" fmla="+- 0 532 495"/>
                <a:gd name="T3" fmla="*/ 532 h 106"/>
                <a:gd name="T4" fmla="+- 0 2810 2810"/>
                <a:gd name="T5" fmla="*/ T4 w 46"/>
                <a:gd name="T6" fmla="+- 0 532 495"/>
                <a:gd name="T7" fmla="*/ 532 h 106"/>
                <a:gd name="T8" fmla="+- 0 2810 2810"/>
                <a:gd name="T9" fmla="*/ T8 w 46"/>
                <a:gd name="T10" fmla="+- 0 522 495"/>
                <a:gd name="T11" fmla="*/ 522 h 106"/>
                <a:gd name="T12" fmla="+- 0 2856 2810"/>
                <a:gd name="T13" fmla="*/ T12 w 46"/>
                <a:gd name="T14" fmla="+- 0 522 495"/>
                <a:gd name="T15" fmla="*/ 522 h 106"/>
                <a:gd name="T16" fmla="+- 0 2856 2810"/>
                <a:gd name="T17" fmla="*/ T16 w 46"/>
                <a:gd name="T18" fmla="+- 0 532 495"/>
                <a:gd name="T19" fmla="*/ 53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46" y="37"/>
                  </a:moveTo>
                  <a:lnTo>
                    <a:pt x="0" y="37"/>
                  </a:lnTo>
                  <a:lnTo>
                    <a:pt x="0" y="27"/>
                  </a:lnTo>
                  <a:lnTo>
                    <a:pt x="46" y="27"/>
                  </a:lnTo>
                  <a:lnTo>
                    <a:pt x="46" y="3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2" name="Freeform 4829">
              <a:extLst>
                <a:ext uri="{FF2B5EF4-FFF2-40B4-BE49-F238E27FC236}">
                  <a16:creationId xmlns:a16="http://schemas.microsoft.com/office/drawing/2014/main" id="{F8BA3202-9523-86D2-E9DD-2A6C2D324F20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37 2810"/>
                <a:gd name="T1" fmla="*/ T0 w 46"/>
                <a:gd name="T2" fmla="+- 0 601 495"/>
                <a:gd name="T3" fmla="*/ 601 h 106"/>
                <a:gd name="T4" fmla="+- 0 2826 2810"/>
                <a:gd name="T5" fmla="*/ T4 w 46"/>
                <a:gd name="T6" fmla="+- 0 601 495"/>
                <a:gd name="T7" fmla="*/ 601 h 106"/>
                <a:gd name="T8" fmla="+- 0 2826 2810"/>
                <a:gd name="T9" fmla="*/ T8 w 46"/>
                <a:gd name="T10" fmla="+- 0 532 495"/>
                <a:gd name="T11" fmla="*/ 532 h 106"/>
                <a:gd name="T12" fmla="+- 0 2837 2810"/>
                <a:gd name="T13" fmla="*/ T12 w 46"/>
                <a:gd name="T14" fmla="+- 0 532 495"/>
                <a:gd name="T15" fmla="*/ 532 h 106"/>
                <a:gd name="T16" fmla="+- 0 2837 2810"/>
                <a:gd name="T17" fmla="*/ T16 w 46"/>
                <a:gd name="T18" fmla="+- 0 601 495"/>
                <a:gd name="T19" fmla="*/ 601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27" y="106"/>
                  </a:moveTo>
                  <a:lnTo>
                    <a:pt x="16" y="106"/>
                  </a:lnTo>
                  <a:lnTo>
                    <a:pt x="16" y="37"/>
                  </a:lnTo>
                  <a:lnTo>
                    <a:pt x="27" y="37"/>
                  </a:lnTo>
                  <a:lnTo>
                    <a:pt x="27" y="10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02523602-B7DB-3967-324B-4695F26F6E89}"/>
              </a:ext>
            </a:extLst>
          </xdr:cNvPr>
          <xdr:cNvGrpSpPr>
            <a:grpSpLocks/>
          </xdr:cNvGrpSpPr>
        </xdr:nvGrpSpPr>
        <xdr:grpSpPr bwMode="auto">
          <a:xfrm>
            <a:off x="2867" y="520"/>
            <a:ext cx="78" cy="80"/>
            <a:chOff x="2867" y="520"/>
            <a:chExt cx="78" cy="80"/>
          </a:xfrm>
        </xdr:grpSpPr>
        <xdr:sp macro="" textlink="">
          <xdr:nvSpPr>
            <xdr:cNvPr id="27" name="Freeform 4827">
              <a:extLst>
                <a:ext uri="{FF2B5EF4-FFF2-40B4-BE49-F238E27FC236}">
                  <a16:creationId xmlns:a16="http://schemas.microsoft.com/office/drawing/2014/main" id="{698C10F2-47FC-2E0F-5E22-E07D1F913CC3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890 2867"/>
                <a:gd name="T1" fmla="*/ T0 w 78"/>
                <a:gd name="T2" fmla="+- 0 600 520"/>
                <a:gd name="T3" fmla="*/ 600 h 80"/>
                <a:gd name="T4" fmla="+- 0 2876 2867"/>
                <a:gd name="T5" fmla="*/ T4 w 78"/>
                <a:gd name="T6" fmla="+- 0 590 520"/>
                <a:gd name="T7" fmla="*/ 590 h 80"/>
                <a:gd name="T8" fmla="+- 0 2867 2867"/>
                <a:gd name="T9" fmla="*/ T8 w 78"/>
                <a:gd name="T10" fmla="+- 0 571 520"/>
                <a:gd name="T11" fmla="*/ 571 h 80"/>
                <a:gd name="T12" fmla="+- 0 2867 2867"/>
                <a:gd name="T13" fmla="*/ T12 w 78"/>
                <a:gd name="T14" fmla="+- 0 542 520"/>
                <a:gd name="T15" fmla="*/ 542 h 80"/>
                <a:gd name="T16" fmla="+- 0 2881 2867"/>
                <a:gd name="T17" fmla="*/ T16 w 78"/>
                <a:gd name="T18" fmla="+- 0 527 520"/>
                <a:gd name="T19" fmla="*/ 527 h 80"/>
                <a:gd name="T20" fmla="+- 0 2902 2867"/>
                <a:gd name="T21" fmla="*/ T20 w 78"/>
                <a:gd name="T22" fmla="+- 0 520 520"/>
                <a:gd name="T23" fmla="*/ 520 h 80"/>
                <a:gd name="T24" fmla="+- 0 2924 2867"/>
                <a:gd name="T25" fmla="*/ T24 w 78"/>
                <a:gd name="T26" fmla="+- 0 527 520"/>
                <a:gd name="T27" fmla="*/ 527 h 80"/>
                <a:gd name="T28" fmla="+- 0 2928 2867"/>
                <a:gd name="T29" fmla="*/ T28 w 78"/>
                <a:gd name="T30" fmla="+- 0 530 520"/>
                <a:gd name="T31" fmla="*/ 530 h 80"/>
                <a:gd name="T32" fmla="+- 0 2890 2867"/>
                <a:gd name="T33" fmla="*/ T32 w 78"/>
                <a:gd name="T34" fmla="+- 0 530 520"/>
                <a:gd name="T35" fmla="*/ 530 h 80"/>
                <a:gd name="T36" fmla="+- 0 2876 2867"/>
                <a:gd name="T37" fmla="*/ T36 w 78"/>
                <a:gd name="T38" fmla="+- 0 539 520"/>
                <a:gd name="T39" fmla="*/ 539 h 80"/>
                <a:gd name="T40" fmla="+- 0 2873 2867"/>
                <a:gd name="T41" fmla="*/ T40 w 78"/>
                <a:gd name="T42" fmla="+- 0 555 520"/>
                <a:gd name="T43" fmla="*/ 555 h 80"/>
                <a:gd name="T44" fmla="+- 0 2944 2867"/>
                <a:gd name="T45" fmla="*/ T44 w 78"/>
                <a:gd name="T46" fmla="+- 0 555 520"/>
                <a:gd name="T47" fmla="*/ 555 h 80"/>
                <a:gd name="T48" fmla="+- 0 2943 2867"/>
                <a:gd name="T49" fmla="*/ T48 w 78"/>
                <a:gd name="T50" fmla="+- 0 565 520"/>
                <a:gd name="T51" fmla="*/ 565 h 80"/>
                <a:gd name="T52" fmla="+- 0 2943 2867"/>
                <a:gd name="T53" fmla="*/ T52 w 78"/>
                <a:gd name="T54" fmla="+- 0 565 520"/>
                <a:gd name="T55" fmla="*/ 565 h 80"/>
                <a:gd name="T56" fmla="+- 0 2873 2867"/>
                <a:gd name="T57" fmla="*/ T56 w 78"/>
                <a:gd name="T58" fmla="+- 0 565 520"/>
                <a:gd name="T59" fmla="*/ 565 h 80"/>
                <a:gd name="T60" fmla="+- 0 2874 2867"/>
                <a:gd name="T61" fmla="*/ T60 w 78"/>
                <a:gd name="T62" fmla="+- 0 580 520"/>
                <a:gd name="T63" fmla="*/ 580 h 80"/>
                <a:gd name="T64" fmla="+- 0 2888 2867"/>
                <a:gd name="T65" fmla="*/ T64 w 78"/>
                <a:gd name="T66" fmla="+- 0 592 520"/>
                <a:gd name="T67" fmla="*/ 592 h 80"/>
                <a:gd name="T68" fmla="+- 0 2926 2867"/>
                <a:gd name="T69" fmla="*/ T68 w 78"/>
                <a:gd name="T70" fmla="+- 0 592 520"/>
                <a:gd name="T71" fmla="*/ 592 h 80"/>
                <a:gd name="T72" fmla="+- 0 2915 2867"/>
                <a:gd name="T73" fmla="*/ T72 w 78"/>
                <a:gd name="T74" fmla="+- 0 598 520"/>
                <a:gd name="T75" fmla="*/ 598 h 80"/>
                <a:gd name="T76" fmla="+- 0 2890 2867"/>
                <a:gd name="T77" fmla="*/ T76 w 78"/>
                <a:gd name="T78" fmla="+- 0 600 520"/>
                <a:gd name="T7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8" h="80">
                  <a:moveTo>
                    <a:pt x="23" y="80"/>
                  </a:moveTo>
                  <a:lnTo>
                    <a:pt x="9" y="70"/>
                  </a:lnTo>
                  <a:lnTo>
                    <a:pt x="0" y="51"/>
                  </a:lnTo>
                  <a:lnTo>
                    <a:pt x="0" y="22"/>
                  </a:lnTo>
                  <a:lnTo>
                    <a:pt x="14" y="7"/>
                  </a:lnTo>
                  <a:lnTo>
                    <a:pt x="35" y="0"/>
                  </a:lnTo>
                  <a:lnTo>
                    <a:pt x="57" y="7"/>
                  </a:lnTo>
                  <a:lnTo>
                    <a:pt x="61" y="10"/>
                  </a:lnTo>
                  <a:lnTo>
                    <a:pt x="23" y="10"/>
                  </a:lnTo>
                  <a:lnTo>
                    <a:pt x="9" y="19"/>
                  </a:lnTo>
                  <a:lnTo>
                    <a:pt x="6" y="35"/>
                  </a:lnTo>
                  <a:lnTo>
                    <a:pt x="77" y="35"/>
                  </a:lnTo>
                  <a:lnTo>
                    <a:pt x="76" y="45"/>
                  </a:lnTo>
                  <a:lnTo>
                    <a:pt x="6" y="45"/>
                  </a:lnTo>
                  <a:lnTo>
                    <a:pt x="7" y="60"/>
                  </a:lnTo>
                  <a:lnTo>
                    <a:pt x="21" y="72"/>
                  </a:lnTo>
                  <a:lnTo>
                    <a:pt x="59" y="72"/>
                  </a:lnTo>
                  <a:lnTo>
                    <a:pt x="48" y="78"/>
                  </a:lnTo>
                  <a:lnTo>
                    <a:pt x="23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8" name="Freeform 4826">
              <a:extLst>
                <a:ext uri="{FF2B5EF4-FFF2-40B4-BE49-F238E27FC236}">
                  <a16:creationId xmlns:a16="http://schemas.microsoft.com/office/drawing/2014/main" id="{3F1F6FB2-F63E-BED5-0159-FFC269470248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944 2867"/>
                <a:gd name="T1" fmla="*/ T0 w 78"/>
                <a:gd name="T2" fmla="+- 0 555 520"/>
                <a:gd name="T3" fmla="*/ 555 h 80"/>
                <a:gd name="T4" fmla="+- 0 2932 2867"/>
                <a:gd name="T5" fmla="*/ T4 w 78"/>
                <a:gd name="T6" fmla="+- 0 555 520"/>
                <a:gd name="T7" fmla="*/ 555 h 80"/>
                <a:gd name="T8" fmla="+- 0 2929 2867"/>
                <a:gd name="T9" fmla="*/ T8 w 78"/>
                <a:gd name="T10" fmla="+- 0 538 520"/>
                <a:gd name="T11" fmla="*/ 538 h 80"/>
                <a:gd name="T12" fmla="+- 0 2914 2867"/>
                <a:gd name="T13" fmla="*/ T12 w 78"/>
                <a:gd name="T14" fmla="+- 0 530 520"/>
                <a:gd name="T15" fmla="*/ 530 h 80"/>
                <a:gd name="T16" fmla="+- 0 2928 2867"/>
                <a:gd name="T17" fmla="*/ T16 w 78"/>
                <a:gd name="T18" fmla="+- 0 530 520"/>
                <a:gd name="T19" fmla="*/ 530 h 80"/>
                <a:gd name="T20" fmla="+- 0 2937 2867"/>
                <a:gd name="T21" fmla="*/ T20 w 78"/>
                <a:gd name="T22" fmla="+- 0 540 520"/>
                <a:gd name="T23" fmla="*/ 540 h 80"/>
                <a:gd name="T24" fmla="+- 0 2942 2867"/>
                <a:gd name="T25" fmla="*/ T24 w 78"/>
                <a:gd name="T26" fmla="+- 0 547 520"/>
                <a:gd name="T27" fmla="*/ 547 h 80"/>
                <a:gd name="T28" fmla="+- 0 2944 2867"/>
                <a:gd name="T29" fmla="*/ T28 w 78"/>
                <a:gd name="T30" fmla="+- 0 555 520"/>
                <a:gd name="T31" fmla="*/ 555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77" y="35"/>
                  </a:moveTo>
                  <a:lnTo>
                    <a:pt x="65" y="35"/>
                  </a:lnTo>
                  <a:lnTo>
                    <a:pt x="62" y="18"/>
                  </a:lnTo>
                  <a:lnTo>
                    <a:pt x="47" y="10"/>
                  </a:lnTo>
                  <a:lnTo>
                    <a:pt x="61" y="10"/>
                  </a:lnTo>
                  <a:lnTo>
                    <a:pt x="70" y="20"/>
                  </a:lnTo>
                  <a:lnTo>
                    <a:pt x="75" y="27"/>
                  </a:lnTo>
                  <a:lnTo>
                    <a:pt x="77" y="3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9" name="Freeform 4825">
              <a:extLst>
                <a:ext uri="{FF2B5EF4-FFF2-40B4-BE49-F238E27FC236}">
                  <a16:creationId xmlns:a16="http://schemas.microsoft.com/office/drawing/2014/main" id="{F64FE51E-C2B1-299A-6CEA-DA3E39A36604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926 2867"/>
                <a:gd name="T1" fmla="*/ T0 w 78"/>
                <a:gd name="T2" fmla="+- 0 592 520"/>
                <a:gd name="T3" fmla="*/ 592 h 80"/>
                <a:gd name="T4" fmla="+- 0 2902 2867"/>
                <a:gd name="T5" fmla="*/ T4 w 78"/>
                <a:gd name="T6" fmla="+- 0 592 520"/>
                <a:gd name="T7" fmla="*/ 592 h 80"/>
                <a:gd name="T8" fmla="+- 0 2918 2867"/>
                <a:gd name="T9" fmla="*/ T8 w 78"/>
                <a:gd name="T10" fmla="+- 0 592 520"/>
                <a:gd name="T11" fmla="*/ 592 h 80"/>
                <a:gd name="T12" fmla="+- 0 2926 2867"/>
                <a:gd name="T13" fmla="*/ T12 w 78"/>
                <a:gd name="T14" fmla="+- 0 582 520"/>
                <a:gd name="T15" fmla="*/ 582 h 80"/>
                <a:gd name="T16" fmla="+- 0 2930 2867"/>
                <a:gd name="T17" fmla="*/ T16 w 78"/>
                <a:gd name="T18" fmla="+- 0 574 520"/>
                <a:gd name="T19" fmla="*/ 574 h 80"/>
                <a:gd name="T20" fmla="+- 0 2941 2867"/>
                <a:gd name="T21" fmla="*/ T20 w 78"/>
                <a:gd name="T22" fmla="+- 0 574 520"/>
                <a:gd name="T23" fmla="*/ 574 h 80"/>
                <a:gd name="T24" fmla="+- 0 2932 2867"/>
                <a:gd name="T25" fmla="*/ T24 w 78"/>
                <a:gd name="T26" fmla="+- 0 589 520"/>
                <a:gd name="T27" fmla="*/ 589 h 80"/>
                <a:gd name="T28" fmla="+- 0 2926 2867"/>
                <a:gd name="T29" fmla="*/ T28 w 78"/>
                <a:gd name="T30" fmla="+- 0 592 520"/>
                <a:gd name="T31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59" y="72"/>
                  </a:moveTo>
                  <a:lnTo>
                    <a:pt x="35" y="72"/>
                  </a:lnTo>
                  <a:lnTo>
                    <a:pt x="51" y="72"/>
                  </a:lnTo>
                  <a:lnTo>
                    <a:pt x="59" y="62"/>
                  </a:lnTo>
                  <a:lnTo>
                    <a:pt x="63" y="54"/>
                  </a:lnTo>
                  <a:lnTo>
                    <a:pt x="74" y="54"/>
                  </a:lnTo>
                  <a:lnTo>
                    <a:pt x="65" y="69"/>
                  </a:lnTo>
                  <a:lnTo>
                    <a:pt x="59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A1A715EE-E2A5-3CA3-ACE0-527FDB343A3D}"/>
              </a:ext>
            </a:extLst>
          </xdr:cNvPr>
          <xdr:cNvGrpSpPr>
            <a:grpSpLocks/>
          </xdr:cNvGrpSpPr>
        </xdr:nvGrpSpPr>
        <xdr:grpSpPr bwMode="auto">
          <a:xfrm>
            <a:off x="2958" y="495"/>
            <a:ext cx="78" cy="106"/>
            <a:chOff x="2958" y="495"/>
            <a:chExt cx="78" cy="106"/>
          </a:xfrm>
        </xdr:grpSpPr>
        <xdr:sp macro="" textlink="">
          <xdr:nvSpPr>
            <xdr:cNvPr id="23" name="Freeform 4823">
              <a:extLst>
                <a:ext uri="{FF2B5EF4-FFF2-40B4-BE49-F238E27FC236}">
                  <a16:creationId xmlns:a16="http://schemas.microsoft.com/office/drawing/2014/main" id="{A0C0371A-06D0-626C-483D-1C6E10B45FBA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36 2958"/>
                <a:gd name="T1" fmla="*/ T0 w 78"/>
                <a:gd name="T2" fmla="+- 0 535 495"/>
                <a:gd name="T3" fmla="*/ 535 h 106"/>
                <a:gd name="T4" fmla="+- 0 3025 2958"/>
                <a:gd name="T5" fmla="*/ T4 w 78"/>
                <a:gd name="T6" fmla="+- 0 535 495"/>
                <a:gd name="T7" fmla="*/ 535 h 106"/>
                <a:gd name="T8" fmla="+- 0 3025 2958"/>
                <a:gd name="T9" fmla="*/ T8 w 78"/>
                <a:gd name="T10" fmla="+- 0 495 495"/>
                <a:gd name="T11" fmla="*/ 495 h 106"/>
                <a:gd name="T12" fmla="+- 0 3036 2958"/>
                <a:gd name="T13" fmla="*/ T12 w 78"/>
                <a:gd name="T14" fmla="+- 0 495 495"/>
                <a:gd name="T15" fmla="*/ 495 h 106"/>
                <a:gd name="T16" fmla="+- 0 3036 2958"/>
                <a:gd name="T17" fmla="*/ T16 w 78"/>
                <a:gd name="T18" fmla="+- 0 535 495"/>
                <a:gd name="T19" fmla="*/ 535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106">
                  <a:moveTo>
                    <a:pt x="78" y="40"/>
                  </a:moveTo>
                  <a:lnTo>
                    <a:pt x="67" y="40"/>
                  </a:lnTo>
                  <a:lnTo>
                    <a:pt x="67" y="0"/>
                  </a:lnTo>
                  <a:lnTo>
                    <a:pt x="78" y="0"/>
                  </a:lnTo>
                  <a:lnTo>
                    <a:pt x="78" y="4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4" name="Freeform 4822">
              <a:extLst>
                <a:ext uri="{FF2B5EF4-FFF2-40B4-BE49-F238E27FC236}">
                  <a16:creationId xmlns:a16="http://schemas.microsoft.com/office/drawing/2014/main" id="{2BBAC8BB-164C-BC48-3FE1-580EE2A0E86C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2982 2958"/>
                <a:gd name="T1" fmla="*/ T0 w 78"/>
                <a:gd name="T2" fmla="+- 0 600 495"/>
                <a:gd name="T3" fmla="*/ 600 h 106"/>
                <a:gd name="T4" fmla="+- 0 2968 2958"/>
                <a:gd name="T5" fmla="*/ T4 w 78"/>
                <a:gd name="T6" fmla="+- 0 590 495"/>
                <a:gd name="T7" fmla="*/ 590 h 106"/>
                <a:gd name="T8" fmla="+- 0 2959 2958"/>
                <a:gd name="T9" fmla="*/ T8 w 78"/>
                <a:gd name="T10" fmla="+- 0 571 495"/>
                <a:gd name="T11" fmla="*/ 571 h 106"/>
                <a:gd name="T12" fmla="+- 0 2958 2958"/>
                <a:gd name="T13" fmla="*/ T12 w 78"/>
                <a:gd name="T14" fmla="+- 0 543 495"/>
                <a:gd name="T15" fmla="*/ 543 h 106"/>
                <a:gd name="T16" fmla="+- 0 2973 2958"/>
                <a:gd name="T17" fmla="*/ T16 w 78"/>
                <a:gd name="T18" fmla="+- 0 527 495"/>
                <a:gd name="T19" fmla="*/ 527 h 106"/>
                <a:gd name="T20" fmla="+- 0 2996 2958"/>
                <a:gd name="T21" fmla="*/ T20 w 78"/>
                <a:gd name="T22" fmla="+- 0 520 495"/>
                <a:gd name="T23" fmla="*/ 520 h 106"/>
                <a:gd name="T24" fmla="+- 0 3000 2958"/>
                <a:gd name="T25" fmla="*/ T24 w 78"/>
                <a:gd name="T26" fmla="+- 0 520 495"/>
                <a:gd name="T27" fmla="*/ 520 h 106"/>
                <a:gd name="T28" fmla="+- 0 3016 2958"/>
                <a:gd name="T29" fmla="*/ T28 w 78"/>
                <a:gd name="T30" fmla="+- 0 521 495"/>
                <a:gd name="T31" fmla="*/ 521 h 106"/>
                <a:gd name="T32" fmla="+- 0 3023 2958"/>
                <a:gd name="T33" fmla="*/ T32 w 78"/>
                <a:gd name="T34" fmla="+- 0 531 495"/>
                <a:gd name="T35" fmla="*/ 531 h 106"/>
                <a:gd name="T36" fmla="+- 0 2989 2958"/>
                <a:gd name="T37" fmla="*/ T36 w 78"/>
                <a:gd name="T38" fmla="+- 0 531 495"/>
                <a:gd name="T39" fmla="*/ 531 h 106"/>
                <a:gd name="T40" fmla="+- 0 2972 2958"/>
                <a:gd name="T41" fmla="*/ T40 w 78"/>
                <a:gd name="T42" fmla="+- 0 542 495"/>
                <a:gd name="T43" fmla="*/ 542 h 106"/>
                <a:gd name="T44" fmla="+- 0 2965 2958"/>
                <a:gd name="T45" fmla="*/ T44 w 78"/>
                <a:gd name="T46" fmla="+- 0 566 495"/>
                <a:gd name="T47" fmla="*/ 566 h 106"/>
                <a:gd name="T48" fmla="+- 0 2975 2958"/>
                <a:gd name="T49" fmla="*/ T48 w 78"/>
                <a:gd name="T50" fmla="+- 0 585 495"/>
                <a:gd name="T51" fmla="*/ 585 h 106"/>
                <a:gd name="T52" fmla="+- 0 2996 2958"/>
                <a:gd name="T53" fmla="*/ T52 w 78"/>
                <a:gd name="T54" fmla="+- 0 592 495"/>
                <a:gd name="T55" fmla="*/ 592 h 106"/>
                <a:gd name="T56" fmla="+- 0 3021 2958"/>
                <a:gd name="T57" fmla="*/ T56 w 78"/>
                <a:gd name="T58" fmla="+- 0 592 495"/>
                <a:gd name="T59" fmla="*/ 592 h 106"/>
                <a:gd name="T60" fmla="+- 0 3007 2958"/>
                <a:gd name="T61" fmla="*/ T60 w 78"/>
                <a:gd name="T62" fmla="+- 0 599 495"/>
                <a:gd name="T63" fmla="*/ 599 h 106"/>
                <a:gd name="T64" fmla="+- 0 2982 2958"/>
                <a:gd name="T65" fmla="*/ T64 w 78"/>
                <a:gd name="T66" fmla="+- 0 600 495"/>
                <a:gd name="T67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8" h="106">
                  <a:moveTo>
                    <a:pt x="24" y="105"/>
                  </a:moveTo>
                  <a:lnTo>
                    <a:pt x="10" y="95"/>
                  </a:lnTo>
                  <a:lnTo>
                    <a:pt x="1" y="76"/>
                  </a:lnTo>
                  <a:lnTo>
                    <a:pt x="0" y="48"/>
                  </a:lnTo>
                  <a:lnTo>
                    <a:pt x="15" y="32"/>
                  </a:lnTo>
                  <a:lnTo>
                    <a:pt x="38" y="25"/>
                  </a:lnTo>
                  <a:lnTo>
                    <a:pt x="42" y="25"/>
                  </a:lnTo>
                  <a:lnTo>
                    <a:pt x="58" y="26"/>
                  </a:lnTo>
                  <a:lnTo>
                    <a:pt x="65" y="36"/>
                  </a:lnTo>
                  <a:lnTo>
                    <a:pt x="31" y="36"/>
                  </a:lnTo>
                  <a:lnTo>
                    <a:pt x="14" y="47"/>
                  </a:lnTo>
                  <a:lnTo>
                    <a:pt x="7" y="71"/>
                  </a:lnTo>
                  <a:lnTo>
                    <a:pt x="17" y="90"/>
                  </a:lnTo>
                  <a:lnTo>
                    <a:pt x="38" y="97"/>
                  </a:lnTo>
                  <a:lnTo>
                    <a:pt x="63" y="97"/>
                  </a:lnTo>
                  <a:lnTo>
                    <a:pt x="49" y="104"/>
                  </a:lnTo>
                  <a:lnTo>
                    <a:pt x="24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5" name="Freeform 4821">
              <a:extLst>
                <a:ext uri="{FF2B5EF4-FFF2-40B4-BE49-F238E27FC236}">
                  <a16:creationId xmlns:a16="http://schemas.microsoft.com/office/drawing/2014/main" id="{9B4B7FAF-7934-99DF-976F-546FD8FD5F77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21 2958"/>
                <a:gd name="T1" fmla="*/ T0 w 78"/>
                <a:gd name="T2" fmla="+- 0 592 495"/>
                <a:gd name="T3" fmla="*/ 592 h 106"/>
                <a:gd name="T4" fmla="+- 0 2996 2958"/>
                <a:gd name="T5" fmla="*/ T4 w 78"/>
                <a:gd name="T6" fmla="+- 0 592 495"/>
                <a:gd name="T7" fmla="*/ 592 h 106"/>
                <a:gd name="T8" fmla="+- 0 3006 2958"/>
                <a:gd name="T9" fmla="*/ T8 w 78"/>
                <a:gd name="T10" fmla="+- 0 590 495"/>
                <a:gd name="T11" fmla="*/ 590 h 106"/>
                <a:gd name="T12" fmla="+- 0 3020 2958"/>
                <a:gd name="T13" fmla="*/ T12 w 78"/>
                <a:gd name="T14" fmla="+- 0 578 495"/>
                <a:gd name="T15" fmla="*/ 578 h 106"/>
                <a:gd name="T16" fmla="+- 0 3025 2958"/>
                <a:gd name="T17" fmla="*/ T16 w 78"/>
                <a:gd name="T18" fmla="+- 0 552 495"/>
                <a:gd name="T19" fmla="*/ 552 h 106"/>
                <a:gd name="T20" fmla="+- 0 3013 2958"/>
                <a:gd name="T21" fmla="*/ T20 w 78"/>
                <a:gd name="T22" fmla="+- 0 537 495"/>
                <a:gd name="T23" fmla="*/ 537 h 106"/>
                <a:gd name="T24" fmla="+- 0 2989 2958"/>
                <a:gd name="T25" fmla="*/ T24 w 78"/>
                <a:gd name="T26" fmla="+- 0 531 495"/>
                <a:gd name="T27" fmla="*/ 531 h 106"/>
                <a:gd name="T28" fmla="+- 0 3023 2958"/>
                <a:gd name="T29" fmla="*/ T28 w 78"/>
                <a:gd name="T30" fmla="+- 0 531 495"/>
                <a:gd name="T31" fmla="*/ 531 h 106"/>
                <a:gd name="T32" fmla="+- 0 3025 2958"/>
                <a:gd name="T33" fmla="*/ T32 w 78"/>
                <a:gd name="T34" fmla="+- 0 535 495"/>
                <a:gd name="T35" fmla="*/ 535 h 106"/>
                <a:gd name="T36" fmla="+- 0 3036 2958"/>
                <a:gd name="T37" fmla="*/ T36 w 78"/>
                <a:gd name="T38" fmla="+- 0 535 495"/>
                <a:gd name="T39" fmla="*/ 535 h 106"/>
                <a:gd name="T40" fmla="+- 0 3036 2958"/>
                <a:gd name="T41" fmla="*/ T40 w 78"/>
                <a:gd name="T42" fmla="+- 0 592 495"/>
                <a:gd name="T43" fmla="*/ 592 h 106"/>
                <a:gd name="T44" fmla="+- 0 3022 2958"/>
                <a:gd name="T45" fmla="*/ T44 w 78"/>
                <a:gd name="T46" fmla="+- 0 592 495"/>
                <a:gd name="T47" fmla="*/ 592 h 106"/>
                <a:gd name="T48" fmla="+- 0 3021 2958"/>
                <a:gd name="T49" fmla="*/ T48 w 78"/>
                <a:gd name="T50" fmla="+- 0 592 495"/>
                <a:gd name="T51" fmla="*/ 59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78" h="106">
                  <a:moveTo>
                    <a:pt x="63" y="97"/>
                  </a:moveTo>
                  <a:lnTo>
                    <a:pt x="38" y="97"/>
                  </a:lnTo>
                  <a:lnTo>
                    <a:pt x="48" y="95"/>
                  </a:lnTo>
                  <a:lnTo>
                    <a:pt x="62" y="83"/>
                  </a:lnTo>
                  <a:lnTo>
                    <a:pt x="67" y="57"/>
                  </a:lnTo>
                  <a:lnTo>
                    <a:pt x="55" y="42"/>
                  </a:lnTo>
                  <a:lnTo>
                    <a:pt x="31" y="36"/>
                  </a:lnTo>
                  <a:lnTo>
                    <a:pt x="65" y="36"/>
                  </a:lnTo>
                  <a:lnTo>
                    <a:pt x="67" y="40"/>
                  </a:lnTo>
                  <a:lnTo>
                    <a:pt x="78" y="40"/>
                  </a:lnTo>
                  <a:lnTo>
                    <a:pt x="78" y="97"/>
                  </a:lnTo>
                  <a:lnTo>
                    <a:pt x="64" y="97"/>
                  </a:lnTo>
                  <a:lnTo>
                    <a:pt x="63" y="9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6" name="Freeform 4820">
              <a:extLst>
                <a:ext uri="{FF2B5EF4-FFF2-40B4-BE49-F238E27FC236}">
                  <a16:creationId xmlns:a16="http://schemas.microsoft.com/office/drawing/2014/main" id="{DD260555-1E4D-9338-5008-95540C750EC9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36 2958"/>
                <a:gd name="T1" fmla="*/ T0 w 78"/>
                <a:gd name="T2" fmla="+- 0 600 495"/>
                <a:gd name="T3" fmla="*/ 600 h 106"/>
                <a:gd name="T4" fmla="+- 0 3025 2958"/>
                <a:gd name="T5" fmla="*/ T4 w 78"/>
                <a:gd name="T6" fmla="+- 0 600 495"/>
                <a:gd name="T7" fmla="*/ 600 h 106"/>
                <a:gd name="T8" fmla="+- 0 3022 2958"/>
                <a:gd name="T9" fmla="*/ T8 w 78"/>
                <a:gd name="T10" fmla="+- 0 592 495"/>
                <a:gd name="T11" fmla="*/ 592 h 106"/>
                <a:gd name="T12" fmla="+- 0 3036 2958"/>
                <a:gd name="T13" fmla="*/ T12 w 78"/>
                <a:gd name="T14" fmla="+- 0 592 495"/>
                <a:gd name="T15" fmla="*/ 592 h 106"/>
                <a:gd name="T16" fmla="+- 0 3036 2958"/>
                <a:gd name="T17" fmla="*/ T16 w 78"/>
                <a:gd name="T18" fmla="+- 0 600 495"/>
                <a:gd name="T19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106">
                  <a:moveTo>
                    <a:pt x="78" y="105"/>
                  </a:moveTo>
                  <a:lnTo>
                    <a:pt x="67" y="105"/>
                  </a:lnTo>
                  <a:lnTo>
                    <a:pt x="64" y="97"/>
                  </a:lnTo>
                  <a:lnTo>
                    <a:pt x="78" y="97"/>
                  </a:lnTo>
                  <a:lnTo>
                    <a:pt x="78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03C32235-EC19-B167-F5C1-FD651164F3BB}"/>
              </a:ext>
            </a:extLst>
          </xdr:cNvPr>
          <xdr:cNvGrpSpPr>
            <a:grpSpLocks/>
          </xdr:cNvGrpSpPr>
        </xdr:nvGrpSpPr>
        <xdr:grpSpPr bwMode="auto">
          <a:xfrm>
            <a:off x="2174" y="575"/>
            <a:ext cx="28" cy="28"/>
            <a:chOff x="2174" y="575"/>
            <a:chExt cx="28" cy="28"/>
          </a:xfrm>
        </xdr:grpSpPr>
        <xdr:sp macro="" textlink="">
          <xdr:nvSpPr>
            <xdr:cNvPr id="22" name="Freeform 4818">
              <a:extLst>
                <a:ext uri="{FF2B5EF4-FFF2-40B4-BE49-F238E27FC236}">
                  <a16:creationId xmlns:a16="http://schemas.microsoft.com/office/drawing/2014/main" id="{EC4FF6EA-B7AC-CE85-616E-2D6D9D59195B}"/>
                </a:ext>
              </a:extLst>
            </xdr:cNvPr>
            <xdr:cNvSpPr>
              <a:spLocks/>
            </xdr:cNvSpPr>
          </xdr:nvSpPr>
          <xdr:spPr bwMode="auto">
            <a:xfrm>
              <a:off x="2174" y="575"/>
              <a:ext cx="28" cy="28"/>
            </a:xfrm>
            <a:custGeom>
              <a:avLst/>
              <a:gdLst>
                <a:gd name="T0" fmla="+- 0 2195 2174"/>
                <a:gd name="T1" fmla="*/ T0 w 28"/>
                <a:gd name="T2" fmla="+- 0 603 575"/>
                <a:gd name="T3" fmla="*/ 603 h 28"/>
                <a:gd name="T4" fmla="+- 0 2180 2174"/>
                <a:gd name="T5" fmla="*/ T4 w 28"/>
                <a:gd name="T6" fmla="+- 0 603 575"/>
                <a:gd name="T7" fmla="*/ 603 h 28"/>
                <a:gd name="T8" fmla="+- 0 2174 2174"/>
                <a:gd name="T9" fmla="*/ T8 w 28"/>
                <a:gd name="T10" fmla="+- 0 596 575"/>
                <a:gd name="T11" fmla="*/ 596 h 28"/>
                <a:gd name="T12" fmla="+- 0 2174 2174"/>
                <a:gd name="T13" fmla="*/ T12 w 28"/>
                <a:gd name="T14" fmla="+- 0 581 575"/>
                <a:gd name="T15" fmla="*/ 581 h 28"/>
                <a:gd name="T16" fmla="+- 0 2180 2174"/>
                <a:gd name="T17" fmla="*/ T16 w 28"/>
                <a:gd name="T18" fmla="+- 0 575 575"/>
                <a:gd name="T19" fmla="*/ 575 h 28"/>
                <a:gd name="T20" fmla="+- 0 2195 2174"/>
                <a:gd name="T21" fmla="*/ T20 w 28"/>
                <a:gd name="T22" fmla="+- 0 575 575"/>
                <a:gd name="T23" fmla="*/ 575 h 28"/>
                <a:gd name="T24" fmla="+- 0 2201 2174"/>
                <a:gd name="T25" fmla="*/ T24 w 28"/>
                <a:gd name="T26" fmla="+- 0 581 575"/>
                <a:gd name="T27" fmla="*/ 581 h 28"/>
                <a:gd name="T28" fmla="+- 0 2201 2174"/>
                <a:gd name="T29" fmla="*/ T28 w 28"/>
                <a:gd name="T30" fmla="+- 0 596 575"/>
                <a:gd name="T31" fmla="*/ 596 h 28"/>
                <a:gd name="T32" fmla="+- 0 2195 2174"/>
                <a:gd name="T33" fmla="*/ T32 w 28"/>
                <a:gd name="T34" fmla="+- 0 603 575"/>
                <a:gd name="T35" fmla="*/ 603 h 2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8" h="28">
                  <a:moveTo>
                    <a:pt x="21" y="28"/>
                  </a:moveTo>
                  <a:lnTo>
                    <a:pt x="6" y="28"/>
                  </a:lnTo>
                  <a:lnTo>
                    <a:pt x="0" y="21"/>
                  </a:lnTo>
                  <a:lnTo>
                    <a:pt x="0" y="6"/>
                  </a:lnTo>
                  <a:lnTo>
                    <a:pt x="6" y="0"/>
                  </a:lnTo>
                  <a:lnTo>
                    <a:pt x="21" y="0"/>
                  </a:lnTo>
                  <a:lnTo>
                    <a:pt x="27" y="6"/>
                  </a:lnTo>
                  <a:lnTo>
                    <a:pt x="27" y="21"/>
                  </a:lnTo>
                  <a:lnTo>
                    <a:pt x="21" y="2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oneCellAnchor>
    <xdr:from>
      <xdr:col>2</xdr:col>
      <xdr:colOff>704850</xdr:colOff>
      <xdr:row>61</xdr:row>
      <xdr:rowOff>57150</xdr:rowOff>
    </xdr:from>
    <xdr:ext cx="3181350" cy="1504950"/>
    <xdr:pic>
      <xdr:nvPicPr>
        <xdr:cNvPr id="72" name="Picture 71">
          <a:extLst>
            <a:ext uri="{FF2B5EF4-FFF2-40B4-BE49-F238E27FC236}">
              <a16:creationId xmlns:a16="http://schemas.microsoft.com/office/drawing/2014/main" id="{C49A9762-2031-412E-B3E6-9060741E9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" y="8943975"/>
          <a:ext cx="3181350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8</xdr:col>
      <xdr:colOff>126440</xdr:colOff>
      <xdr:row>50</xdr:row>
      <xdr:rowOff>122464</xdr:rowOff>
    </xdr:from>
    <xdr:to>
      <xdr:col>23</xdr:col>
      <xdr:colOff>15705</xdr:colOff>
      <xdr:row>78</xdr:row>
      <xdr:rowOff>168311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EBA3DF11-AD35-A003-F36A-DC5C962D0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70440" y="8896670"/>
          <a:ext cx="8954600" cy="4830535"/>
        </a:xfrm>
        <a:prstGeom prst="rect">
          <a:avLst/>
        </a:prstGeom>
      </xdr:spPr>
    </xdr:pic>
    <xdr:clientData/>
  </xdr:twoCellAnchor>
  <xdr:twoCellAnchor editAs="oneCell">
    <xdr:from>
      <xdr:col>8</xdr:col>
      <xdr:colOff>27709</xdr:colOff>
      <xdr:row>7</xdr:row>
      <xdr:rowOff>94440</xdr:rowOff>
    </xdr:from>
    <xdr:to>
      <xdr:col>22</xdr:col>
      <xdr:colOff>532914</xdr:colOff>
      <xdr:row>44</xdr:row>
      <xdr:rowOff>96981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8151CB-4E75-9E6D-06A4-E2DF36689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13273" y="1438331"/>
          <a:ext cx="9039605" cy="636050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1172883</xdr:colOff>
      <xdr:row>2</xdr:row>
      <xdr:rowOff>44824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4B69E5BB-A815-711F-CF91-D60958E3F136}"/>
            </a:ext>
          </a:extLst>
        </xdr:cNvPr>
        <xdr:cNvGrpSpPr>
          <a:grpSpLocks/>
        </xdr:cNvGrpSpPr>
      </xdr:nvGrpSpPr>
      <xdr:grpSpPr bwMode="auto">
        <a:xfrm>
          <a:off x="0" y="0"/>
          <a:ext cx="1761701" cy="425824"/>
          <a:chOff x="892" y="153"/>
          <a:chExt cx="2144" cy="552"/>
        </a:xfrm>
      </xdr:grpSpPr>
      <xdr:grpSp>
        <xdr:nvGrpSpPr>
          <xdr:cNvPr id="72" name="Group 71">
            <a:extLst>
              <a:ext uri="{FF2B5EF4-FFF2-40B4-BE49-F238E27FC236}">
                <a16:creationId xmlns:a16="http://schemas.microsoft.com/office/drawing/2014/main" id="{7B0F408A-474A-78D0-F8A7-9826DBFED5CE}"/>
              </a:ext>
            </a:extLst>
          </xdr:cNvPr>
          <xdr:cNvGrpSpPr>
            <a:grpSpLocks/>
          </xdr:cNvGrpSpPr>
        </xdr:nvGrpSpPr>
        <xdr:grpSpPr bwMode="auto">
          <a:xfrm>
            <a:off x="892" y="153"/>
            <a:ext cx="1036" cy="452"/>
            <a:chOff x="892" y="153"/>
            <a:chExt cx="1036" cy="452"/>
          </a:xfrm>
        </xdr:grpSpPr>
        <xdr:sp macro="" textlink="">
          <xdr:nvSpPr>
            <xdr:cNvPr id="139" name="Freeform 4884">
              <a:extLst>
                <a:ext uri="{FF2B5EF4-FFF2-40B4-BE49-F238E27FC236}">
                  <a16:creationId xmlns:a16="http://schemas.microsoft.com/office/drawing/2014/main" id="{36740EE2-A41F-BFCF-AE97-0CFC1821C052}"/>
                </a:ext>
              </a:extLst>
            </xdr:cNvPr>
            <xdr:cNvSpPr>
              <a:spLocks/>
            </xdr:cNvSpPr>
          </xdr:nvSpPr>
          <xdr:spPr bwMode="auto">
            <a:xfrm>
              <a:off x="892" y="153"/>
              <a:ext cx="1036" cy="452"/>
            </a:xfrm>
            <a:custGeom>
              <a:avLst/>
              <a:gdLst>
                <a:gd name="T0" fmla="+- 0 1239 892"/>
                <a:gd name="T1" fmla="*/ T0 w 1036"/>
                <a:gd name="T2" fmla="+- 0 604 153"/>
                <a:gd name="T3" fmla="*/ 604 h 452"/>
                <a:gd name="T4" fmla="+- 0 895 892"/>
                <a:gd name="T5" fmla="*/ T4 w 1036"/>
                <a:gd name="T6" fmla="+- 0 604 153"/>
                <a:gd name="T7" fmla="*/ 604 h 452"/>
                <a:gd name="T8" fmla="+- 0 892 892"/>
                <a:gd name="T9" fmla="*/ T8 w 1036"/>
                <a:gd name="T10" fmla="+- 0 601 153"/>
                <a:gd name="T11" fmla="*/ 601 h 452"/>
                <a:gd name="T12" fmla="+- 0 892 892"/>
                <a:gd name="T13" fmla="*/ T12 w 1036"/>
                <a:gd name="T14" fmla="+- 0 595 153"/>
                <a:gd name="T15" fmla="*/ 595 h 452"/>
                <a:gd name="T16" fmla="+- 0 892 892"/>
                <a:gd name="T17" fmla="*/ T16 w 1036"/>
                <a:gd name="T18" fmla="+- 0 594 153"/>
                <a:gd name="T19" fmla="*/ 594 h 452"/>
                <a:gd name="T20" fmla="+- 0 1046 892"/>
                <a:gd name="T21" fmla="*/ T20 w 1036"/>
                <a:gd name="T22" fmla="+- 0 225 153"/>
                <a:gd name="T23" fmla="*/ 225 h 452"/>
                <a:gd name="T24" fmla="+- 0 1087 892"/>
                <a:gd name="T25" fmla="*/ T24 w 1036"/>
                <a:gd name="T26" fmla="+- 0 178 153"/>
                <a:gd name="T27" fmla="*/ 178 h 452"/>
                <a:gd name="T28" fmla="+- 0 1146 892"/>
                <a:gd name="T29" fmla="*/ T28 w 1036"/>
                <a:gd name="T30" fmla="+- 0 155 153"/>
                <a:gd name="T31" fmla="*/ 155 h 452"/>
                <a:gd name="T32" fmla="+- 0 1919 892"/>
                <a:gd name="T33" fmla="*/ T32 w 1036"/>
                <a:gd name="T34" fmla="+- 0 153 153"/>
                <a:gd name="T35" fmla="*/ 153 h 452"/>
                <a:gd name="T36" fmla="+- 0 1923 892"/>
                <a:gd name="T37" fmla="*/ T36 w 1036"/>
                <a:gd name="T38" fmla="+- 0 153 153"/>
                <a:gd name="T39" fmla="*/ 153 h 452"/>
                <a:gd name="T40" fmla="+- 0 1927 892"/>
                <a:gd name="T41" fmla="*/ T40 w 1036"/>
                <a:gd name="T42" fmla="+- 0 156 153"/>
                <a:gd name="T43" fmla="*/ 156 h 452"/>
                <a:gd name="T44" fmla="+- 0 1927 892"/>
                <a:gd name="T45" fmla="*/ T44 w 1036"/>
                <a:gd name="T46" fmla="+- 0 162 153"/>
                <a:gd name="T47" fmla="*/ 162 h 452"/>
                <a:gd name="T48" fmla="+- 0 1927 892"/>
                <a:gd name="T49" fmla="*/ T48 w 1036"/>
                <a:gd name="T50" fmla="+- 0 163 153"/>
                <a:gd name="T51" fmla="*/ 163 h 452"/>
                <a:gd name="T52" fmla="+- 0 1900 892"/>
                <a:gd name="T53" fmla="*/ T52 w 1036"/>
                <a:gd name="T54" fmla="+- 0 227 153"/>
                <a:gd name="T55" fmla="*/ 227 h 452"/>
                <a:gd name="T56" fmla="+- 0 1899 892"/>
                <a:gd name="T57" fmla="*/ T56 w 1036"/>
                <a:gd name="T58" fmla="+- 0 230 153"/>
                <a:gd name="T59" fmla="*/ 230 h 452"/>
                <a:gd name="T60" fmla="+- 0 1896 892"/>
                <a:gd name="T61" fmla="*/ T60 w 1036"/>
                <a:gd name="T62" fmla="+- 0 232 153"/>
                <a:gd name="T63" fmla="*/ 232 h 452"/>
                <a:gd name="T64" fmla="+- 0 1212 892"/>
                <a:gd name="T65" fmla="*/ T64 w 1036"/>
                <a:gd name="T66" fmla="+- 0 233 153"/>
                <a:gd name="T67" fmla="*/ 233 h 452"/>
                <a:gd name="T68" fmla="+- 0 1189 892"/>
                <a:gd name="T69" fmla="*/ T68 w 1036"/>
                <a:gd name="T70" fmla="+- 0 237 153"/>
                <a:gd name="T71" fmla="*/ 237 h 452"/>
                <a:gd name="T72" fmla="+- 0 1135 892"/>
                <a:gd name="T73" fmla="*/ T72 w 1036"/>
                <a:gd name="T74" fmla="+- 0 266 153"/>
                <a:gd name="T75" fmla="*/ 266 h 452"/>
                <a:gd name="T76" fmla="+- 0 1100 892"/>
                <a:gd name="T77" fmla="*/ T76 w 1036"/>
                <a:gd name="T78" fmla="+- 0 330 153"/>
                <a:gd name="T79" fmla="*/ 330 h 452"/>
                <a:gd name="T80" fmla="+- 0 1096 892"/>
                <a:gd name="T81" fmla="*/ T80 w 1036"/>
                <a:gd name="T82" fmla="+- 0 366 153"/>
                <a:gd name="T83" fmla="*/ 366 h 452"/>
                <a:gd name="T84" fmla="+- 0 1098 892"/>
                <a:gd name="T85" fmla="*/ T84 w 1036"/>
                <a:gd name="T86" fmla="+- 0 384 153"/>
                <a:gd name="T87" fmla="*/ 384 h 452"/>
                <a:gd name="T88" fmla="+- 0 1130 892"/>
                <a:gd name="T89" fmla="*/ T88 w 1036"/>
                <a:gd name="T90" fmla="+- 0 446 153"/>
                <a:gd name="T91" fmla="*/ 446 h 452"/>
                <a:gd name="T92" fmla="+- 0 1260 892"/>
                <a:gd name="T93" fmla="*/ T92 w 1036"/>
                <a:gd name="T94" fmla="+- 0 569 153"/>
                <a:gd name="T95" fmla="*/ 569 h 452"/>
                <a:gd name="T96" fmla="+- 0 1264 892"/>
                <a:gd name="T97" fmla="*/ T96 w 1036"/>
                <a:gd name="T98" fmla="+- 0 586 153"/>
                <a:gd name="T99" fmla="*/ 586 h 452"/>
                <a:gd name="T100" fmla="+- 0 1256 892"/>
                <a:gd name="T101" fmla="*/ T100 w 1036"/>
                <a:gd name="T102" fmla="+- 0 599 153"/>
                <a:gd name="T103" fmla="*/ 599 h 452"/>
                <a:gd name="T104" fmla="+- 0 1239 892"/>
                <a:gd name="T105" fmla="*/ T104 w 1036"/>
                <a:gd name="T106" fmla="+- 0 604 153"/>
                <a:gd name="T107" fmla="*/ 604 h 45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  <a:cxn ang="0">
                  <a:pos x="T105" y="T107"/>
                </a:cxn>
              </a:cxnLst>
              <a:rect l="0" t="0" r="r" b="b"/>
              <a:pathLst>
                <a:path w="1036" h="452">
                  <a:moveTo>
                    <a:pt x="347" y="451"/>
                  </a:moveTo>
                  <a:lnTo>
                    <a:pt x="3" y="451"/>
                  </a:lnTo>
                  <a:lnTo>
                    <a:pt x="0" y="448"/>
                  </a:lnTo>
                  <a:lnTo>
                    <a:pt x="0" y="442"/>
                  </a:lnTo>
                  <a:lnTo>
                    <a:pt x="0" y="441"/>
                  </a:lnTo>
                  <a:lnTo>
                    <a:pt x="154" y="72"/>
                  </a:lnTo>
                  <a:lnTo>
                    <a:pt x="195" y="25"/>
                  </a:lnTo>
                  <a:lnTo>
                    <a:pt x="254" y="2"/>
                  </a:lnTo>
                  <a:lnTo>
                    <a:pt x="1027" y="0"/>
                  </a:lnTo>
                  <a:lnTo>
                    <a:pt x="1031" y="0"/>
                  </a:lnTo>
                  <a:lnTo>
                    <a:pt x="1035" y="3"/>
                  </a:lnTo>
                  <a:lnTo>
                    <a:pt x="1035" y="9"/>
                  </a:lnTo>
                  <a:lnTo>
                    <a:pt x="1035" y="10"/>
                  </a:lnTo>
                  <a:lnTo>
                    <a:pt x="1008" y="74"/>
                  </a:lnTo>
                  <a:lnTo>
                    <a:pt x="1007" y="77"/>
                  </a:lnTo>
                  <a:lnTo>
                    <a:pt x="1004" y="79"/>
                  </a:lnTo>
                  <a:lnTo>
                    <a:pt x="320" y="80"/>
                  </a:lnTo>
                  <a:lnTo>
                    <a:pt x="297" y="84"/>
                  </a:lnTo>
                  <a:lnTo>
                    <a:pt x="243" y="113"/>
                  </a:lnTo>
                  <a:lnTo>
                    <a:pt x="208" y="177"/>
                  </a:lnTo>
                  <a:lnTo>
                    <a:pt x="204" y="213"/>
                  </a:lnTo>
                  <a:lnTo>
                    <a:pt x="206" y="231"/>
                  </a:lnTo>
                  <a:lnTo>
                    <a:pt x="238" y="293"/>
                  </a:lnTo>
                  <a:lnTo>
                    <a:pt x="368" y="416"/>
                  </a:lnTo>
                  <a:lnTo>
                    <a:pt x="372" y="433"/>
                  </a:lnTo>
                  <a:lnTo>
                    <a:pt x="364" y="446"/>
                  </a:lnTo>
                  <a:lnTo>
                    <a:pt x="347" y="45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7A7F3249-C671-0F7B-0B00-2141D03804BB}"/>
              </a:ext>
            </a:extLst>
          </xdr:cNvPr>
          <xdr:cNvGrpSpPr>
            <a:grpSpLocks/>
          </xdr:cNvGrpSpPr>
        </xdr:nvGrpSpPr>
        <xdr:grpSpPr bwMode="auto">
          <a:xfrm>
            <a:off x="1554" y="335"/>
            <a:ext cx="299" cy="370"/>
            <a:chOff x="1554" y="335"/>
            <a:chExt cx="299" cy="370"/>
          </a:xfrm>
        </xdr:grpSpPr>
        <xdr:sp macro="" textlink="">
          <xdr:nvSpPr>
            <xdr:cNvPr id="137" name="Freeform 4882">
              <a:extLst>
                <a:ext uri="{FF2B5EF4-FFF2-40B4-BE49-F238E27FC236}">
                  <a16:creationId xmlns:a16="http://schemas.microsoft.com/office/drawing/2014/main" id="{E2F9C538-6DAF-24C6-3408-33EDB622ADE4}"/>
                </a:ext>
              </a:extLst>
            </xdr:cNvPr>
            <xdr:cNvSpPr>
              <a:spLocks/>
            </xdr:cNvSpPr>
          </xdr:nvSpPr>
          <xdr:spPr bwMode="auto">
            <a:xfrm>
              <a:off x="1554" y="335"/>
              <a:ext cx="299" cy="370"/>
            </a:xfrm>
            <a:custGeom>
              <a:avLst/>
              <a:gdLst>
                <a:gd name="T0" fmla="+- 0 1557 1554"/>
                <a:gd name="T1" fmla="*/ T0 w 299"/>
                <a:gd name="T2" fmla="+- 0 705 335"/>
                <a:gd name="T3" fmla="*/ 705 h 370"/>
                <a:gd name="T4" fmla="+- 0 1554 1554"/>
                <a:gd name="T5" fmla="*/ T4 w 299"/>
                <a:gd name="T6" fmla="+- 0 701 335"/>
                <a:gd name="T7" fmla="*/ 701 h 370"/>
                <a:gd name="T8" fmla="+- 0 1554 1554"/>
                <a:gd name="T9" fmla="*/ T8 w 299"/>
                <a:gd name="T10" fmla="+- 0 696 335"/>
                <a:gd name="T11" fmla="*/ 696 h 370"/>
                <a:gd name="T12" fmla="+- 0 1554 1554"/>
                <a:gd name="T13" fmla="*/ T12 w 299"/>
                <a:gd name="T14" fmla="+- 0 694 335"/>
                <a:gd name="T15" fmla="*/ 694 h 370"/>
                <a:gd name="T16" fmla="+- 0 1555 1554"/>
                <a:gd name="T17" fmla="*/ T16 w 299"/>
                <a:gd name="T18" fmla="+- 0 693 335"/>
                <a:gd name="T19" fmla="*/ 693 h 370"/>
                <a:gd name="T20" fmla="+- 0 1701 1554"/>
                <a:gd name="T21" fmla="*/ T20 w 299"/>
                <a:gd name="T22" fmla="+- 0 340 335"/>
                <a:gd name="T23" fmla="*/ 340 h 370"/>
                <a:gd name="T24" fmla="+- 0 1708 1554"/>
                <a:gd name="T25" fmla="*/ T24 w 299"/>
                <a:gd name="T26" fmla="+- 0 335 335"/>
                <a:gd name="T27" fmla="*/ 335 h 370"/>
                <a:gd name="T28" fmla="+- 0 1848 1554"/>
                <a:gd name="T29" fmla="*/ T28 w 299"/>
                <a:gd name="T30" fmla="+- 0 335 335"/>
                <a:gd name="T31" fmla="*/ 335 h 370"/>
                <a:gd name="T32" fmla="+- 0 1852 1554"/>
                <a:gd name="T33" fmla="*/ T32 w 299"/>
                <a:gd name="T34" fmla="+- 0 338 335"/>
                <a:gd name="T35" fmla="*/ 338 h 370"/>
                <a:gd name="T36" fmla="+- 0 1852 1554"/>
                <a:gd name="T37" fmla="*/ T36 w 299"/>
                <a:gd name="T38" fmla="+- 0 340 335"/>
                <a:gd name="T39" fmla="*/ 340 h 370"/>
                <a:gd name="T40" fmla="+- 0 1852 1554"/>
                <a:gd name="T41" fmla="*/ T40 w 299"/>
                <a:gd name="T42" fmla="+- 0 344 335"/>
                <a:gd name="T43" fmla="*/ 344 h 370"/>
                <a:gd name="T44" fmla="+- 0 1852 1554"/>
                <a:gd name="T45" fmla="*/ T44 w 299"/>
                <a:gd name="T46" fmla="+- 0 345 335"/>
                <a:gd name="T47" fmla="*/ 345 h 370"/>
                <a:gd name="T48" fmla="+- 0 1851 1554"/>
                <a:gd name="T49" fmla="*/ T48 w 299"/>
                <a:gd name="T50" fmla="+- 0 345 335"/>
                <a:gd name="T51" fmla="*/ 345 h 370"/>
                <a:gd name="T52" fmla="+- 0 1738 1554"/>
                <a:gd name="T53" fmla="*/ T52 w 299"/>
                <a:gd name="T54" fmla="+- 0 620 335"/>
                <a:gd name="T55" fmla="*/ 620 h 370"/>
                <a:gd name="T56" fmla="+- 0 1731 1554"/>
                <a:gd name="T57" fmla="*/ T56 w 299"/>
                <a:gd name="T58" fmla="+- 0 633 335"/>
                <a:gd name="T59" fmla="*/ 633 h 370"/>
                <a:gd name="T60" fmla="+- 0 1690 1554"/>
                <a:gd name="T61" fmla="*/ T60 w 299"/>
                <a:gd name="T62" fmla="+- 0 679 335"/>
                <a:gd name="T63" fmla="*/ 679 h 370"/>
                <a:gd name="T64" fmla="+- 0 1631 1554"/>
                <a:gd name="T65" fmla="*/ T64 w 299"/>
                <a:gd name="T66" fmla="+- 0 703 335"/>
                <a:gd name="T67" fmla="*/ 703 h 370"/>
                <a:gd name="T68" fmla="+- 0 1609 1554"/>
                <a:gd name="T69" fmla="*/ T68 w 299"/>
                <a:gd name="T70" fmla="+- 0 705 335"/>
                <a:gd name="T71" fmla="*/ 705 h 370"/>
                <a:gd name="T72" fmla="+- 0 1557 1554"/>
                <a:gd name="T73" fmla="*/ T72 w 299"/>
                <a:gd name="T74" fmla="+- 0 705 335"/>
                <a:gd name="T75" fmla="*/ 705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</a:cxnLst>
              <a:rect l="0" t="0" r="r" b="b"/>
              <a:pathLst>
                <a:path w="299" h="370">
                  <a:moveTo>
                    <a:pt x="3" y="370"/>
                  </a:moveTo>
                  <a:lnTo>
                    <a:pt x="0" y="366"/>
                  </a:lnTo>
                  <a:lnTo>
                    <a:pt x="0" y="361"/>
                  </a:lnTo>
                  <a:lnTo>
                    <a:pt x="0" y="359"/>
                  </a:lnTo>
                  <a:lnTo>
                    <a:pt x="1" y="358"/>
                  </a:lnTo>
                  <a:lnTo>
                    <a:pt x="147" y="5"/>
                  </a:lnTo>
                  <a:lnTo>
                    <a:pt x="154" y="0"/>
                  </a:lnTo>
                  <a:lnTo>
                    <a:pt x="294" y="0"/>
                  </a:lnTo>
                  <a:lnTo>
                    <a:pt x="298" y="3"/>
                  </a:lnTo>
                  <a:lnTo>
                    <a:pt x="298" y="5"/>
                  </a:lnTo>
                  <a:lnTo>
                    <a:pt x="298" y="9"/>
                  </a:lnTo>
                  <a:lnTo>
                    <a:pt x="298" y="10"/>
                  </a:lnTo>
                  <a:lnTo>
                    <a:pt x="297" y="10"/>
                  </a:lnTo>
                  <a:lnTo>
                    <a:pt x="184" y="285"/>
                  </a:lnTo>
                  <a:lnTo>
                    <a:pt x="177" y="298"/>
                  </a:lnTo>
                  <a:lnTo>
                    <a:pt x="136" y="344"/>
                  </a:lnTo>
                  <a:lnTo>
                    <a:pt x="77" y="368"/>
                  </a:lnTo>
                  <a:lnTo>
                    <a:pt x="55" y="370"/>
                  </a:lnTo>
                  <a:lnTo>
                    <a:pt x="3" y="3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38" name="Freeform 4881">
              <a:extLst>
                <a:ext uri="{FF2B5EF4-FFF2-40B4-BE49-F238E27FC236}">
                  <a16:creationId xmlns:a16="http://schemas.microsoft.com/office/drawing/2014/main" id="{89C55D25-BD92-6C11-F93A-CBE0AD0DFC84}"/>
                </a:ext>
              </a:extLst>
            </xdr:cNvPr>
            <xdr:cNvSpPr>
              <a:spLocks/>
            </xdr:cNvSpPr>
          </xdr:nvSpPr>
          <xdr:spPr bwMode="auto">
            <a:xfrm>
              <a:off x="1554" y="335"/>
              <a:ext cx="299" cy="370"/>
            </a:xfrm>
            <a:custGeom>
              <a:avLst/>
              <a:gdLst>
                <a:gd name="T0" fmla="+- 0 1738 1554"/>
                <a:gd name="T1" fmla="*/ T0 w 299"/>
                <a:gd name="T2" fmla="+- 0 620 335"/>
                <a:gd name="T3" fmla="*/ 620 h 370"/>
                <a:gd name="T4" fmla="+- 0 1738 1554"/>
                <a:gd name="T5" fmla="*/ T4 w 299"/>
                <a:gd name="T6" fmla="+- 0 620 335"/>
                <a:gd name="T7" fmla="*/ 620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299" h="370">
                  <a:moveTo>
                    <a:pt x="184" y="285"/>
                  </a:moveTo>
                  <a:lnTo>
                    <a:pt x="184" y="28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74" name="Group 73">
            <a:extLst>
              <a:ext uri="{FF2B5EF4-FFF2-40B4-BE49-F238E27FC236}">
                <a16:creationId xmlns:a16="http://schemas.microsoft.com/office/drawing/2014/main" id="{7F09C66E-9998-6409-7CD6-BB9FFF534A07}"/>
              </a:ext>
            </a:extLst>
          </xdr:cNvPr>
          <xdr:cNvGrpSpPr>
            <a:grpSpLocks/>
          </xdr:cNvGrpSpPr>
        </xdr:nvGrpSpPr>
        <xdr:grpSpPr bwMode="auto">
          <a:xfrm>
            <a:off x="1200" y="335"/>
            <a:ext cx="394" cy="370"/>
            <a:chOff x="1200" y="335"/>
            <a:chExt cx="394" cy="370"/>
          </a:xfrm>
        </xdr:grpSpPr>
        <xdr:sp macro="" textlink="">
          <xdr:nvSpPr>
            <xdr:cNvPr id="136" name="Freeform 4879">
              <a:extLst>
                <a:ext uri="{FF2B5EF4-FFF2-40B4-BE49-F238E27FC236}">
                  <a16:creationId xmlns:a16="http://schemas.microsoft.com/office/drawing/2014/main" id="{560F5739-E62E-9384-CD87-279423286869}"/>
                </a:ext>
              </a:extLst>
            </xdr:cNvPr>
            <xdr:cNvSpPr>
              <a:spLocks/>
            </xdr:cNvSpPr>
          </xdr:nvSpPr>
          <xdr:spPr bwMode="auto">
            <a:xfrm>
              <a:off x="1200" y="335"/>
              <a:ext cx="394" cy="370"/>
            </a:xfrm>
            <a:custGeom>
              <a:avLst/>
              <a:gdLst>
                <a:gd name="T0" fmla="+- 0 1439 1200"/>
                <a:gd name="T1" fmla="*/ T0 w 394"/>
                <a:gd name="T2" fmla="+- 0 705 335"/>
                <a:gd name="T3" fmla="*/ 705 h 370"/>
                <a:gd name="T4" fmla="+- 0 1290 1200"/>
                <a:gd name="T5" fmla="*/ T4 w 394"/>
                <a:gd name="T6" fmla="+- 0 705 335"/>
                <a:gd name="T7" fmla="*/ 705 h 370"/>
                <a:gd name="T8" fmla="+- 0 1289 1200"/>
                <a:gd name="T9" fmla="*/ T8 w 394"/>
                <a:gd name="T10" fmla="+- 0 704 335"/>
                <a:gd name="T11" fmla="*/ 704 h 370"/>
                <a:gd name="T12" fmla="+- 0 1289 1200"/>
                <a:gd name="T13" fmla="*/ T12 w 394"/>
                <a:gd name="T14" fmla="+- 0 702 335"/>
                <a:gd name="T15" fmla="*/ 702 h 370"/>
                <a:gd name="T16" fmla="+- 0 1290 1200"/>
                <a:gd name="T17" fmla="*/ T16 w 394"/>
                <a:gd name="T18" fmla="+- 0 701 335"/>
                <a:gd name="T19" fmla="*/ 701 h 370"/>
                <a:gd name="T20" fmla="+- 0 1298 1200"/>
                <a:gd name="T21" fmla="*/ T20 w 394"/>
                <a:gd name="T22" fmla="+- 0 697 335"/>
                <a:gd name="T23" fmla="*/ 697 h 370"/>
                <a:gd name="T24" fmla="+- 0 1312 1200"/>
                <a:gd name="T25" fmla="*/ T24 w 394"/>
                <a:gd name="T26" fmla="+- 0 688 335"/>
                <a:gd name="T27" fmla="*/ 688 h 370"/>
                <a:gd name="T28" fmla="+- 0 1351 1200"/>
                <a:gd name="T29" fmla="*/ T28 w 394"/>
                <a:gd name="T30" fmla="+- 0 641 335"/>
                <a:gd name="T31" fmla="*/ 641 h 370"/>
                <a:gd name="T32" fmla="+- 0 1366 1200"/>
                <a:gd name="T33" fmla="*/ T32 w 394"/>
                <a:gd name="T34" fmla="+- 0 593 335"/>
                <a:gd name="T35" fmla="*/ 593 h 370"/>
                <a:gd name="T36" fmla="+- 0 1366 1200"/>
                <a:gd name="T37" fmla="*/ T36 w 394"/>
                <a:gd name="T38" fmla="+- 0 564 335"/>
                <a:gd name="T39" fmla="*/ 564 h 370"/>
                <a:gd name="T40" fmla="+- 0 1339 1200"/>
                <a:gd name="T41" fmla="*/ T40 w 394"/>
                <a:gd name="T42" fmla="+- 0 503 335"/>
                <a:gd name="T43" fmla="*/ 503 h 370"/>
                <a:gd name="T44" fmla="+- 0 1201 1200"/>
                <a:gd name="T45" fmla="*/ T44 w 394"/>
                <a:gd name="T46" fmla="+- 0 368 335"/>
                <a:gd name="T47" fmla="*/ 368 h 370"/>
                <a:gd name="T48" fmla="+- 0 1200 1200"/>
                <a:gd name="T49" fmla="*/ T48 w 394"/>
                <a:gd name="T50" fmla="+- 0 352 335"/>
                <a:gd name="T51" fmla="*/ 352 h 370"/>
                <a:gd name="T52" fmla="+- 0 1209 1200"/>
                <a:gd name="T53" fmla="*/ T52 w 394"/>
                <a:gd name="T54" fmla="+- 0 340 335"/>
                <a:gd name="T55" fmla="*/ 340 h 370"/>
                <a:gd name="T56" fmla="+- 0 1224 1200"/>
                <a:gd name="T57" fmla="*/ T56 w 394"/>
                <a:gd name="T58" fmla="+- 0 335 335"/>
                <a:gd name="T59" fmla="*/ 335 h 370"/>
                <a:gd name="T60" fmla="+- 0 1590 1200"/>
                <a:gd name="T61" fmla="*/ T60 w 394"/>
                <a:gd name="T62" fmla="+- 0 335 335"/>
                <a:gd name="T63" fmla="*/ 335 h 370"/>
                <a:gd name="T64" fmla="+- 0 1593 1200"/>
                <a:gd name="T65" fmla="*/ T64 w 394"/>
                <a:gd name="T66" fmla="+- 0 338 335"/>
                <a:gd name="T67" fmla="*/ 338 h 370"/>
                <a:gd name="T68" fmla="+- 0 1593 1200"/>
                <a:gd name="T69" fmla="*/ T68 w 394"/>
                <a:gd name="T70" fmla="+- 0 344 335"/>
                <a:gd name="T71" fmla="*/ 344 h 370"/>
                <a:gd name="T72" fmla="+- 0 1593 1200"/>
                <a:gd name="T73" fmla="*/ T72 w 394"/>
                <a:gd name="T74" fmla="+- 0 345 335"/>
                <a:gd name="T75" fmla="*/ 345 h 370"/>
                <a:gd name="T76" fmla="+- 0 1593 1200"/>
                <a:gd name="T77" fmla="*/ T76 w 394"/>
                <a:gd name="T78" fmla="+- 0 345 335"/>
                <a:gd name="T79" fmla="*/ 345 h 370"/>
                <a:gd name="T80" fmla="+- 0 1446 1200"/>
                <a:gd name="T81" fmla="*/ T80 w 394"/>
                <a:gd name="T82" fmla="+- 0 700 335"/>
                <a:gd name="T83" fmla="*/ 700 h 370"/>
                <a:gd name="T84" fmla="+- 0 1439 1200"/>
                <a:gd name="T85" fmla="*/ T84 w 394"/>
                <a:gd name="T86" fmla="+- 0 705 335"/>
                <a:gd name="T87" fmla="*/ 705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</a:cxnLst>
              <a:rect l="0" t="0" r="r" b="b"/>
              <a:pathLst>
                <a:path w="394" h="370">
                  <a:moveTo>
                    <a:pt x="239" y="370"/>
                  </a:moveTo>
                  <a:lnTo>
                    <a:pt x="90" y="370"/>
                  </a:lnTo>
                  <a:lnTo>
                    <a:pt x="89" y="369"/>
                  </a:lnTo>
                  <a:lnTo>
                    <a:pt x="89" y="367"/>
                  </a:lnTo>
                  <a:lnTo>
                    <a:pt x="90" y="366"/>
                  </a:lnTo>
                  <a:lnTo>
                    <a:pt x="98" y="362"/>
                  </a:lnTo>
                  <a:lnTo>
                    <a:pt x="112" y="353"/>
                  </a:lnTo>
                  <a:lnTo>
                    <a:pt x="151" y="306"/>
                  </a:lnTo>
                  <a:lnTo>
                    <a:pt x="166" y="258"/>
                  </a:lnTo>
                  <a:lnTo>
                    <a:pt x="166" y="229"/>
                  </a:lnTo>
                  <a:lnTo>
                    <a:pt x="139" y="168"/>
                  </a:lnTo>
                  <a:lnTo>
                    <a:pt x="1" y="33"/>
                  </a:lnTo>
                  <a:lnTo>
                    <a:pt x="0" y="17"/>
                  </a:lnTo>
                  <a:lnTo>
                    <a:pt x="9" y="5"/>
                  </a:lnTo>
                  <a:lnTo>
                    <a:pt x="24" y="0"/>
                  </a:lnTo>
                  <a:lnTo>
                    <a:pt x="390" y="0"/>
                  </a:lnTo>
                  <a:lnTo>
                    <a:pt x="393" y="3"/>
                  </a:lnTo>
                  <a:lnTo>
                    <a:pt x="393" y="9"/>
                  </a:lnTo>
                  <a:lnTo>
                    <a:pt x="393" y="10"/>
                  </a:lnTo>
                  <a:lnTo>
                    <a:pt x="246" y="365"/>
                  </a:lnTo>
                  <a:lnTo>
                    <a:pt x="239" y="3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75" name="Group 74">
            <a:extLst>
              <a:ext uri="{FF2B5EF4-FFF2-40B4-BE49-F238E27FC236}">
                <a16:creationId xmlns:a16="http://schemas.microsoft.com/office/drawing/2014/main" id="{FB2C5754-83CE-355E-C904-2340AB01C462}"/>
              </a:ext>
            </a:extLst>
          </xdr:cNvPr>
          <xdr:cNvGrpSpPr>
            <a:grpSpLocks/>
          </xdr:cNvGrpSpPr>
        </xdr:nvGrpSpPr>
        <xdr:grpSpPr bwMode="auto">
          <a:xfrm>
            <a:off x="1986" y="492"/>
            <a:ext cx="11" cy="16"/>
            <a:chOff x="1986" y="492"/>
            <a:chExt cx="11" cy="16"/>
          </a:xfrm>
        </xdr:grpSpPr>
        <xdr:sp macro="" textlink="">
          <xdr:nvSpPr>
            <xdr:cNvPr id="135" name="Freeform 4877">
              <a:extLst>
                <a:ext uri="{FF2B5EF4-FFF2-40B4-BE49-F238E27FC236}">
                  <a16:creationId xmlns:a16="http://schemas.microsoft.com/office/drawing/2014/main" id="{2BB026E7-5662-18B6-B4DC-45AE72AF6B14}"/>
                </a:ext>
              </a:extLst>
            </xdr:cNvPr>
            <xdr:cNvSpPr>
              <a:spLocks/>
            </xdr:cNvSpPr>
          </xdr:nvSpPr>
          <xdr:spPr bwMode="auto">
            <a:xfrm>
              <a:off x="1986" y="492"/>
              <a:ext cx="11" cy="16"/>
            </a:xfrm>
            <a:custGeom>
              <a:avLst/>
              <a:gdLst>
                <a:gd name="T0" fmla="+- 0 1986 1986"/>
                <a:gd name="T1" fmla="*/ T0 w 11"/>
                <a:gd name="T2" fmla="+- 0 500 492"/>
                <a:gd name="T3" fmla="*/ 500 h 16"/>
                <a:gd name="T4" fmla="+- 0 1997 1986"/>
                <a:gd name="T5" fmla="*/ T4 w 11"/>
                <a:gd name="T6" fmla="+- 0 500 492"/>
                <a:gd name="T7" fmla="*/ 500 h 1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11" h="16">
                  <a:moveTo>
                    <a:pt x="0" y="8"/>
                  </a:moveTo>
                  <a:lnTo>
                    <a:pt x="11" y="8"/>
                  </a:lnTo>
                </a:path>
              </a:pathLst>
            </a:custGeom>
            <a:noFill/>
            <a:ln w="11238">
              <a:solidFill>
                <a:srgbClr val="001E4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76" name="Group 75">
            <a:extLst>
              <a:ext uri="{FF2B5EF4-FFF2-40B4-BE49-F238E27FC236}">
                <a16:creationId xmlns:a16="http://schemas.microsoft.com/office/drawing/2014/main" id="{D7777CE8-8891-3913-C26D-731A239BFB57}"/>
              </a:ext>
            </a:extLst>
          </xdr:cNvPr>
          <xdr:cNvGrpSpPr>
            <a:grpSpLocks/>
          </xdr:cNvGrpSpPr>
        </xdr:nvGrpSpPr>
        <xdr:grpSpPr bwMode="auto">
          <a:xfrm>
            <a:off x="1927" y="495"/>
            <a:ext cx="36" cy="106"/>
            <a:chOff x="1927" y="495"/>
            <a:chExt cx="36" cy="106"/>
          </a:xfrm>
        </xdr:grpSpPr>
        <xdr:sp macro="" textlink="">
          <xdr:nvSpPr>
            <xdr:cNvPr id="133" name="Freeform 4875">
              <a:extLst>
                <a:ext uri="{FF2B5EF4-FFF2-40B4-BE49-F238E27FC236}">
                  <a16:creationId xmlns:a16="http://schemas.microsoft.com/office/drawing/2014/main" id="{FD569957-D0D7-37DB-E9D8-FE1167AD72D7}"/>
                </a:ext>
              </a:extLst>
            </xdr:cNvPr>
            <xdr:cNvSpPr>
              <a:spLocks/>
            </xdr:cNvSpPr>
          </xdr:nvSpPr>
          <xdr:spPr bwMode="auto">
            <a:xfrm>
              <a:off x="1927" y="495"/>
              <a:ext cx="36" cy="106"/>
            </a:xfrm>
            <a:custGeom>
              <a:avLst/>
              <a:gdLst>
                <a:gd name="T0" fmla="+- 0 1951 1927"/>
                <a:gd name="T1" fmla="*/ T0 w 36"/>
                <a:gd name="T2" fmla="+- 0 591 495"/>
                <a:gd name="T3" fmla="*/ 591 h 106"/>
                <a:gd name="T4" fmla="+- 0 1940 1927"/>
                <a:gd name="T5" fmla="*/ T4 w 36"/>
                <a:gd name="T6" fmla="+- 0 591 495"/>
                <a:gd name="T7" fmla="*/ 591 h 106"/>
                <a:gd name="T8" fmla="+- 0 1940 1927"/>
                <a:gd name="T9" fmla="*/ T8 w 36"/>
                <a:gd name="T10" fmla="+- 0 505 495"/>
                <a:gd name="T11" fmla="*/ 505 h 106"/>
                <a:gd name="T12" fmla="+- 0 1928 1927"/>
                <a:gd name="T13" fmla="*/ T12 w 36"/>
                <a:gd name="T14" fmla="+- 0 505 495"/>
                <a:gd name="T15" fmla="*/ 505 h 106"/>
                <a:gd name="T16" fmla="+- 0 1928 1927"/>
                <a:gd name="T17" fmla="*/ T16 w 36"/>
                <a:gd name="T18" fmla="+- 0 495 495"/>
                <a:gd name="T19" fmla="*/ 495 h 106"/>
                <a:gd name="T20" fmla="+- 0 1951 1927"/>
                <a:gd name="T21" fmla="*/ T20 w 36"/>
                <a:gd name="T22" fmla="+- 0 495 495"/>
                <a:gd name="T23" fmla="*/ 495 h 106"/>
                <a:gd name="T24" fmla="+- 0 1951 1927"/>
                <a:gd name="T25" fmla="*/ T24 w 36"/>
                <a:gd name="T26" fmla="+- 0 591 495"/>
                <a:gd name="T27" fmla="*/ 591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6" h="106">
                  <a:moveTo>
                    <a:pt x="24" y="96"/>
                  </a:moveTo>
                  <a:lnTo>
                    <a:pt x="13" y="96"/>
                  </a:lnTo>
                  <a:lnTo>
                    <a:pt x="13" y="10"/>
                  </a:lnTo>
                  <a:lnTo>
                    <a:pt x="1" y="10"/>
                  </a:lnTo>
                  <a:lnTo>
                    <a:pt x="1" y="0"/>
                  </a:lnTo>
                  <a:lnTo>
                    <a:pt x="24" y="0"/>
                  </a:lnTo>
                  <a:lnTo>
                    <a:pt x="24" y="9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34" name="Freeform 4874">
              <a:extLst>
                <a:ext uri="{FF2B5EF4-FFF2-40B4-BE49-F238E27FC236}">
                  <a16:creationId xmlns:a16="http://schemas.microsoft.com/office/drawing/2014/main" id="{5E843C38-ADA8-C701-06D9-E657DA055699}"/>
                </a:ext>
              </a:extLst>
            </xdr:cNvPr>
            <xdr:cNvSpPr>
              <a:spLocks/>
            </xdr:cNvSpPr>
          </xdr:nvSpPr>
          <xdr:spPr bwMode="auto">
            <a:xfrm>
              <a:off x="1927" y="495"/>
              <a:ext cx="36" cy="106"/>
            </a:xfrm>
            <a:custGeom>
              <a:avLst/>
              <a:gdLst>
                <a:gd name="T0" fmla="+- 0 1963 1927"/>
                <a:gd name="T1" fmla="*/ T0 w 36"/>
                <a:gd name="T2" fmla="+- 0 600 495"/>
                <a:gd name="T3" fmla="*/ 600 h 106"/>
                <a:gd name="T4" fmla="+- 0 1927 1927"/>
                <a:gd name="T5" fmla="*/ T4 w 36"/>
                <a:gd name="T6" fmla="+- 0 600 495"/>
                <a:gd name="T7" fmla="*/ 600 h 106"/>
                <a:gd name="T8" fmla="+- 0 1927 1927"/>
                <a:gd name="T9" fmla="*/ T8 w 36"/>
                <a:gd name="T10" fmla="+- 0 591 495"/>
                <a:gd name="T11" fmla="*/ 591 h 106"/>
                <a:gd name="T12" fmla="+- 0 1963 1927"/>
                <a:gd name="T13" fmla="*/ T12 w 36"/>
                <a:gd name="T14" fmla="+- 0 591 495"/>
                <a:gd name="T15" fmla="*/ 591 h 106"/>
                <a:gd name="T16" fmla="+- 0 1963 1927"/>
                <a:gd name="T17" fmla="*/ T16 w 36"/>
                <a:gd name="T18" fmla="+- 0 600 495"/>
                <a:gd name="T19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6" h="106">
                  <a:moveTo>
                    <a:pt x="36" y="105"/>
                  </a:moveTo>
                  <a:lnTo>
                    <a:pt x="0" y="105"/>
                  </a:lnTo>
                  <a:lnTo>
                    <a:pt x="0" y="96"/>
                  </a:lnTo>
                  <a:lnTo>
                    <a:pt x="36" y="96"/>
                  </a:lnTo>
                  <a:lnTo>
                    <a:pt x="36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77" name="Group 76">
            <a:extLst>
              <a:ext uri="{FF2B5EF4-FFF2-40B4-BE49-F238E27FC236}">
                <a16:creationId xmlns:a16="http://schemas.microsoft.com/office/drawing/2014/main" id="{4A782EEC-8C7B-8781-3764-CE571C9BBAD9}"/>
              </a:ext>
            </a:extLst>
          </xdr:cNvPr>
          <xdr:cNvGrpSpPr>
            <a:grpSpLocks/>
          </xdr:cNvGrpSpPr>
        </xdr:nvGrpSpPr>
        <xdr:grpSpPr bwMode="auto">
          <a:xfrm>
            <a:off x="1976" y="522"/>
            <a:ext cx="36" cy="79"/>
            <a:chOff x="1976" y="522"/>
            <a:chExt cx="36" cy="79"/>
          </a:xfrm>
        </xdr:grpSpPr>
        <xdr:sp macro="" textlink="">
          <xdr:nvSpPr>
            <xdr:cNvPr id="131" name="Freeform 4872">
              <a:extLst>
                <a:ext uri="{FF2B5EF4-FFF2-40B4-BE49-F238E27FC236}">
                  <a16:creationId xmlns:a16="http://schemas.microsoft.com/office/drawing/2014/main" id="{5D14012C-F1A7-7B64-74B5-D6D3E0F8D115}"/>
                </a:ext>
              </a:extLst>
            </xdr:cNvPr>
            <xdr:cNvSpPr>
              <a:spLocks/>
            </xdr:cNvSpPr>
          </xdr:nvSpPr>
          <xdr:spPr bwMode="auto">
            <a:xfrm>
              <a:off x="1976" y="522"/>
              <a:ext cx="36" cy="79"/>
            </a:xfrm>
            <a:custGeom>
              <a:avLst/>
              <a:gdLst>
                <a:gd name="T0" fmla="+- 0 1999 1976"/>
                <a:gd name="T1" fmla="*/ T0 w 36"/>
                <a:gd name="T2" fmla="+- 0 591 522"/>
                <a:gd name="T3" fmla="*/ 591 h 79"/>
                <a:gd name="T4" fmla="+- 0 1989 1976"/>
                <a:gd name="T5" fmla="*/ T4 w 36"/>
                <a:gd name="T6" fmla="+- 0 591 522"/>
                <a:gd name="T7" fmla="*/ 591 h 79"/>
                <a:gd name="T8" fmla="+- 0 1989 1976"/>
                <a:gd name="T9" fmla="*/ T8 w 36"/>
                <a:gd name="T10" fmla="+- 0 532 522"/>
                <a:gd name="T11" fmla="*/ 532 h 79"/>
                <a:gd name="T12" fmla="+- 0 1976 1976"/>
                <a:gd name="T13" fmla="*/ T12 w 36"/>
                <a:gd name="T14" fmla="+- 0 532 522"/>
                <a:gd name="T15" fmla="*/ 532 h 79"/>
                <a:gd name="T16" fmla="+- 0 1976 1976"/>
                <a:gd name="T17" fmla="*/ T16 w 36"/>
                <a:gd name="T18" fmla="+- 0 522 522"/>
                <a:gd name="T19" fmla="*/ 522 h 79"/>
                <a:gd name="T20" fmla="+- 0 1999 1976"/>
                <a:gd name="T21" fmla="*/ T20 w 36"/>
                <a:gd name="T22" fmla="+- 0 522 522"/>
                <a:gd name="T23" fmla="*/ 522 h 79"/>
                <a:gd name="T24" fmla="+- 0 1999 1976"/>
                <a:gd name="T25" fmla="*/ T24 w 36"/>
                <a:gd name="T26" fmla="+- 0 591 522"/>
                <a:gd name="T27" fmla="*/ 591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6" h="79">
                  <a:moveTo>
                    <a:pt x="23" y="69"/>
                  </a:moveTo>
                  <a:lnTo>
                    <a:pt x="13" y="69"/>
                  </a:lnTo>
                  <a:lnTo>
                    <a:pt x="13" y="10"/>
                  </a:lnTo>
                  <a:lnTo>
                    <a:pt x="0" y="10"/>
                  </a:lnTo>
                  <a:lnTo>
                    <a:pt x="0" y="0"/>
                  </a:lnTo>
                  <a:lnTo>
                    <a:pt x="23" y="0"/>
                  </a:lnTo>
                  <a:lnTo>
                    <a:pt x="23" y="6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32" name="Freeform 4871">
              <a:extLst>
                <a:ext uri="{FF2B5EF4-FFF2-40B4-BE49-F238E27FC236}">
                  <a16:creationId xmlns:a16="http://schemas.microsoft.com/office/drawing/2014/main" id="{8FE9D4D5-19EA-EEA8-C25D-D40A1AA961DF}"/>
                </a:ext>
              </a:extLst>
            </xdr:cNvPr>
            <xdr:cNvSpPr>
              <a:spLocks/>
            </xdr:cNvSpPr>
          </xdr:nvSpPr>
          <xdr:spPr bwMode="auto">
            <a:xfrm>
              <a:off x="1976" y="522"/>
              <a:ext cx="36" cy="79"/>
            </a:xfrm>
            <a:custGeom>
              <a:avLst/>
              <a:gdLst>
                <a:gd name="T0" fmla="+- 0 2011 1976"/>
                <a:gd name="T1" fmla="*/ T0 w 36"/>
                <a:gd name="T2" fmla="+- 0 600 522"/>
                <a:gd name="T3" fmla="*/ 600 h 79"/>
                <a:gd name="T4" fmla="+- 0 1976 1976"/>
                <a:gd name="T5" fmla="*/ T4 w 36"/>
                <a:gd name="T6" fmla="+- 0 600 522"/>
                <a:gd name="T7" fmla="*/ 600 h 79"/>
                <a:gd name="T8" fmla="+- 0 1976 1976"/>
                <a:gd name="T9" fmla="*/ T8 w 36"/>
                <a:gd name="T10" fmla="+- 0 591 522"/>
                <a:gd name="T11" fmla="*/ 591 h 79"/>
                <a:gd name="T12" fmla="+- 0 2011 1976"/>
                <a:gd name="T13" fmla="*/ T12 w 36"/>
                <a:gd name="T14" fmla="+- 0 591 522"/>
                <a:gd name="T15" fmla="*/ 591 h 79"/>
                <a:gd name="T16" fmla="+- 0 2011 1976"/>
                <a:gd name="T17" fmla="*/ T16 w 36"/>
                <a:gd name="T18" fmla="+- 0 600 522"/>
                <a:gd name="T19" fmla="*/ 600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6" h="79">
                  <a:moveTo>
                    <a:pt x="35" y="78"/>
                  </a:moveTo>
                  <a:lnTo>
                    <a:pt x="0" y="78"/>
                  </a:lnTo>
                  <a:lnTo>
                    <a:pt x="0" y="69"/>
                  </a:lnTo>
                  <a:lnTo>
                    <a:pt x="35" y="69"/>
                  </a:lnTo>
                  <a:lnTo>
                    <a:pt x="35" y="7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78" name="Group 77">
            <a:extLst>
              <a:ext uri="{FF2B5EF4-FFF2-40B4-BE49-F238E27FC236}">
                <a16:creationId xmlns:a16="http://schemas.microsoft.com/office/drawing/2014/main" id="{44376BAE-0041-8D0D-1740-052C255FE545}"/>
              </a:ext>
            </a:extLst>
          </xdr:cNvPr>
          <xdr:cNvGrpSpPr>
            <a:grpSpLocks/>
          </xdr:cNvGrpSpPr>
        </xdr:nvGrpSpPr>
        <xdr:grpSpPr bwMode="auto">
          <a:xfrm>
            <a:off x="2022" y="494"/>
            <a:ext cx="39" cy="107"/>
            <a:chOff x="2022" y="494"/>
            <a:chExt cx="39" cy="107"/>
          </a:xfrm>
        </xdr:grpSpPr>
        <xdr:sp macro="" textlink="">
          <xdr:nvSpPr>
            <xdr:cNvPr id="127" name="Freeform 4869">
              <a:extLst>
                <a:ext uri="{FF2B5EF4-FFF2-40B4-BE49-F238E27FC236}">
                  <a16:creationId xmlns:a16="http://schemas.microsoft.com/office/drawing/2014/main" id="{856E3ED9-8B66-29DA-C1B4-76029F7E8072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45 2022"/>
                <a:gd name="T1" fmla="*/ T0 w 39"/>
                <a:gd name="T2" fmla="+- 0 522 494"/>
                <a:gd name="T3" fmla="*/ 522 h 107"/>
                <a:gd name="T4" fmla="+- 0 2035 2022"/>
                <a:gd name="T5" fmla="*/ T4 w 39"/>
                <a:gd name="T6" fmla="+- 0 522 494"/>
                <a:gd name="T7" fmla="*/ 522 h 107"/>
                <a:gd name="T8" fmla="+- 0 2035 2022"/>
                <a:gd name="T9" fmla="*/ T8 w 39"/>
                <a:gd name="T10" fmla="+- 0 521 494"/>
                <a:gd name="T11" fmla="*/ 521 h 107"/>
                <a:gd name="T12" fmla="+- 0 2035 2022"/>
                <a:gd name="T13" fmla="*/ T12 w 39"/>
                <a:gd name="T14" fmla="+- 0 513 494"/>
                <a:gd name="T15" fmla="*/ 513 h 107"/>
                <a:gd name="T16" fmla="+- 0 2035 2022"/>
                <a:gd name="T17" fmla="*/ T16 w 39"/>
                <a:gd name="T18" fmla="+- 0 506 494"/>
                <a:gd name="T19" fmla="*/ 506 h 107"/>
                <a:gd name="T20" fmla="+- 0 2042 2022"/>
                <a:gd name="T21" fmla="*/ T20 w 39"/>
                <a:gd name="T22" fmla="+- 0 500 494"/>
                <a:gd name="T23" fmla="*/ 500 h 107"/>
                <a:gd name="T24" fmla="+- 0 2046 2022"/>
                <a:gd name="T25" fmla="*/ T24 w 39"/>
                <a:gd name="T26" fmla="+- 0 496 494"/>
                <a:gd name="T27" fmla="*/ 496 h 107"/>
                <a:gd name="T28" fmla="+- 0 2052 2022"/>
                <a:gd name="T29" fmla="*/ T28 w 39"/>
                <a:gd name="T30" fmla="+- 0 494 494"/>
                <a:gd name="T31" fmla="*/ 494 h 107"/>
                <a:gd name="T32" fmla="+- 0 2061 2022"/>
                <a:gd name="T33" fmla="*/ T32 w 39"/>
                <a:gd name="T34" fmla="+- 0 494 494"/>
                <a:gd name="T35" fmla="*/ 494 h 107"/>
                <a:gd name="T36" fmla="+- 0 2061 2022"/>
                <a:gd name="T37" fmla="*/ T36 w 39"/>
                <a:gd name="T38" fmla="+- 0 503 494"/>
                <a:gd name="T39" fmla="*/ 503 h 107"/>
                <a:gd name="T40" fmla="+- 0 2056 2022"/>
                <a:gd name="T41" fmla="*/ T40 w 39"/>
                <a:gd name="T42" fmla="+- 0 503 494"/>
                <a:gd name="T43" fmla="*/ 503 h 107"/>
                <a:gd name="T44" fmla="+- 0 2053 2022"/>
                <a:gd name="T45" fmla="*/ T44 w 39"/>
                <a:gd name="T46" fmla="+- 0 505 494"/>
                <a:gd name="T47" fmla="*/ 505 h 107"/>
                <a:gd name="T48" fmla="+- 0 2050 2022"/>
                <a:gd name="T49" fmla="*/ T48 w 39"/>
                <a:gd name="T50" fmla="+- 0 507 494"/>
                <a:gd name="T51" fmla="*/ 507 h 107"/>
                <a:gd name="T52" fmla="+- 0 2045 2022"/>
                <a:gd name="T53" fmla="*/ T52 w 39"/>
                <a:gd name="T54" fmla="+- 0 510 494"/>
                <a:gd name="T55" fmla="*/ 510 h 107"/>
                <a:gd name="T56" fmla="+- 0 2045 2022"/>
                <a:gd name="T57" fmla="*/ T56 w 39"/>
                <a:gd name="T58" fmla="+- 0 515 494"/>
                <a:gd name="T59" fmla="*/ 515 h 107"/>
                <a:gd name="T60" fmla="+- 0 2045 2022"/>
                <a:gd name="T61" fmla="*/ T60 w 39"/>
                <a:gd name="T62" fmla="+- 0 521 494"/>
                <a:gd name="T63" fmla="*/ 521 h 107"/>
                <a:gd name="T64" fmla="+- 0 2045 2022"/>
                <a:gd name="T65" fmla="*/ T64 w 39"/>
                <a:gd name="T66" fmla="+- 0 522 494"/>
                <a:gd name="T67" fmla="*/ 522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39" h="107">
                  <a:moveTo>
                    <a:pt x="23" y="28"/>
                  </a:moveTo>
                  <a:lnTo>
                    <a:pt x="13" y="28"/>
                  </a:lnTo>
                  <a:lnTo>
                    <a:pt x="13" y="27"/>
                  </a:lnTo>
                  <a:lnTo>
                    <a:pt x="13" y="19"/>
                  </a:lnTo>
                  <a:lnTo>
                    <a:pt x="13" y="12"/>
                  </a:lnTo>
                  <a:lnTo>
                    <a:pt x="20" y="6"/>
                  </a:lnTo>
                  <a:lnTo>
                    <a:pt x="24" y="2"/>
                  </a:lnTo>
                  <a:lnTo>
                    <a:pt x="30" y="0"/>
                  </a:lnTo>
                  <a:lnTo>
                    <a:pt x="39" y="0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31" y="11"/>
                  </a:lnTo>
                  <a:lnTo>
                    <a:pt x="28" y="13"/>
                  </a:lnTo>
                  <a:lnTo>
                    <a:pt x="23" y="16"/>
                  </a:lnTo>
                  <a:lnTo>
                    <a:pt x="23" y="21"/>
                  </a:lnTo>
                  <a:lnTo>
                    <a:pt x="23" y="27"/>
                  </a:lnTo>
                  <a:lnTo>
                    <a:pt x="23" y="2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28" name="Freeform 4868">
              <a:extLst>
                <a:ext uri="{FF2B5EF4-FFF2-40B4-BE49-F238E27FC236}">
                  <a16:creationId xmlns:a16="http://schemas.microsoft.com/office/drawing/2014/main" id="{34DAF0FB-6404-FD29-859E-0FA3DAE07086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58 2022"/>
                <a:gd name="T1" fmla="*/ T0 w 39"/>
                <a:gd name="T2" fmla="+- 0 533 494"/>
                <a:gd name="T3" fmla="*/ 533 h 107"/>
                <a:gd name="T4" fmla="+- 0 2022 2022"/>
                <a:gd name="T5" fmla="*/ T4 w 39"/>
                <a:gd name="T6" fmla="+- 0 533 494"/>
                <a:gd name="T7" fmla="*/ 533 h 107"/>
                <a:gd name="T8" fmla="+- 0 2022 2022"/>
                <a:gd name="T9" fmla="*/ T8 w 39"/>
                <a:gd name="T10" fmla="+- 0 522 494"/>
                <a:gd name="T11" fmla="*/ 522 h 107"/>
                <a:gd name="T12" fmla="+- 0 2058 2022"/>
                <a:gd name="T13" fmla="*/ T12 w 39"/>
                <a:gd name="T14" fmla="+- 0 522 494"/>
                <a:gd name="T15" fmla="*/ 522 h 107"/>
                <a:gd name="T16" fmla="+- 0 2058 2022"/>
                <a:gd name="T17" fmla="*/ T16 w 39"/>
                <a:gd name="T18" fmla="+- 0 533 494"/>
                <a:gd name="T19" fmla="*/ 533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36" y="39"/>
                  </a:moveTo>
                  <a:lnTo>
                    <a:pt x="0" y="39"/>
                  </a:lnTo>
                  <a:lnTo>
                    <a:pt x="0" y="28"/>
                  </a:lnTo>
                  <a:lnTo>
                    <a:pt x="36" y="28"/>
                  </a:lnTo>
                  <a:lnTo>
                    <a:pt x="36" y="3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29" name="Freeform 4867">
              <a:extLst>
                <a:ext uri="{FF2B5EF4-FFF2-40B4-BE49-F238E27FC236}">
                  <a16:creationId xmlns:a16="http://schemas.microsoft.com/office/drawing/2014/main" id="{13E25C2A-7887-DA1E-CFA8-92A4040D0D13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45 2022"/>
                <a:gd name="T1" fmla="*/ T0 w 39"/>
                <a:gd name="T2" fmla="+- 0 591 494"/>
                <a:gd name="T3" fmla="*/ 591 h 107"/>
                <a:gd name="T4" fmla="+- 0 2035 2022"/>
                <a:gd name="T5" fmla="*/ T4 w 39"/>
                <a:gd name="T6" fmla="+- 0 591 494"/>
                <a:gd name="T7" fmla="*/ 591 h 107"/>
                <a:gd name="T8" fmla="+- 0 2035 2022"/>
                <a:gd name="T9" fmla="*/ T8 w 39"/>
                <a:gd name="T10" fmla="+- 0 533 494"/>
                <a:gd name="T11" fmla="*/ 533 h 107"/>
                <a:gd name="T12" fmla="+- 0 2045 2022"/>
                <a:gd name="T13" fmla="*/ T12 w 39"/>
                <a:gd name="T14" fmla="+- 0 533 494"/>
                <a:gd name="T15" fmla="*/ 533 h 107"/>
                <a:gd name="T16" fmla="+- 0 2045 2022"/>
                <a:gd name="T17" fmla="*/ T16 w 39"/>
                <a:gd name="T18" fmla="+- 0 591 494"/>
                <a:gd name="T19" fmla="*/ 591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23" y="97"/>
                  </a:moveTo>
                  <a:lnTo>
                    <a:pt x="13" y="97"/>
                  </a:lnTo>
                  <a:lnTo>
                    <a:pt x="13" y="39"/>
                  </a:lnTo>
                  <a:lnTo>
                    <a:pt x="23" y="39"/>
                  </a:lnTo>
                  <a:lnTo>
                    <a:pt x="23" y="9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30" name="Freeform 4866">
              <a:extLst>
                <a:ext uri="{FF2B5EF4-FFF2-40B4-BE49-F238E27FC236}">
                  <a16:creationId xmlns:a16="http://schemas.microsoft.com/office/drawing/2014/main" id="{7D29852B-2AD6-3366-FDE2-9A04DD2A1E49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58 2022"/>
                <a:gd name="T1" fmla="*/ T0 w 39"/>
                <a:gd name="T2" fmla="+- 0 601 494"/>
                <a:gd name="T3" fmla="*/ 601 h 107"/>
                <a:gd name="T4" fmla="+- 0 2022 2022"/>
                <a:gd name="T5" fmla="*/ T4 w 39"/>
                <a:gd name="T6" fmla="+- 0 601 494"/>
                <a:gd name="T7" fmla="*/ 601 h 107"/>
                <a:gd name="T8" fmla="+- 0 2022 2022"/>
                <a:gd name="T9" fmla="*/ T8 w 39"/>
                <a:gd name="T10" fmla="+- 0 591 494"/>
                <a:gd name="T11" fmla="*/ 591 h 107"/>
                <a:gd name="T12" fmla="+- 0 2058 2022"/>
                <a:gd name="T13" fmla="*/ T12 w 39"/>
                <a:gd name="T14" fmla="+- 0 591 494"/>
                <a:gd name="T15" fmla="*/ 591 h 107"/>
                <a:gd name="T16" fmla="+- 0 2058 2022"/>
                <a:gd name="T17" fmla="*/ T16 w 39"/>
                <a:gd name="T18" fmla="+- 0 601 494"/>
                <a:gd name="T19" fmla="*/ 601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36" y="107"/>
                  </a:moveTo>
                  <a:lnTo>
                    <a:pt x="0" y="107"/>
                  </a:lnTo>
                  <a:lnTo>
                    <a:pt x="0" y="97"/>
                  </a:lnTo>
                  <a:lnTo>
                    <a:pt x="36" y="97"/>
                  </a:lnTo>
                  <a:lnTo>
                    <a:pt x="36" y="10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79" name="Group 78">
            <a:extLst>
              <a:ext uri="{FF2B5EF4-FFF2-40B4-BE49-F238E27FC236}">
                <a16:creationId xmlns:a16="http://schemas.microsoft.com/office/drawing/2014/main" id="{7877A472-E0F1-0BD7-92C0-C8540E6ED9BE}"/>
              </a:ext>
            </a:extLst>
          </xdr:cNvPr>
          <xdr:cNvGrpSpPr>
            <a:grpSpLocks/>
          </xdr:cNvGrpSpPr>
        </xdr:nvGrpSpPr>
        <xdr:grpSpPr bwMode="auto">
          <a:xfrm>
            <a:off x="2076" y="522"/>
            <a:ext cx="76" cy="79"/>
            <a:chOff x="2076" y="522"/>
            <a:chExt cx="76" cy="79"/>
          </a:xfrm>
        </xdr:grpSpPr>
        <xdr:sp macro="" textlink="">
          <xdr:nvSpPr>
            <xdr:cNvPr id="124" name="Freeform 4864">
              <a:extLst>
                <a:ext uri="{FF2B5EF4-FFF2-40B4-BE49-F238E27FC236}">
                  <a16:creationId xmlns:a16="http://schemas.microsoft.com/office/drawing/2014/main" id="{FE458E10-EDC8-F206-4963-898829B61DA7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01 2076"/>
                <a:gd name="T1" fmla="*/ T0 w 76"/>
                <a:gd name="T2" fmla="+- 0 601 522"/>
                <a:gd name="T3" fmla="*/ 601 h 79"/>
                <a:gd name="T4" fmla="+- 0 2087 2076"/>
                <a:gd name="T5" fmla="*/ T4 w 76"/>
                <a:gd name="T6" fmla="+- 0 591 522"/>
                <a:gd name="T7" fmla="*/ 591 h 79"/>
                <a:gd name="T8" fmla="+- 0 2078 2076"/>
                <a:gd name="T9" fmla="*/ T8 w 76"/>
                <a:gd name="T10" fmla="+- 0 573 522"/>
                <a:gd name="T11" fmla="*/ 573 h 79"/>
                <a:gd name="T12" fmla="+- 0 2076 2076"/>
                <a:gd name="T13" fmla="*/ T12 w 76"/>
                <a:gd name="T14" fmla="+- 0 545 522"/>
                <a:gd name="T15" fmla="*/ 545 h 79"/>
                <a:gd name="T16" fmla="+- 0 2091 2076"/>
                <a:gd name="T17" fmla="*/ T16 w 76"/>
                <a:gd name="T18" fmla="+- 0 529 522"/>
                <a:gd name="T19" fmla="*/ 529 h 79"/>
                <a:gd name="T20" fmla="+- 0 2112 2076"/>
                <a:gd name="T21" fmla="*/ T20 w 76"/>
                <a:gd name="T22" fmla="+- 0 522 522"/>
                <a:gd name="T23" fmla="*/ 522 h 79"/>
                <a:gd name="T24" fmla="+- 0 2130 2076"/>
                <a:gd name="T25" fmla="*/ T24 w 76"/>
                <a:gd name="T26" fmla="+- 0 527 522"/>
                <a:gd name="T27" fmla="*/ 527 h 79"/>
                <a:gd name="T28" fmla="+- 0 2136 2076"/>
                <a:gd name="T29" fmla="*/ T28 w 76"/>
                <a:gd name="T30" fmla="+- 0 532 522"/>
                <a:gd name="T31" fmla="*/ 532 h 79"/>
                <a:gd name="T32" fmla="+- 0 2098 2076"/>
                <a:gd name="T33" fmla="*/ T32 w 76"/>
                <a:gd name="T34" fmla="+- 0 532 522"/>
                <a:gd name="T35" fmla="*/ 532 h 79"/>
                <a:gd name="T36" fmla="+- 0 2085 2076"/>
                <a:gd name="T37" fmla="*/ T36 w 76"/>
                <a:gd name="T38" fmla="+- 0 543 522"/>
                <a:gd name="T39" fmla="*/ 543 h 79"/>
                <a:gd name="T40" fmla="+- 0 2083 2076"/>
                <a:gd name="T41" fmla="*/ T40 w 76"/>
                <a:gd name="T42" fmla="+- 0 557 522"/>
                <a:gd name="T43" fmla="*/ 557 h 79"/>
                <a:gd name="T44" fmla="+- 0 2150 2076"/>
                <a:gd name="T45" fmla="*/ T44 w 76"/>
                <a:gd name="T46" fmla="+- 0 557 522"/>
                <a:gd name="T47" fmla="*/ 557 h 79"/>
                <a:gd name="T48" fmla="+- 0 2152 2076"/>
                <a:gd name="T49" fmla="*/ T48 w 76"/>
                <a:gd name="T50" fmla="+- 0 563 522"/>
                <a:gd name="T51" fmla="*/ 563 h 79"/>
                <a:gd name="T52" fmla="+- 0 2152 2076"/>
                <a:gd name="T53" fmla="*/ T52 w 76"/>
                <a:gd name="T54" fmla="+- 0 566 522"/>
                <a:gd name="T55" fmla="*/ 566 h 79"/>
                <a:gd name="T56" fmla="+- 0 2083 2076"/>
                <a:gd name="T57" fmla="*/ T56 w 76"/>
                <a:gd name="T58" fmla="+- 0 566 522"/>
                <a:gd name="T59" fmla="*/ 566 h 79"/>
                <a:gd name="T60" fmla="+- 0 2084 2076"/>
                <a:gd name="T61" fmla="*/ T60 w 76"/>
                <a:gd name="T62" fmla="+- 0 581 522"/>
                <a:gd name="T63" fmla="*/ 581 h 79"/>
                <a:gd name="T64" fmla="+- 0 2097 2076"/>
                <a:gd name="T65" fmla="*/ T64 w 76"/>
                <a:gd name="T66" fmla="+- 0 593 522"/>
                <a:gd name="T67" fmla="*/ 593 h 79"/>
                <a:gd name="T68" fmla="+- 0 2135 2076"/>
                <a:gd name="T69" fmla="*/ T68 w 76"/>
                <a:gd name="T70" fmla="+- 0 593 522"/>
                <a:gd name="T71" fmla="*/ 593 h 79"/>
                <a:gd name="T72" fmla="+- 0 2126 2076"/>
                <a:gd name="T73" fmla="*/ T72 w 76"/>
                <a:gd name="T74" fmla="+- 0 598 522"/>
                <a:gd name="T75" fmla="*/ 598 h 79"/>
                <a:gd name="T76" fmla="+- 0 2101 2076"/>
                <a:gd name="T77" fmla="*/ T76 w 76"/>
                <a:gd name="T78" fmla="+- 0 601 522"/>
                <a:gd name="T79" fmla="*/ 601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6" h="79">
                  <a:moveTo>
                    <a:pt x="25" y="79"/>
                  </a:moveTo>
                  <a:lnTo>
                    <a:pt x="11" y="69"/>
                  </a:lnTo>
                  <a:lnTo>
                    <a:pt x="2" y="51"/>
                  </a:lnTo>
                  <a:lnTo>
                    <a:pt x="0" y="23"/>
                  </a:lnTo>
                  <a:lnTo>
                    <a:pt x="15" y="7"/>
                  </a:lnTo>
                  <a:lnTo>
                    <a:pt x="36" y="0"/>
                  </a:lnTo>
                  <a:lnTo>
                    <a:pt x="54" y="5"/>
                  </a:lnTo>
                  <a:lnTo>
                    <a:pt x="60" y="10"/>
                  </a:lnTo>
                  <a:lnTo>
                    <a:pt x="22" y="10"/>
                  </a:lnTo>
                  <a:lnTo>
                    <a:pt x="9" y="21"/>
                  </a:lnTo>
                  <a:lnTo>
                    <a:pt x="7" y="35"/>
                  </a:lnTo>
                  <a:lnTo>
                    <a:pt x="74" y="35"/>
                  </a:lnTo>
                  <a:lnTo>
                    <a:pt x="76" y="41"/>
                  </a:lnTo>
                  <a:lnTo>
                    <a:pt x="76" y="44"/>
                  </a:lnTo>
                  <a:lnTo>
                    <a:pt x="7" y="44"/>
                  </a:lnTo>
                  <a:lnTo>
                    <a:pt x="8" y="59"/>
                  </a:lnTo>
                  <a:lnTo>
                    <a:pt x="21" y="71"/>
                  </a:lnTo>
                  <a:lnTo>
                    <a:pt x="59" y="71"/>
                  </a:lnTo>
                  <a:lnTo>
                    <a:pt x="50" y="76"/>
                  </a:lnTo>
                  <a:lnTo>
                    <a:pt x="25" y="7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25" name="Freeform 4863">
              <a:extLst>
                <a:ext uri="{FF2B5EF4-FFF2-40B4-BE49-F238E27FC236}">
                  <a16:creationId xmlns:a16="http://schemas.microsoft.com/office/drawing/2014/main" id="{3632687F-EB27-29B6-4BF4-21E55CC986A3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50 2076"/>
                <a:gd name="T1" fmla="*/ T0 w 76"/>
                <a:gd name="T2" fmla="+- 0 557 522"/>
                <a:gd name="T3" fmla="*/ 557 h 79"/>
                <a:gd name="T4" fmla="+- 0 2142 2076"/>
                <a:gd name="T5" fmla="*/ T4 w 76"/>
                <a:gd name="T6" fmla="+- 0 557 522"/>
                <a:gd name="T7" fmla="*/ 557 h 79"/>
                <a:gd name="T8" fmla="+- 0 2139 2076"/>
                <a:gd name="T9" fmla="*/ T8 w 76"/>
                <a:gd name="T10" fmla="+- 0 543 522"/>
                <a:gd name="T11" fmla="*/ 543 h 79"/>
                <a:gd name="T12" fmla="+- 0 2127 2076"/>
                <a:gd name="T13" fmla="*/ T12 w 76"/>
                <a:gd name="T14" fmla="+- 0 532 522"/>
                <a:gd name="T15" fmla="*/ 532 h 79"/>
                <a:gd name="T16" fmla="+- 0 2136 2076"/>
                <a:gd name="T17" fmla="*/ T16 w 76"/>
                <a:gd name="T18" fmla="+- 0 532 522"/>
                <a:gd name="T19" fmla="*/ 532 h 79"/>
                <a:gd name="T20" fmla="+- 0 2146 2076"/>
                <a:gd name="T21" fmla="*/ T20 w 76"/>
                <a:gd name="T22" fmla="+- 0 541 522"/>
                <a:gd name="T23" fmla="*/ 541 h 79"/>
                <a:gd name="T24" fmla="+- 0 2150 2076"/>
                <a:gd name="T25" fmla="*/ T24 w 76"/>
                <a:gd name="T26" fmla="+- 0 557 522"/>
                <a:gd name="T27" fmla="*/ 557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76" h="79">
                  <a:moveTo>
                    <a:pt x="74" y="35"/>
                  </a:moveTo>
                  <a:lnTo>
                    <a:pt x="66" y="35"/>
                  </a:lnTo>
                  <a:lnTo>
                    <a:pt x="63" y="21"/>
                  </a:lnTo>
                  <a:lnTo>
                    <a:pt x="51" y="10"/>
                  </a:lnTo>
                  <a:lnTo>
                    <a:pt x="60" y="10"/>
                  </a:lnTo>
                  <a:lnTo>
                    <a:pt x="70" y="19"/>
                  </a:lnTo>
                  <a:lnTo>
                    <a:pt x="74" y="3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26" name="Freeform 4862">
              <a:extLst>
                <a:ext uri="{FF2B5EF4-FFF2-40B4-BE49-F238E27FC236}">
                  <a16:creationId xmlns:a16="http://schemas.microsoft.com/office/drawing/2014/main" id="{83603DAD-F19C-62CE-460F-FC8B76DB6029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35 2076"/>
                <a:gd name="T1" fmla="*/ T0 w 76"/>
                <a:gd name="T2" fmla="+- 0 593 522"/>
                <a:gd name="T3" fmla="*/ 593 h 79"/>
                <a:gd name="T4" fmla="+- 0 2123 2076"/>
                <a:gd name="T5" fmla="*/ T4 w 76"/>
                <a:gd name="T6" fmla="+- 0 593 522"/>
                <a:gd name="T7" fmla="*/ 593 h 79"/>
                <a:gd name="T8" fmla="+- 0 2132 2076"/>
                <a:gd name="T9" fmla="*/ T8 w 76"/>
                <a:gd name="T10" fmla="+- 0 587 522"/>
                <a:gd name="T11" fmla="*/ 587 h 79"/>
                <a:gd name="T12" fmla="+- 0 2137 2076"/>
                <a:gd name="T13" fmla="*/ T12 w 76"/>
                <a:gd name="T14" fmla="+- 0 578 522"/>
                <a:gd name="T15" fmla="*/ 578 h 79"/>
                <a:gd name="T16" fmla="+- 0 2138 2076"/>
                <a:gd name="T17" fmla="*/ T16 w 76"/>
                <a:gd name="T18" fmla="+- 0 578 522"/>
                <a:gd name="T19" fmla="*/ 578 h 79"/>
                <a:gd name="T20" fmla="+- 0 2149 2076"/>
                <a:gd name="T21" fmla="*/ T20 w 76"/>
                <a:gd name="T22" fmla="+- 0 578 522"/>
                <a:gd name="T23" fmla="*/ 578 h 79"/>
                <a:gd name="T24" fmla="+- 0 2142 2076"/>
                <a:gd name="T25" fmla="*/ T24 w 76"/>
                <a:gd name="T26" fmla="+- 0 588 522"/>
                <a:gd name="T27" fmla="*/ 588 h 79"/>
                <a:gd name="T28" fmla="+- 0 2135 2076"/>
                <a:gd name="T29" fmla="*/ T28 w 76"/>
                <a:gd name="T30" fmla="+- 0 593 522"/>
                <a:gd name="T31" fmla="*/ 593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6" h="79">
                  <a:moveTo>
                    <a:pt x="59" y="71"/>
                  </a:moveTo>
                  <a:lnTo>
                    <a:pt x="47" y="71"/>
                  </a:lnTo>
                  <a:lnTo>
                    <a:pt x="56" y="65"/>
                  </a:lnTo>
                  <a:lnTo>
                    <a:pt x="61" y="56"/>
                  </a:lnTo>
                  <a:lnTo>
                    <a:pt x="62" y="56"/>
                  </a:lnTo>
                  <a:lnTo>
                    <a:pt x="73" y="56"/>
                  </a:lnTo>
                  <a:lnTo>
                    <a:pt x="66" y="66"/>
                  </a:lnTo>
                  <a:lnTo>
                    <a:pt x="59" y="7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80" name="Group 79">
            <a:extLst>
              <a:ext uri="{FF2B5EF4-FFF2-40B4-BE49-F238E27FC236}">
                <a16:creationId xmlns:a16="http://schemas.microsoft.com/office/drawing/2014/main" id="{A106A317-D0A0-B225-86C9-297D21D0324C}"/>
              </a:ext>
            </a:extLst>
          </xdr:cNvPr>
          <xdr:cNvGrpSpPr>
            <a:grpSpLocks/>
          </xdr:cNvGrpSpPr>
        </xdr:nvGrpSpPr>
        <xdr:grpSpPr bwMode="auto">
          <a:xfrm>
            <a:off x="2228" y="520"/>
            <a:ext cx="78" cy="81"/>
            <a:chOff x="2228" y="520"/>
            <a:chExt cx="78" cy="81"/>
          </a:xfrm>
        </xdr:grpSpPr>
        <xdr:sp macro="" textlink="">
          <xdr:nvSpPr>
            <xdr:cNvPr id="120" name="Freeform 4860">
              <a:extLst>
                <a:ext uri="{FF2B5EF4-FFF2-40B4-BE49-F238E27FC236}">
                  <a16:creationId xmlns:a16="http://schemas.microsoft.com/office/drawing/2014/main" id="{83B948C6-CC1B-BA6D-5B67-4F60B49AE624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274 2228"/>
                <a:gd name="T1" fmla="*/ T0 w 78"/>
                <a:gd name="T2" fmla="+- 0 600 520"/>
                <a:gd name="T3" fmla="*/ 600 h 81"/>
                <a:gd name="T4" fmla="+- 0 2252 2228"/>
                <a:gd name="T5" fmla="*/ T4 w 78"/>
                <a:gd name="T6" fmla="+- 0 600 520"/>
                <a:gd name="T7" fmla="*/ 600 h 81"/>
                <a:gd name="T8" fmla="+- 0 2238 2228"/>
                <a:gd name="T9" fmla="*/ T8 w 78"/>
                <a:gd name="T10" fmla="+- 0 590 520"/>
                <a:gd name="T11" fmla="*/ 590 h 81"/>
                <a:gd name="T12" fmla="+- 0 2229 2228"/>
                <a:gd name="T13" fmla="*/ T12 w 78"/>
                <a:gd name="T14" fmla="+- 0 571 520"/>
                <a:gd name="T15" fmla="*/ 571 h 81"/>
                <a:gd name="T16" fmla="+- 0 2228 2228"/>
                <a:gd name="T17" fmla="*/ T16 w 78"/>
                <a:gd name="T18" fmla="+- 0 543 520"/>
                <a:gd name="T19" fmla="*/ 543 h 81"/>
                <a:gd name="T20" fmla="+- 0 2243 2228"/>
                <a:gd name="T21" fmla="*/ T20 w 78"/>
                <a:gd name="T22" fmla="+- 0 527 520"/>
                <a:gd name="T23" fmla="*/ 527 h 81"/>
                <a:gd name="T24" fmla="+- 0 2266 2228"/>
                <a:gd name="T25" fmla="*/ T24 w 78"/>
                <a:gd name="T26" fmla="+- 0 520 520"/>
                <a:gd name="T27" fmla="*/ 520 h 81"/>
                <a:gd name="T28" fmla="+- 0 2272 2228"/>
                <a:gd name="T29" fmla="*/ T28 w 78"/>
                <a:gd name="T30" fmla="+- 0 520 520"/>
                <a:gd name="T31" fmla="*/ 520 h 81"/>
                <a:gd name="T32" fmla="+- 0 2286 2228"/>
                <a:gd name="T33" fmla="*/ T32 w 78"/>
                <a:gd name="T34" fmla="+- 0 522 520"/>
                <a:gd name="T35" fmla="*/ 522 h 81"/>
                <a:gd name="T36" fmla="+- 0 2293 2228"/>
                <a:gd name="T37" fmla="*/ T36 w 78"/>
                <a:gd name="T38" fmla="+- 0 531 520"/>
                <a:gd name="T39" fmla="*/ 531 h 81"/>
                <a:gd name="T40" fmla="+- 0 2259 2228"/>
                <a:gd name="T41" fmla="*/ T40 w 78"/>
                <a:gd name="T42" fmla="+- 0 531 520"/>
                <a:gd name="T43" fmla="*/ 531 h 81"/>
                <a:gd name="T44" fmla="+- 0 2242 2228"/>
                <a:gd name="T45" fmla="*/ T44 w 78"/>
                <a:gd name="T46" fmla="+- 0 542 520"/>
                <a:gd name="T47" fmla="*/ 542 h 81"/>
                <a:gd name="T48" fmla="+- 0 2235 2228"/>
                <a:gd name="T49" fmla="*/ T48 w 78"/>
                <a:gd name="T50" fmla="+- 0 566 520"/>
                <a:gd name="T51" fmla="*/ 566 h 81"/>
                <a:gd name="T52" fmla="+- 0 2245 2228"/>
                <a:gd name="T53" fmla="*/ T52 w 78"/>
                <a:gd name="T54" fmla="+- 0 585 520"/>
                <a:gd name="T55" fmla="*/ 585 h 81"/>
                <a:gd name="T56" fmla="+- 0 2266 2228"/>
                <a:gd name="T57" fmla="*/ T56 w 78"/>
                <a:gd name="T58" fmla="+- 0 592 520"/>
                <a:gd name="T59" fmla="*/ 592 h 81"/>
                <a:gd name="T60" fmla="+- 0 2306 2228"/>
                <a:gd name="T61" fmla="*/ T60 w 78"/>
                <a:gd name="T62" fmla="+- 0 592 520"/>
                <a:gd name="T63" fmla="*/ 592 h 81"/>
                <a:gd name="T64" fmla="+- 0 2306 2228"/>
                <a:gd name="T65" fmla="*/ T64 w 78"/>
                <a:gd name="T66" fmla="+- 0 593 520"/>
                <a:gd name="T67" fmla="*/ 593 h 81"/>
                <a:gd name="T68" fmla="+- 0 2291 2228"/>
                <a:gd name="T69" fmla="*/ T68 w 78"/>
                <a:gd name="T70" fmla="+- 0 593 520"/>
                <a:gd name="T71" fmla="*/ 593 h 81"/>
                <a:gd name="T72" fmla="+- 0 2274 2228"/>
                <a:gd name="T73" fmla="*/ T72 w 78"/>
                <a:gd name="T74" fmla="+- 0 600 520"/>
                <a:gd name="T75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</a:cxnLst>
              <a:rect l="0" t="0" r="r" b="b"/>
              <a:pathLst>
                <a:path w="78" h="81">
                  <a:moveTo>
                    <a:pt x="46" y="80"/>
                  </a:moveTo>
                  <a:lnTo>
                    <a:pt x="24" y="80"/>
                  </a:lnTo>
                  <a:lnTo>
                    <a:pt x="10" y="70"/>
                  </a:lnTo>
                  <a:lnTo>
                    <a:pt x="1" y="51"/>
                  </a:lnTo>
                  <a:lnTo>
                    <a:pt x="0" y="23"/>
                  </a:lnTo>
                  <a:lnTo>
                    <a:pt x="15" y="7"/>
                  </a:lnTo>
                  <a:lnTo>
                    <a:pt x="38" y="0"/>
                  </a:lnTo>
                  <a:lnTo>
                    <a:pt x="44" y="0"/>
                  </a:lnTo>
                  <a:lnTo>
                    <a:pt x="58" y="2"/>
                  </a:lnTo>
                  <a:lnTo>
                    <a:pt x="65" y="11"/>
                  </a:lnTo>
                  <a:lnTo>
                    <a:pt x="31" y="11"/>
                  </a:lnTo>
                  <a:lnTo>
                    <a:pt x="14" y="22"/>
                  </a:lnTo>
                  <a:lnTo>
                    <a:pt x="7" y="46"/>
                  </a:lnTo>
                  <a:lnTo>
                    <a:pt x="17" y="65"/>
                  </a:lnTo>
                  <a:lnTo>
                    <a:pt x="38" y="72"/>
                  </a:lnTo>
                  <a:lnTo>
                    <a:pt x="78" y="72"/>
                  </a:lnTo>
                  <a:lnTo>
                    <a:pt x="78" y="73"/>
                  </a:lnTo>
                  <a:lnTo>
                    <a:pt x="63" y="73"/>
                  </a:lnTo>
                  <a:lnTo>
                    <a:pt x="46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21" name="Freeform 4859">
              <a:extLst>
                <a:ext uri="{FF2B5EF4-FFF2-40B4-BE49-F238E27FC236}">
                  <a16:creationId xmlns:a16="http://schemas.microsoft.com/office/drawing/2014/main" id="{A22A18D6-6F00-1993-15AF-3F6CD612180D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535 520"/>
                <a:gd name="T3" fmla="*/ 535 h 81"/>
                <a:gd name="T4" fmla="+- 0 2295 2228"/>
                <a:gd name="T5" fmla="*/ T4 w 78"/>
                <a:gd name="T6" fmla="+- 0 535 520"/>
                <a:gd name="T7" fmla="*/ 535 h 81"/>
                <a:gd name="T8" fmla="+- 0 2295 2228"/>
                <a:gd name="T9" fmla="*/ T8 w 78"/>
                <a:gd name="T10" fmla="+- 0 522 520"/>
                <a:gd name="T11" fmla="*/ 522 h 81"/>
                <a:gd name="T12" fmla="+- 0 2306 2228"/>
                <a:gd name="T13" fmla="*/ T12 w 78"/>
                <a:gd name="T14" fmla="+- 0 522 520"/>
                <a:gd name="T15" fmla="*/ 522 h 81"/>
                <a:gd name="T16" fmla="+- 0 2306 2228"/>
                <a:gd name="T17" fmla="*/ T16 w 78"/>
                <a:gd name="T18" fmla="+- 0 535 520"/>
                <a:gd name="T19" fmla="*/ 535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81">
                  <a:moveTo>
                    <a:pt x="78" y="15"/>
                  </a:moveTo>
                  <a:lnTo>
                    <a:pt x="67" y="15"/>
                  </a:lnTo>
                  <a:lnTo>
                    <a:pt x="67" y="2"/>
                  </a:lnTo>
                  <a:lnTo>
                    <a:pt x="78" y="2"/>
                  </a:lnTo>
                  <a:lnTo>
                    <a:pt x="78" y="1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22" name="Freeform 4858">
              <a:extLst>
                <a:ext uri="{FF2B5EF4-FFF2-40B4-BE49-F238E27FC236}">
                  <a16:creationId xmlns:a16="http://schemas.microsoft.com/office/drawing/2014/main" id="{5A961FBA-3B12-597D-8544-F940F2098B42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592 520"/>
                <a:gd name="T3" fmla="*/ 592 h 81"/>
                <a:gd name="T4" fmla="+- 0 2266 2228"/>
                <a:gd name="T5" fmla="*/ T4 w 78"/>
                <a:gd name="T6" fmla="+- 0 592 520"/>
                <a:gd name="T7" fmla="*/ 592 h 81"/>
                <a:gd name="T8" fmla="+- 0 2276 2228"/>
                <a:gd name="T9" fmla="*/ T8 w 78"/>
                <a:gd name="T10" fmla="+- 0 590 520"/>
                <a:gd name="T11" fmla="*/ 590 h 81"/>
                <a:gd name="T12" fmla="+- 0 2290 2228"/>
                <a:gd name="T13" fmla="*/ T12 w 78"/>
                <a:gd name="T14" fmla="+- 0 577 520"/>
                <a:gd name="T15" fmla="*/ 577 h 81"/>
                <a:gd name="T16" fmla="+- 0 2295 2228"/>
                <a:gd name="T17" fmla="*/ T16 w 78"/>
                <a:gd name="T18" fmla="+- 0 552 520"/>
                <a:gd name="T19" fmla="*/ 552 h 81"/>
                <a:gd name="T20" fmla="+- 0 2282 2228"/>
                <a:gd name="T21" fmla="*/ T20 w 78"/>
                <a:gd name="T22" fmla="+- 0 537 520"/>
                <a:gd name="T23" fmla="*/ 537 h 81"/>
                <a:gd name="T24" fmla="+- 0 2259 2228"/>
                <a:gd name="T25" fmla="*/ T24 w 78"/>
                <a:gd name="T26" fmla="+- 0 531 520"/>
                <a:gd name="T27" fmla="*/ 531 h 81"/>
                <a:gd name="T28" fmla="+- 0 2293 2228"/>
                <a:gd name="T29" fmla="*/ T28 w 78"/>
                <a:gd name="T30" fmla="+- 0 531 520"/>
                <a:gd name="T31" fmla="*/ 531 h 81"/>
                <a:gd name="T32" fmla="+- 0 2295 2228"/>
                <a:gd name="T33" fmla="*/ T32 w 78"/>
                <a:gd name="T34" fmla="+- 0 535 520"/>
                <a:gd name="T35" fmla="*/ 535 h 81"/>
                <a:gd name="T36" fmla="+- 0 2306 2228"/>
                <a:gd name="T37" fmla="*/ T36 w 78"/>
                <a:gd name="T38" fmla="+- 0 535 520"/>
                <a:gd name="T39" fmla="*/ 535 h 81"/>
                <a:gd name="T40" fmla="+- 0 2306 2228"/>
                <a:gd name="T41" fmla="*/ T40 w 78"/>
                <a:gd name="T42" fmla="+- 0 592 520"/>
                <a:gd name="T43" fmla="*/ 592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78" h="81">
                  <a:moveTo>
                    <a:pt x="78" y="72"/>
                  </a:moveTo>
                  <a:lnTo>
                    <a:pt x="38" y="72"/>
                  </a:lnTo>
                  <a:lnTo>
                    <a:pt x="48" y="70"/>
                  </a:lnTo>
                  <a:lnTo>
                    <a:pt x="62" y="57"/>
                  </a:lnTo>
                  <a:lnTo>
                    <a:pt x="67" y="32"/>
                  </a:lnTo>
                  <a:lnTo>
                    <a:pt x="54" y="17"/>
                  </a:lnTo>
                  <a:lnTo>
                    <a:pt x="31" y="11"/>
                  </a:lnTo>
                  <a:lnTo>
                    <a:pt x="65" y="11"/>
                  </a:lnTo>
                  <a:lnTo>
                    <a:pt x="67" y="15"/>
                  </a:lnTo>
                  <a:lnTo>
                    <a:pt x="78" y="15"/>
                  </a:lnTo>
                  <a:lnTo>
                    <a:pt x="78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23" name="Freeform 4857">
              <a:extLst>
                <a:ext uri="{FF2B5EF4-FFF2-40B4-BE49-F238E27FC236}">
                  <a16:creationId xmlns:a16="http://schemas.microsoft.com/office/drawing/2014/main" id="{0128343B-2F8D-933D-A59B-C22C7DE49055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600 520"/>
                <a:gd name="T3" fmla="*/ 600 h 81"/>
                <a:gd name="T4" fmla="+- 0 2295 2228"/>
                <a:gd name="T5" fmla="*/ T4 w 78"/>
                <a:gd name="T6" fmla="+- 0 600 520"/>
                <a:gd name="T7" fmla="*/ 600 h 81"/>
                <a:gd name="T8" fmla="+- 0 2291 2228"/>
                <a:gd name="T9" fmla="*/ T8 w 78"/>
                <a:gd name="T10" fmla="+- 0 593 520"/>
                <a:gd name="T11" fmla="*/ 593 h 81"/>
                <a:gd name="T12" fmla="+- 0 2306 2228"/>
                <a:gd name="T13" fmla="*/ T12 w 78"/>
                <a:gd name="T14" fmla="+- 0 593 520"/>
                <a:gd name="T15" fmla="*/ 593 h 81"/>
                <a:gd name="T16" fmla="+- 0 2306 2228"/>
                <a:gd name="T17" fmla="*/ T16 w 78"/>
                <a:gd name="T18" fmla="+- 0 600 520"/>
                <a:gd name="T19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81">
                  <a:moveTo>
                    <a:pt x="78" y="80"/>
                  </a:moveTo>
                  <a:lnTo>
                    <a:pt x="67" y="80"/>
                  </a:lnTo>
                  <a:lnTo>
                    <a:pt x="63" y="73"/>
                  </a:lnTo>
                  <a:lnTo>
                    <a:pt x="78" y="73"/>
                  </a:lnTo>
                  <a:lnTo>
                    <a:pt x="78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761977A9-14F1-5A0F-4698-5CFC6AF9B70F}"/>
              </a:ext>
            </a:extLst>
          </xdr:cNvPr>
          <xdr:cNvGrpSpPr>
            <a:grpSpLocks/>
          </xdr:cNvGrpSpPr>
        </xdr:nvGrpSpPr>
        <xdr:grpSpPr bwMode="auto">
          <a:xfrm>
            <a:off x="2328" y="522"/>
            <a:ext cx="69" cy="80"/>
            <a:chOff x="2328" y="522"/>
            <a:chExt cx="69" cy="80"/>
          </a:xfrm>
        </xdr:grpSpPr>
        <xdr:sp macro="" textlink="">
          <xdr:nvSpPr>
            <xdr:cNvPr id="117" name="Freeform 4855">
              <a:extLst>
                <a:ext uri="{FF2B5EF4-FFF2-40B4-BE49-F238E27FC236}">
                  <a16:creationId xmlns:a16="http://schemas.microsoft.com/office/drawing/2014/main" id="{C5C80E5A-9547-7989-8D4F-4370E4A6FA11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77 2328"/>
                <a:gd name="T1" fmla="*/ T0 w 69"/>
                <a:gd name="T2" fmla="+- 0 602 522"/>
                <a:gd name="T3" fmla="*/ 602 h 80"/>
                <a:gd name="T4" fmla="+- 0 2346 2328"/>
                <a:gd name="T5" fmla="*/ T4 w 69"/>
                <a:gd name="T6" fmla="+- 0 602 522"/>
                <a:gd name="T7" fmla="*/ 602 h 80"/>
                <a:gd name="T8" fmla="+- 0 2338 2328"/>
                <a:gd name="T9" fmla="*/ T8 w 69"/>
                <a:gd name="T10" fmla="+- 0 595 522"/>
                <a:gd name="T11" fmla="*/ 595 h 80"/>
                <a:gd name="T12" fmla="+- 0 2334 2328"/>
                <a:gd name="T13" fmla="*/ T12 w 69"/>
                <a:gd name="T14" fmla="+- 0 591 522"/>
                <a:gd name="T15" fmla="*/ 591 h 80"/>
                <a:gd name="T16" fmla="+- 0 2330 2328"/>
                <a:gd name="T17" fmla="*/ T16 w 69"/>
                <a:gd name="T18" fmla="+- 0 585 522"/>
                <a:gd name="T19" fmla="*/ 585 h 80"/>
                <a:gd name="T20" fmla="+- 0 2328 2328"/>
                <a:gd name="T21" fmla="*/ T20 w 69"/>
                <a:gd name="T22" fmla="+- 0 576 522"/>
                <a:gd name="T23" fmla="*/ 576 h 80"/>
                <a:gd name="T24" fmla="+- 0 2328 2328"/>
                <a:gd name="T25" fmla="*/ T24 w 69"/>
                <a:gd name="T26" fmla="+- 0 522 522"/>
                <a:gd name="T27" fmla="*/ 522 h 80"/>
                <a:gd name="T28" fmla="+- 0 2339 2328"/>
                <a:gd name="T29" fmla="*/ T28 w 69"/>
                <a:gd name="T30" fmla="+- 0 522 522"/>
                <a:gd name="T31" fmla="*/ 522 h 80"/>
                <a:gd name="T32" fmla="+- 0 2339 2328"/>
                <a:gd name="T33" fmla="*/ T32 w 69"/>
                <a:gd name="T34" fmla="+- 0 574 522"/>
                <a:gd name="T35" fmla="*/ 574 h 80"/>
                <a:gd name="T36" fmla="+- 0 2340 2328"/>
                <a:gd name="T37" fmla="*/ T36 w 69"/>
                <a:gd name="T38" fmla="+- 0 581 522"/>
                <a:gd name="T39" fmla="*/ 581 h 80"/>
                <a:gd name="T40" fmla="+- 0 2344 2328"/>
                <a:gd name="T41" fmla="*/ T40 w 69"/>
                <a:gd name="T42" fmla="+- 0 585 522"/>
                <a:gd name="T43" fmla="*/ 585 h 80"/>
                <a:gd name="T44" fmla="+- 0 2348 2328"/>
                <a:gd name="T45" fmla="*/ T44 w 69"/>
                <a:gd name="T46" fmla="+- 0 590 522"/>
                <a:gd name="T47" fmla="*/ 590 h 80"/>
                <a:gd name="T48" fmla="+- 0 2354 2328"/>
                <a:gd name="T49" fmla="*/ T48 w 69"/>
                <a:gd name="T50" fmla="+- 0 592 522"/>
                <a:gd name="T51" fmla="*/ 592 h 80"/>
                <a:gd name="T52" fmla="+- 0 2384 2328"/>
                <a:gd name="T53" fmla="*/ T52 w 69"/>
                <a:gd name="T54" fmla="+- 0 592 522"/>
                <a:gd name="T55" fmla="*/ 592 h 80"/>
                <a:gd name="T56" fmla="+- 0 2383 2328"/>
                <a:gd name="T57" fmla="*/ T56 w 69"/>
                <a:gd name="T58" fmla="+- 0 594 522"/>
                <a:gd name="T59" fmla="*/ 594 h 80"/>
                <a:gd name="T60" fmla="+- 0 2377 2328"/>
                <a:gd name="T61" fmla="*/ T60 w 69"/>
                <a:gd name="T62" fmla="+- 0 602 522"/>
                <a:gd name="T63" fmla="*/ 60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</a:cxnLst>
              <a:rect l="0" t="0" r="r" b="b"/>
              <a:pathLst>
                <a:path w="69" h="80">
                  <a:moveTo>
                    <a:pt x="49" y="80"/>
                  </a:moveTo>
                  <a:lnTo>
                    <a:pt x="18" y="80"/>
                  </a:lnTo>
                  <a:lnTo>
                    <a:pt x="10" y="73"/>
                  </a:lnTo>
                  <a:lnTo>
                    <a:pt x="6" y="69"/>
                  </a:lnTo>
                  <a:lnTo>
                    <a:pt x="2" y="63"/>
                  </a:lnTo>
                  <a:lnTo>
                    <a:pt x="0" y="54"/>
                  </a:lnTo>
                  <a:lnTo>
                    <a:pt x="0" y="0"/>
                  </a:lnTo>
                  <a:lnTo>
                    <a:pt x="11" y="0"/>
                  </a:lnTo>
                  <a:lnTo>
                    <a:pt x="11" y="52"/>
                  </a:lnTo>
                  <a:lnTo>
                    <a:pt x="12" y="59"/>
                  </a:lnTo>
                  <a:lnTo>
                    <a:pt x="16" y="63"/>
                  </a:lnTo>
                  <a:lnTo>
                    <a:pt x="20" y="68"/>
                  </a:lnTo>
                  <a:lnTo>
                    <a:pt x="26" y="70"/>
                  </a:lnTo>
                  <a:lnTo>
                    <a:pt x="56" y="70"/>
                  </a:lnTo>
                  <a:lnTo>
                    <a:pt x="55" y="72"/>
                  </a:lnTo>
                  <a:lnTo>
                    <a:pt x="49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18" name="Freeform 4854">
              <a:extLst>
                <a:ext uri="{FF2B5EF4-FFF2-40B4-BE49-F238E27FC236}">
                  <a16:creationId xmlns:a16="http://schemas.microsoft.com/office/drawing/2014/main" id="{5CB1493F-3B5C-856E-B376-D8A74DF7BD54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84 2328"/>
                <a:gd name="T1" fmla="*/ T0 w 69"/>
                <a:gd name="T2" fmla="+- 0 592 522"/>
                <a:gd name="T3" fmla="*/ 592 h 80"/>
                <a:gd name="T4" fmla="+- 0 2368 2328"/>
                <a:gd name="T5" fmla="*/ T4 w 69"/>
                <a:gd name="T6" fmla="+- 0 592 522"/>
                <a:gd name="T7" fmla="*/ 592 h 80"/>
                <a:gd name="T8" fmla="+- 0 2373 2328"/>
                <a:gd name="T9" fmla="*/ T8 w 69"/>
                <a:gd name="T10" fmla="+- 0 590 522"/>
                <a:gd name="T11" fmla="*/ 590 h 80"/>
                <a:gd name="T12" fmla="+- 0 2377 2328"/>
                <a:gd name="T13" fmla="*/ T12 w 69"/>
                <a:gd name="T14" fmla="+- 0 586 522"/>
                <a:gd name="T15" fmla="*/ 586 h 80"/>
                <a:gd name="T16" fmla="+- 0 2381 2328"/>
                <a:gd name="T17" fmla="*/ T16 w 69"/>
                <a:gd name="T18" fmla="+- 0 582 522"/>
                <a:gd name="T19" fmla="*/ 582 h 80"/>
                <a:gd name="T20" fmla="+- 0 2385 2328"/>
                <a:gd name="T21" fmla="*/ T20 w 69"/>
                <a:gd name="T22" fmla="+- 0 577 522"/>
                <a:gd name="T23" fmla="*/ 577 h 80"/>
                <a:gd name="T24" fmla="+- 0 2385 2328"/>
                <a:gd name="T25" fmla="*/ T24 w 69"/>
                <a:gd name="T26" fmla="+- 0 564 522"/>
                <a:gd name="T27" fmla="*/ 564 h 80"/>
                <a:gd name="T28" fmla="+- 0 2385 2328"/>
                <a:gd name="T29" fmla="*/ T28 w 69"/>
                <a:gd name="T30" fmla="+- 0 522 522"/>
                <a:gd name="T31" fmla="*/ 522 h 80"/>
                <a:gd name="T32" fmla="+- 0 2396 2328"/>
                <a:gd name="T33" fmla="*/ T32 w 69"/>
                <a:gd name="T34" fmla="+- 0 522 522"/>
                <a:gd name="T35" fmla="*/ 522 h 80"/>
                <a:gd name="T36" fmla="+- 0 2396 2328"/>
                <a:gd name="T37" fmla="*/ T36 w 69"/>
                <a:gd name="T38" fmla="+- 0 590 522"/>
                <a:gd name="T39" fmla="*/ 590 h 80"/>
                <a:gd name="T40" fmla="+- 0 2386 2328"/>
                <a:gd name="T41" fmla="*/ T40 w 69"/>
                <a:gd name="T42" fmla="+- 0 590 522"/>
                <a:gd name="T43" fmla="*/ 590 h 80"/>
                <a:gd name="T44" fmla="+- 0 2384 2328"/>
                <a:gd name="T45" fmla="*/ T44 w 69"/>
                <a:gd name="T46" fmla="+- 0 592 522"/>
                <a:gd name="T47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69" h="80">
                  <a:moveTo>
                    <a:pt x="56" y="70"/>
                  </a:moveTo>
                  <a:lnTo>
                    <a:pt x="40" y="70"/>
                  </a:lnTo>
                  <a:lnTo>
                    <a:pt x="45" y="68"/>
                  </a:lnTo>
                  <a:lnTo>
                    <a:pt x="49" y="64"/>
                  </a:lnTo>
                  <a:lnTo>
                    <a:pt x="53" y="60"/>
                  </a:lnTo>
                  <a:lnTo>
                    <a:pt x="57" y="55"/>
                  </a:lnTo>
                  <a:lnTo>
                    <a:pt x="57" y="42"/>
                  </a:lnTo>
                  <a:lnTo>
                    <a:pt x="57" y="0"/>
                  </a:lnTo>
                  <a:lnTo>
                    <a:pt x="68" y="0"/>
                  </a:lnTo>
                  <a:lnTo>
                    <a:pt x="68" y="68"/>
                  </a:lnTo>
                  <a:lnTo>
                    <a:pt x="58" y="68"/>
                  </a:lnTo>
                  <a:lnTo>
                    <a:pt x="56" y="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19" name="Freeform 4853">
              <a:extLst>
                <a:ext uri="{FF2B5EF4-FFF2-40B4-BE49-F238E27FC236}">
                  <a16:creationId xmlns:a16="http://schemas.microsoft.com/office/drawing/2014/main" id="{88493EF8-3B72-A84C-BBAC-EF041053735F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96 2328"/>
                <a:gd name="T1" fmla="*/ T0 w 69"/>
                <a:gd name="T2" fmla="+- 0 600 522"/>
                <a:gd name="T3" fmla="*/ 600 h 80"/>
                <a:gd name="T4" fmla="+- 0 2386 2328"/>
                <a:gd name="T5" fmla="*/ T4 w 69"/>
                <a:gd name="T6" fmla="+- 0 600 522"/>
                <a:gd name="T7" fmla="*/ 600 h 80"/>
                <a:gd name="T8" fmla="+- 0 2386 2328"/>
                <a:gd name="T9" fmla="*/ T8 w 69"/>
                <a:gd name="T10" fmla="+- 0 590 522"/>
                <a:gd name="T11" fmla="*/ 590 h 80"/>
                <a:gd name="T12" fmla="+- 0 2396 2328"/>
                <a:gd name="T13" fmla="*/ T12 w 69"/>
                <a:gd name="T14" fmla="+- 0 590 522"/>
                <a:gd name="T15" fmla="*/ 590 h 80"/>
                <a:gd name="T16" fmla="+- 0 2396 2328"/>
                <a:gd name="T17" fmla="*/ T16 w 69"/>
                <a:gd name="T18" fmla="+- 0 600 522"/>
                <a:gd name="T1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69" h="80">
                  <a:moveTo>
                    <a:pt x="68" y="78"/>
                  </a:moveTo>
                  <a:lnTo>
                    <a:pt x="58" y="78"/>
                  </a:lnTo>
                  <a:lnTo>
                    <a:pt x="58" y="68"/>
                  </a:lnTo>
                  <a:lnTo>
                    <a:pt x="68" y="68"/>
                  </a:lnTo>
                  <a:lnTo>
                    <a:pt x="68" y="7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82" name="Group 81">
            <a:extLst>
              <a:ext uri="{FF2B5EF4-FFF2-40B4-BE49-F238E27FC236}">
                <a16:creationId xmlns:a16="http://schemas.microsoft.com/office/drawing/2014/main" id="{51AA9774-D43C-94BA-BAA4-07EADF3D9677}"/>
              </a:ext>
            </a:extLst>
          </xdr:cNvPr>
          <xdr:cNvGrpSpPr>
            <a:grpSpLocks/>
          </xdr:cNvGrpSpPr>
        </xdr:nvGrpSpPr>
        <xdr:grpSpPr bwMode="auto">
          <a:xfrm>
            <a:off x="2411" y="520"/>
            <a:ext cx="79" cy="111"/>
            <a:chOff x="2411" y="520"/>
            <a:chExt cx="79" cy="111"/>
          </a:xfrm>
        </xdr:grpSpPr>
        <xdr:sp macro="" textlink="">
          <xdr:nvSpPr>
            <xdr:cNvPr id="112" name="Freeform 4851">
              <a:extLst>
                <a:ext uri="{FF2B5EF4-FFF2-40B4-BE49-F238E27FC236}">
                  <a16:creationId xmlns:a16="http://schemas.microsoft.com/office/drawing/2014/main" id="{ADA137DC-B76F-ABAB-91B6-5D80E6515947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36 2411"/>
                <a:gd name="T1" fmla="*/ T0 w 79"/>
                <a:gd name="T2" fmla="+- 0 600 520"/>
                <a:gd name="T3" fmla="*/ 600 h 111"/>
                <a:gd name="T4" fmla="+- 0 2423 2411"/>
                <a:gd name="T5" fmla="*/ T4 w 79"/>
                <a:gd name="T6" fmla="+- 0 590 520"/>
                <a:gd name="T7" fmla="*/ 590 h 111"/>
                <a:gd name="T8" fmla="+- 0 2414 2411"/>
                <a:gd name="T9" fmla="*/ T8 w 79"/>
                <a:gd name="T10" fmla="+- 0 571 520"/>
                <a:gd name="T11" fmla="*/ 571 h 111"/>
                <a:gd name="T12" fmla="+- 0 2414 2411"/>
                <a:gd name="T13" fmla="*/ T12 w 79"/>
                <a:gd name="T14" fmla="+- 0 541 520"/>
                <a:gd name="T15" fmla="*/ 541 h 111"/>
                <a:gd name="T16" fmla="+- 0 2429 2411"/>
                <a:gd name="T17" fmla="*/ T16 w 79"/>
                <a:gd name="T18" fmla="+- 0 526 520"/>
                <a:gd name="T19" fmla="*/ 526 h 111"/>
                <a:gd name="T20" fmla="+- 0 2449 2411"/>
                <a:gd name="T21" fmla="*/ T20 w 79"/>
                <a:gd name="T22" fmla="+- 0 520 520"/>
                <a:gd name="T23" fmla="*/ 520 h 111"/>
                <a:gd name="T24" fmla="+- 0 2455 2411"/>
                <a:gd name="T25" fmla="*/ T24 w 79"/>
                <a:gd name="T26" fmla="+- 0 520 520"/>
                <a:gd name="T27" fmla="*/ 520 h 111"/>
                <a:gd name="T28" fmla="+- 0 2469 2411"/>
                <a:gd name="T29" fmla="*/ T28 w 79"/>
                <a:gd name="T30" fmla="+- 0 522 520"/>
                <a:gd name="T31" fmla="*/ 522 h 111"/>
                <a:gd name="T32" fmla="+- 0 2475 2411"/>
                <a:gd name="T33" fmla="*/ T32 w 79"/>
                <a:gd name="T34" fmla="+- 0 531 520"/>
                <a:gd name="T35" fmla="*/ 531 h 111"/>
                <a:gd name="T36" fmla="+- 0 2443 2411"/>
                <a:gd name="T37" fmla="*/ T36 w 79"/>
                <a:gd name="T38" fmla="+- 0 531 520"/>
                <a:gd name="T39" fmla="*/ 531 h 111"/>
                <a:gd name="T40" fmla="+- 0 2426 2411"/>
                <a:gd name="T41" fmla="*/ T40 w 79"/>
                <a:gd name="T42" fmla="+- 0 542 520"/>
                <a:gd name="T43" fmla="*/ 542 h 111"/>
                <a:gd name="T44" fmla="+- 0 2420 2411"/>
                <a:gd name="T45" fmla="*/ T44 w 79"/>
                <a:gd name="T46" fmla="+- 0 565 520"/>
                <a:gd name="T47" fmla="*/ 565 h 111"/>
                <a:gd name="T48" fmla="+- 0 2429 2411"/>
                <a:gd name="T49" fmla="*/ T48 w 79"/>
                <a:gd name="T50" fmla="+- 0 584 520"/>
                <a:gd name="T51" fmla="*/ 584 h 111"/>
                <a:gd name="T52" fmla="+- 0 2449 2411"/>
                <a:gd name="T53" fmla="*/ T52 w 79"/>
                <a:gd name="T54" fmla="+- 0 592 520"/>
                <a:gd name="T55" fmla="*/ 592 h 111"/>
                <a:gd name="T56" fmla="+- 0 2474 2411"/>
                <a:gd name="T57" fmla="*/ T56 w 79"/>
                <a:gd name="T58" fmla="+- 0 592 520"/>
                <a:gd name="T59" fmla="*/ 592 h 111"/>
                <a:gd name="T60" fmla="+- 0 2461 2411"/>
                <a:gd name="T61" fmla="*/ T60 w 79"/>
                <a:gd name="T62" fmla="+- 0 599 520"/>
                <a:gd name="T63" fmla="*/ 599 h 111"/>
                <a:gd name="T64" fmla="+- 0 2436 2411"/>
                <a:gd name="T65" fmla="*/ T64 w 79"/>
                <a:gd name="T66" fmla="+- 0 600 520"/>
                <a:gd name="T67" fmla="*/ 600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9" h="111">
                  <a:moveTo>
                    <a:pt x="25" y="80"/>
                  </a:moveTo>
                  <a:lnTo>
                    <a:pt x="12" y="70"/>
                  </a:lnTo>
                  <a:lnTo>
                    <a:pt x="3" y="51"/>
                  </a:lnTo>
                  <a:lnTo>
                    <a:pt x="3" y="21"/>
                  </a:lnTo>
                  <a:lnTo>
                    <a:pt x="18" y="6"/>
                  </a:lnTo>
                  <a:lnTo>
                    <a:pt x="38" y="0"/>
                  </a:lnTo>
                  <a:lnTo>
                    <a:pt x="44" y="0"/>
                  </a:lnTo>
                  <a:lnTo>
                    <a:pt x="58" y="2"/>
                  </a:lnTo>
                  <a:lnTo>
                    <a:pt x="64" y="11"/>
                  </a:lnTo>
                  <a:lnTo>
                    <a:pt x="32" y="11"/>
                  </a:lnTo>
                  <a:lnTo>
                    <a:pt x="15" y="22"/>
                  </a:lnTo>
                  <a:lnTo>
                    <a:pt x="9" y="45"/>
                  </a:lnTo>
                  <a:lnTo>
                    <a:pt x="18" y="64"/>
                  </a:lnTo>
                  <a:lnTo>
                    <a:pt x="38" y="72"/>
                  </a:lnTo>
                  <a:lnTo>
                    <a:pt x="63" y="72"/>
                  </a:lnTo>
                  <a:lnTo>
                    <a:pt x="50" y="79"/>
                  </a:lnTo>
                  <a:lnTo>
                    <a:pt x="25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13" name="Freeform 4850">
              <a:extLst>
                <a:ext uri="{FF2B5EF4-FFF2-40B4-BE49-F238E27FC236}">
                  <a16:creationId xmlns:a16="http://schemas.microsoft.com/office/drawing/2014/main" id="{B0B2B5AD-DA73-D237-8094-8370AD081FA1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89 2411"/>
                <a:gd name="T1" fmla="*/ T0 w 79"/>
                <a:gd name="T2" fmla="+- 0 535 520"/>
                <a:gd name="T3" fmla="*/ 535 h 111"/>
                <a:gd name="T4" fmla="+- 0 2478 2411"/>
                <a:gd name="T5" fmla="*/ T4 w 79"/>
                <a:gd name="T6" fmla="+- 0 535 520"/>
                <a:gd name="T7" fmla="*/ 535 h 111"/>
                <a:gd name="T8" fmla="+- 0 2478 2411"/>
                <a:gd name="T9" fmla="*/ T8 w 79"/>
                <a:gd name="T10" fmla="+- 0 522 520"/>
                <a:gd name="T11" fmla="*/ 522 h 111"/>
                <a:gd name="T12" fmla="+- 0 2489 2411"/>
                <a:gd name="T13" fmla="*/ T12 w 79"/>
                <a:gd name="T14" fmla="+- 0 522 520"/>
                <a:gd name="T15" fmla="*/ 522 h 111"/>
                <a:gd name="T16" fmla="+- 0 2489 2411"/>
                <a:gd name="T17" fmla="*/ T16 w 79"/>
                <a:gd name="T18" fmla="+- 0 535 520"/>
                <a:gd name="T19" fmla="*/ 535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9" h="111">
                  <a:moveTo>
                    <a:pt x="78" y="15"/>
                  </a:moveTo>
                  <a:lnTo>
                    <a:pt x="67" y="15"/>
                  </a:lnTo>
                  <a:lnTo>
                    <a:pt x="67" y="2"/>
                  </a:lnTo>
                  <a:lnTo>
                    <a:pt x="78" y="2"/>
                  </a:lnTo>
                  <a:lnTo>
                    <a:pt x="78" y="1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14" name="Freeform 4849">
              <a:extLst>
                <a:ext uri="{FF2B5EF4-FFF2-40B4-BE49-F238E27FC236}">
                  <a16:creationId xmlns:a16="http://schemas.microsoft.com/office/drawing/2014/main" id="{8503D586-5317-3D39-BC16-70C3DF90DEF4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74 2411"/>
                <a:gd name="T1" fmla="*/ T0 w 79"/>
                <a:gd name="T2" fmla="+- 0 592 520"/>
                <a:gd name="T3" fmla="*/ 592 h 111"/>
                <a:gd name="T4" fmla="+- 0 2449 2411"/>
                <a:gd name="T5" fmla="*/ T4 w 79"/>
                <a:gd name="T6" fmla="+- 0 592 520"/>
                <a:gd name="T7" fmla="*/ 592 h 111"/>
                <a:gd name="T8" fmla="+- 0 2460 2411"/>
                <a:gd name="T9" fmla="*/ T8 w 79"/>
                <a:gd name="T10" fmla="+- 0 590 520"/>
                <a:gd name="T11" fmla="*/ 590 h 111"/>
                <a:gd name="T12" fmla="+- 0 2474 2411"/>
                <a:gd name="T13" fmla="*/ T12 w 79"/>
                <a:gd name="T14" fmla="+- 0 576 520"/>
                <a:gd name="T15" fmla="*/ 576 h 111"/>
                <a:gd name="T16" fmla="+- 0 2478 2411"/>
                <a:gd name="T17" fmla="*/ T16 w 79"/>
                <a:gd name="T18" fmla="+- 0 553 520"/>
                <a:gd name="T19" fmla="*/ 553 h 111"/>
                <a:gd name="T20" fmla="+- 0 2466 2411"/>
                <a:gd name="T21" fmla="*/ T20 w 79"/>
                <a:gd name="T22" fmla="+- 0 537 520"/>
                <a:gd name="T23" fmla="*/ 537 h 111"/>
                <a:gd name="T24" fmla="+- 0 2443 2411"/>
                <a:gd name="T25" fmla="*/ T24 w 79"/>
                <a:gd name="T26" fmla="+- 0 531 520"/>
                <a:gd name="T27" fmla="*/ 531 h 111"/>
                <a:gd name="T28" fmla="+- 0 2475 2411"/>
                <a:gd name="T29" fmla="*/ T28 w 79"/>
                <a:gd name="T30" fmla="+- 0 531 520"/>
                <a:gd name="T31" fmla="*/ 531 h 111"/>
                <a:gd name="T32" fmla="+- 0 2478 2411"/>
                <a:gd name="T33" fmla="*/ T32 w 79"/>
                <a:gd name="T34" fmla="+- 0 535 520"/>
                <a:gd name="T35" fmla="*/ 535 h 111"/>
                <a:gd name="T36" fmla="+- 0 2489 2411"/>
                <a:gd name="T37" fmla="*/ T36 w 79"/>
                <a:gd name="T38" fmla="+- 0 535 520"/>
                <a:gd name="T39" fmla="*/ 535 h 111"/>
                <a:gd name="T40" fmla="+- 0 2489 2411"/>
                <a:gd name="T41" fmla="*/ T40 w 79"/>
                <a:gd name="T42" fmla="+- 0 591 520"/>
                <a:gd name="T43" fmla="*/ 591 h 111"/>
                <a:gd name="T44" fmla="+- 0 2476 2411"/>
                <a:gd name="T45" fmla="*/ T44 w 79"/>
                <a:gd name="T46" fmla="+- 0 591 520"/>
                <a:gd name="T47" fmla="*/ 591 h 111"/>
                <a:gd name="T48" fmla="+- 0 2474 2411"/>
                <a:gd name="T49" fmla="*/ T48 w 79"/>
                <a:gd name="T50" fmla="+- 0 592 520"/>
                <a:gd name="T51" fmla="*/ 592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79" h="111">
                  <a:moveTo>
                    <a:pt x="63" y="72"/>
                  </a:moveTo>
                  <a:lnTo>
                    <a:pt x="38" y="72"/>
                  </a:lnTo>
                  <a:lnTo>
                    <a:pt x="49" y="70"/>
                  </a:lnTo>
                  <a:lnTo>
                    <a:pt x="63" y="56"/>
                  </a:lnTo>
                  <a:lnTo>
                    <a:pt x="67" y="33"/>
                  </a:lnTo>
                  <a:lnTo>
                    <a:pt x="55" y="17"/>
                  </a:lnTo>
                  <a:lnTo>
                    <a:pt x="32" y="11"/>
                  </a:lnTo>
                  <a:lnTo>
                    <a:pt x="64" y="11"/>
                  </a:lnTo>
                  <a:lnTo>
                    <a:pt x="67" y="15"/>
                  </a:lnTo>
                  <a:lnTo>
                    <a:pt x="78" y="15"/>
                  </a:lnTo>
                  <a:lnTo>
                    <a:pt x="78" y="71"/>
                  </a:lnTo>
                  <a:lnTo>
                    <a:pt x="65" y="71"/>
                  </a:lnTo>
                  <a:lnTo>
                    <a:pt x="63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15" name="Freeform 4848">
              <a:extLst>
                <a:ext uri="{FF2B5EF4-FFF2-40B4-BE49-F238E27FC236}">
                  <a16:creationId xmlns:a16="http://schemas.microsoft.com/office/drawing/2014/main" id="{B1B485E3-BC35-6405-FFA3-3D7F27870DF6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79 2411"/>
                <a:gd name="T1" fmla="*/ T0 w 79"/>
                <a:gd name="T2" fmla="+- 0 621 520"/>
                <a:gd name="T3" fmla="*/ 621 h 111"/>
                <a:gd name="T4" fmla="+- 0 2464 2411"/>
                <a:gd name="T5" fmla="*/ T4 w 79"/>
                <a:gd name="T6" fmla="+- 0 621 520"/>
                <a:gd name="T7" fmla="*/ 621 h 111"/>
                <a:gd name="T8" fmla="+- 0 2478 2411"/>
                <a:gd name="T9" fmla="*/ T8 w 79"/>
                <a:gd name="T10" fmla="+- 0 613 520"/>
                <a:gd name="T11" fmla="*/ 613 h 111"/>
                <a:gd name="T12" fmla="+- 0 2478 2411"/>
                <a:gd name="T13" fmla="*/ T12 w 79"/>
                <a:gd name="T14" fmla="+- 0 592 520"/>
                <a:gd name="T15" fmla="*/ 592 h 111"/>
                <a:gd name="T16" fmla="+- 0 2476 2411"/>
                <a:gd name="T17" fmla="*/ T16 w 79"/>
                <a:gd name="T18" fmla="+- 0 591 520"/>
                <a:gd name="T19" fmla="*/ 591 h 111"/>
                <a:gd name="T20" fmla="+- 0 2489 2411"/>
                <a:gd name="T21" fmla="*/ T20 w 79"/>
                <a:gd name="T22" fmla="+- 0 591 520"/>
                <a:gd name="T23" fmla="*/ 591 h 111"/>
                <a:gd name="T24" fmla="+- 0 2489 2411"/>
                <a:gd name="T25" fmla="*/ T24 w 79"/>
                <a:gd name="T26" fmla="+- 0 607 520"/>
                <a:gd name="T27" fmla="*/ 607 h 111"/>
                <a:gd name="T28" fmla="+- 0 2482 2411"/>
                <a:gd name="T29" fmla="*/ T28 w 79"/>
                <a:gd name="T30" fmla="+- 0 616 520"/>
                <a:gd name="T31" fmla="*/ 616 h 111"/>
                <a:gd name="T32" fmla="+- 0 2479 2411"/>
                <a:gd name="T33" fmla="*/ T32 w 79"/>
                <a:gd name="T34" fmla="+- 0 621 520"/>
                <a:gd name="T35" fmla="*/ 621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79" h="111">
                  <a:moveTo>
                    <a:pt x="68" y="101"/>
                  </a:moveTo>
                  <a:lnTo>
                    <a:pt x="53" y="101"/>
                  </a:lnTo>
                  <a:lnTo>
                    <a:pt x="67" y="93"/>
                  </a:lnTo>
                  <a:lnTo>
                    <a:pt x="67" y="72"/>
                  </a:lnTo>
                  <a:lnTo>
                    <a:pt x="65" y="71"/>
                  </a:lnTo>
                  <a:lnTo>
                    <a:pt x="78" y="71"/>
                  </a:lnTo>
                  <a:lnTo>
                    <a:pt x="78" y="87"/>
                  </a:lnTo>
                  <a:lnTo>
                    <a:pt x="71" y="96"/>
                  </a:lnTo>
                  <a:lnTo>
                    <a:pt x="68" y="10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16" name="Freeform 4847">
              <a:extLst>
                <a:ext uri="{FF2B5EF4-FFF2-40B4-BE49-F238E27FC236}">
                  <a16:creationId xmlns:a16="http://schemas.microsoft.com/office/drawing/2014/main" id="{37E12925-E979-5118-260A-AFCFF3FEA598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53 2411"/>
                <a:gd name="T1" fmla="*/ T0 w 79"/>
                <a:gd name="T2" fmla="+- 0 631 520"/>
                <a:gd name="T3" fmla="*/ 631 h 111"/>
                <a:gd name="T4" fmla="+- 0 2446 2411"/>
                <a:gd name="T5" fmla="*/ T4 w 79"/>
                <a:gd name="T6" fmla="+- 0 630 520"/>
                <a:gd name="T7" fmla="*/ 630 h 111"/>
                <a:gd name="T8" fmla="+- 0 2427 2411"/>
                <a:gd name="T9" fmla="*/ T8 w 79"/>
                <a:gd name="T10" fmla="+- 0 624 520"/>
                <a:gd name="T11" fmla="*/ 624 h 111"/>
                <a:gd name="T12" fmla="+- 0 2411 2411"/>
                <a:gd name="T13" fmla="*/ T12 w 79"/>
                <a:gd name="T14" fmla="+- 0 602 520"/>
                <a:gd name="T15" fmla="*/ 602 h 111"/>
                <a:gd name="T16" fmla="+- 0 2411 2411"/>
                <a:gd name="T17" fmla="*/ T16 w 79"/>
                <a:gd name="T18" fmla="+- 0 601 520"/>
                <a:gd name="T19" fmla="*/ 601 h 111"/>
                <a:gd name="T20" fmla="+- 0 2423 2411"/>
                <a:gd name="T21" fmla="*/ T20 w 79"/>
                <a:gd name="T22" fmla="+- 0 601 520"/>
                <a:gd name="T23" fmla="*/ 601 h 111"/>
                <a:gd name="T24" fmla="+- 0 2423 2411"/>
                <a:gd name="T25" fmla="*/ T24 w 79"/>
                <a:gd name="T26" fmla="+- 0 602 520"/>
                <a:gd name="T27" fmla="*/ 602 h 111"/>
                <a:gd name="T28" fmla="+- 0 2425 2411"/>
                <a:gd name="T29" fmla="*/ T28 w 79"/>
                <a:gd name="T30" fmla="+- 0 607 520"/>
                <a:gd name="T31" fmla="*/ 607 h 111"/>
                <a:gd name="T32" fmla="+- 0 2433 2411"/>
                <a:gd name="T33" fmla="*/ T32 w 79"/>
                <a:gd name="T34" fmla="+- 0 621 520"/>
                <a:gd name="T35" fmla="*/ 621 h 111"/>
                <a:gd name="T36" fmla="+- 0 2479 2411"/>
                <a:gd name="T37" fmla="*/ T36 w 79"/>
                <a:gd name="T38" fmla="+- 0 621 520"/>
                <a:gd name="T39" fmla="*/ 621 h 111"/>
                <a:gd name="T40" fmla="+- 0 2472 2411"/>
                <a:gd name="T41" fmla="*/ T40 w 79"/>
                <a:gd name="T42" fmla="+- 0 630 520"/>
                <a:gd name="T43" fmla="*/ 630 h 111"/>
                <a:gd name="T44" fmla="+- 0 2453 2411"/>
                <a:gd name="T45" fmla="*/ T44 w 79"/>
                <a:gd name="T46" fmla="+- 0 631 520"/>
                <a:gd name="T47" fmla="*/ 631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79" h="111">
                  <a:moveTo>
                    <a:pt x="42" y="111"/>
                  </a:moveTo>
                  <a:lnTo>
                    <a:pt x="35" y="110"/>
                  </a:lnTo>
                  <a:lnTo>
                    <a:pt x="16" y="104"/>
                  </a:lnTo>
                  <a:lnTo>
                    <a:pt x="0" y="82"/>
                  </a:lnTo>
                  <a:lnTo>
                    <a:pt x="0" y="81"/>
                  </a:lnTo>
                  <a:lnTo>
                    <a:pt x="12" y="81"/>
                  </a:lnTo>
                  <a:lnTo>
                    <a:pt x="12" y="82"/>
                  </a:lnTo>
                  <a:lnTo>
                    <a:pt x="14" y="87"/>
                  </a:lnTo>
                  <a:lnTo>
                    <a:pt x="22" y="101"/>
                  </a:lnTo>
                  <a:lnTo>
                    <a:pt x="68" y="101"/>
                  </a:lnTo>
                  <a:lnTo>
                    <a:pt x="61" y="110"/>
                  </a:lnTo>
                  <a:lnTo>
                    <a:pt x="42" y="11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83" name="Group 82">
            <a:extLst>
              <a:ext uri="{FF2B5EF4-FFF2-40B4-BE49-F238E27FC236}">
                <a16:creationId xmlns:a16="http://schemas.microsoft.com/office/drawing/2014/main" id="{CFEE0CDD-77FD-90DA-F7A3-C64BB66384BC}"/>
              </a:ext>
            </a:extLst>
          </xdr:cNvPr>
          <xdr:cNvGrpSpPr>
            <a:grpSpLocks/>
          </xdr:cNvGrpSpPr>
        </xdr:nvGrpSpPr>
        <xdr:grpSpPr bwMode="auto">
          <a:xfrm>
            <a:off x="2506" y="520"/>
            <a:ext cx="115" cy="81"/>
            <a:chOff x="2506" y="520"/>
            <a:chExt cx="115" cy="81"/>
          </a:xfrm>
        </xdr:grpSpPr>
        <xdr:sp macro="" textlink="">
          <xdr:nvSpPr>
            <xdr:cNvPr id="107" name="Freeform 4845">
              <a:extLst>
                <a:ext uri="{FF2B5EF4-FFF2-40B4-BE49-F238E27FC236}">
                  <a16:creationId xmlns:a16="http://schemas.microsoft.com/office/drawing/2014/main" id="{9B0C09BB-E6EA-2C22-0BF4-E7B7F9BB9D24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61 2506"/>
                <a:gd name="T1" fmla="*/ T0 w 115"/>
                <a:gd name="T2" fmla="+- 0 530 520"/>
                <a:gd name="T3" fmla="*/ 530 h 81"/>
                <a:gd name="T4" fmla="+- 0 2517 2506"/>
                <a:gd name="T5" fmla="*/ T4 w 115"/>
                <a:gd name="T6" fmla="+- 0 530 520"/>
                <a:gd name="T7" fmla="*/ 530 h 81"/>
                <a:gd name="T8" fmla="+- 0 2522 2506"/>
                <a:gd name="T9" fmla="*/ T8 w 115"/>
                <a:gd name="T10" fmla="+- 0 523 520"/>
                <a:gd name="T11" fmla="*/ 523 h 81"/>
                <a:gd name="T12" fmla="+- 0 2530 2506"/>
                <a:gd name="T13" fmla="*/ T12 w 115"/>
                <a:gd name="T14" fmla="+- 0 520 520"/>
                <a:gd name="T15" fmla="*/ 520 h 81"/>
                <a:gd name="T16" fmla="+- 0 2544 2506"/>
                <a:gd name="T17" fmla="*/ T16 w 115"/>
                <a:gd name="T18" fmla="+- 0 520 520"/>
                <a:gd name="T19" fmla="*/ 520 h 81"/>
                <a:gd name="T20" fmla="+- 0 2557 2506"/>
                <a:gd name="T21" fmla="*/ T20 w 115"/>
                <a:gd name="T22" fmla="+- 0 523 520"/>
                <a:gd name="T23" fmla="*/ 523 h 81"/>
                <a:gd name="T24" fmla="+- 0 2561 2506"/>
                <a:gd name="T25" fmla="*/ T24 w 115"/>
                <a:gd name="T26" fmla="+- 0 530 520"/>
                <a:gd name="T27" fmla="*/ 53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15" h="81">
                  <a:moveTo>
                    <a:pt x="55" y="10"/>
                  </a:moveTo>
                  <a:lnTo>
                    <a:pt x="11" y="10"/>
                  </a:lnTo>
                  <a:lnTo>
                    <a:pt x="16" y="3"/>
                  </a:lnTo>
                  <a:lnTo>
                    <a:pt x="24" y="0"/>
                  </a:lnTo>
                  <a:lnTo>
                    <a:pt x="38" y="0"/>
                  </a:lnTo>
                  <a:lnTo>
                    <a:pt x="51" y="3"/>
                  </a:lnTo>
                  <a:lnTo>
                    <a:pt x="55" y="1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08" name="Freeform 4844">
              <a:extLst>
                <a:ext uri="{FF2B5EF4-FFF2-40B4-BE49-F238E27FC236}">
                  <a16:creationId xmlns:a16="http://schemas.microsoft.com/office/drawing/2014/main" id="{F199500F-C633-B967-7FA9-78932CAD1587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75 2506"/>
                <a:gd name="T1" fmla="*/ T0 w 115"/>
                <a:gd name="T2" fmla="+- 0 534 520"/>
                <a:gd name="T3" fmla="*/ 534 h 81"/>
                <a:gd name="T4" fmla="+- 0 2563 2506"/>
                <a:gd name="T5" fmla="*/ T4 w 115"/>
                <a:gd name="T6" fmla="+- 0 534 520"/>
                <a:gd name="T7" fmla="*/ 534 h 81"/>
                <a:gd name="T8" fmla="+- 0 2569 2506"/>
                <a:gd name="T9" fmla="*/ T8 w 115"/>
                <a:gd name="T10" fmla="+- 0 523 520"/>
                <a:gd name="T11" fmla="*/ 523 h 81"/>
                <a:gd name="T12" fmla="+- 0 2582 2506"/>
                <a:gd name="T13" fmla="*/ T12 w 115"/>
                <a:gd name="T14" fmla="+- 0 520 520"/>
                <a:gd name="T15" fmla="*/ 520 h 81"/>
                <a:gd name="T16" fmla="+- 0 2589 2506"/>
                <a:gd name="T17" fmla="*/ T16 w 115"/>
                <a:gd name="T18" fmla="+- 0 520 520"/>
                <a:gd name="T19" fmla="*/ 520 h 81"/>
                <a:gd name="T20" fmla="+- 0 2594 2506"/>
                <a:gd name="T21" fmla="*/ T20 w 115"/>
                <a:gd name="T22" fmla="+- 0 521 520"/>
                <a:gd name="T23" fmla="*/ 521 h 81"/>
                <a:gd name="T24" fmla="+- 0 2612 2506"/>
                <a:gd name="T25" fmla="*/ T24 w 115"/>
                <a:gd name="T26" fmla="+- 0 529 520"/>
                <a:gd name="T27" fmla="*/ 529 h 81"/>
                <a:gd name="T28" fmla="+- 0 2612 2506"/>
                <a:gd name="T29" fmla="*/ T28 w 115"/>
                <a:gd name="T30" fmla="+- 0 530 520"/>
                <a:gd name="T31" fmla="*/ 530 h 81"/>
                <a:gd name="T32" fmla="+- 0 2582 2506"/>
                <a:gd name="T33" fmla="*/ T32 w 115"/>
                <a:gd name="T34" fmla="+- 0 530 520"/>
                <a:gd name="T35" fmla="*/ 530 h 81"/>
                <a:gd name="T36" fmla="+- 0 2576 2506"/>
                <a:gd name="T37" fmla="*/ T36 w 115"/>
                <a:gd name="T38" fmla="+- 0 534 520"/>
                <a:gd name="T39" fmla="*/ 534 h 81"/>
                <a:gd name="T40" fmla="+- 0 2575 2506"/>
                <a:gd name="T41" fmla="*/ T40 w 115"/>
                <a:gd name="T42" fmla="+- 0 534 520"/>
                <a:gd name="T43" fmla="*/ 534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15" h="81">
                  <a:moveTo>
                    <a:pt x="69" y="14"/>
                  </a:moveTo>
                  <a:lnTo>
                    <a:pt x="57" y="14"/>
                  </a:lnTo>
                  <a:lnTo>
                    <a:pt x="63" y="3"/>
                  </a:lnTo>
                  <a:lnTo>
                    <a:pt x="76" y="0"/>
                  </a:lnTo>
                  <a:lnTo>
                    <a:pt x="83" y="0"/>
                  </a:lnTo>
                  <a:lnTo>
                    <a:pt x="88" y="1"/>
                  </a:lnTo>
                  <a:lnTo>
                    <a:pt x="106" y="9"/>
                  </a:lnTo>
                  <a:lnTo>
                    <a:pt x="106" y="10"/>
                  </a:lnTo>
                  <a:lnTo>
                    <a:pt x="76" y="10"/>
                  </a:lnTo>
                  <a:lnTo>
                    <a:pt x="70" y="14"/>
                  </a:lnTo>
                  <a:lnTo>
                    <a:pt x="69" y="14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09" name="Freeform 4843">
              <a:extLst>
                <a:ext uri="{FF2B5EF4-FFF2-40B4-BE49-F238E27FC236}">
                  <a16:creationId xmlns:a16="http://schemas.microsoft.com/office/drawing/2014/main" id="{597D3F9A-D354-4ED6-1233-6B2BFA7E4648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17 2506"/>
                <a:gd name="T1" fmla="*/ T0 w 115"/>
                <a:gd name="T2" fmla="+- 0 601 520"/>
                <a:gd name="T3" fmla="*/ 601 h 81"/>
                <a:gd name="T4" fmla="+- 0 2506 2506"/>
                <a:gd name="T5" fmla="*/ T4 w 115"/>
                <a:gd name="T6" fmla="+- 0 601 520"/>
                <a:gd name="T7" fmla="*/ 601 h 81"/>
                <a:gd name="T8" fmla="+- 0 2506 2506"/>
                <a:gd name="T9" fmla="*/ T8 w 115"/>
                <a:gd name="T10" fmla="+- 0 522 520"/>
                <a:gd name="T11" fmla="*/ 522 h 81"/>
                <a:gd name="T12" fmla="+- 0 2517 2506"/>
                <a:gd name="T13" fmla="*/ T12 w 115"/>
                <a:gd name="T14" fmla="+- 0 522 520"/>
                <a:gd name="T15" fmla="*/ 522 h 81"/>
                <a:gd name="T16" fmla="+- 0 2517 2506"/>
                <a:gd name="T17" fmla="*/ T16 w 115"/>
                <a:gd name="T18" fmla="+- 0 530 520"/>
                <a:gd name="T19" fmla="*/ 530 h 81"/>
                <a:gd name="T20" fmla="+- 0 2561 2506"/>
                <a:gd name="T21" fmla="*/ T20 w 115"/>
                <a:gd name="T22" fmla="+- 0 530 520"/>
                <a:gd name="T23" fmla="*/ 530 h 81"/>
                <a:gd name="T24" fmla="+- 0 2561 2506"/>
                <a:gd name="T25" fmla="*/ T24 w 115"/>
                <a:gd name="T26" fmla="+- 0 530 520"/>
                <a:gd name="T27" fmla="*/ 530 h 81"/>
                <a:gd name="T28" fmla="+- 0 2530 2506"/>
                <a:gd name="T29" fmla="*/ T28 w 115"/>
                <a:gd name="T30" fmla="+- 0 530 520"/>
                <a:gd name="T31" fmla="*/ 530 h 81"/>
                <a:gd name="T32" fmla="+- 0 2524 2506"/>
                <a:gd name="T33" fmla="*/ T32 w 115"/>
                <a:gd name="T34" fmla="+- 0 534 520"/>
                <a:gd name="T35" fmla="*/ 534 h 81"/>
                <a:gd name="T36" fmla="+- 0 2520 2506"/>
                <a:gd name="T37" fmla="*/ T36 w 115"/>
                <a:gd name="T38" fmla="+- 0 540 520"/>
                <a:gd name="T39" fmla="*/ 540 h 81"/>
                <a:gd name="T40" fmla="+- 0 2518 2506"/>
                <a:gd name="T41" fmla="*/ T40 w 115"/>
                <a:gd name="T42" fmla="+- 0 543 520"/>
                <a:gd name="T43" fmla="*/ 543 h 81"/>
                <a:gd name="T44" fmla="+- 0 2517 2506"/>
                <a:gd name="T45" fmla="*/ T44 w 115"/>
                <a:gd name="T46" fmla="+- 0 547 520"/>
                <a:gd name="T47" fmla="*/ 547 h 81"/>
                <a:gd name="T48" fmla="+- 0 2517 2506"/>
                <a:gd name="T49" fmla="*/ T48 w 115"/>
                <a:gd name="T50" fmla="+- 0 601 520"/>
                <a:gd name="T51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115" h="81">
                  <a:moveTo>
                    <a:pt x="11" y="81"/>
                  </a:moveTo>
                  <a:lnTo>
                    <a:pt x="0" y="81"/>
                  </a:lnTo>
                  <a:lnTo>
                    <a:pt x="0" y="2"/>
                  </a:lnTo>
                  <a:lnTo>
                    <a:pt x="11" y="2"/>
                  </a:lnTo>
                  <a:lnTo>
                    <a:pt x="11" y="10"/>
                  </a:lnTo>
                  <a:lnTo>
                    <a:pt x="55" y="10"/>
                  </a:lnTo>
                  <a:lnTo>
                    <a:pt x="24" y="10"/>
                  </a:lnTo>
                  <a:lnTo>
                    <a:pt x="18" y="14"/>
                  </a:lnTo>
                  <a:lnTo>
                    <a:pt x="14" y="20"/>
                  </a:lnTo>
                  <a:lnTo>
                    <a:pt x="12" y="23"/>
                  </a:lnTo>
                  <a:lnTo>
                    <a:pt x="11" y="27"/>
                  </a:lnTo>
                  <a:lnTo>
                    <a:pt x="11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10" name="Freeform 4842">
              <a:extLst>
                <a:ext uri="{FF2B5EF4-FFF2-40B4-BE49-F238E27FC236}">
                  <a16:creationId xmlns:a16="http://schemas.microsoft.com/office/drawing/2014/main" id="{78E91295-0B30-89EC-B3DC-9037534F01E2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69 2506"/>
                <a:gd name="T1" fmla="*/ T0 w 115"/>
                <a:gd name="T2" fmla="+- 0 601 520"/>
                <a:gd name="T3" fmla="*/ 601 h 81"/>
                <a:gd name="T4" fmla="+- 0 2558 2506"/>
                <a:gd name="T5" fmla="*/ T4 w 115"/>
                <a:gd name="T6" fmla="+- 0 601 520"/>
                <a:gd name="T7" fmla="*/ 601 h 81"/>
                <a:gd name="T8" fmla="+- 0 2558 2506"/>
                <a:gd name="T9" fmla="*/ T8 w 115"/>
                <a:gd name="T10" fmla="+- 0 547 520"/>
                <a:gd name="T11" fmla="*/ 547 h 81"/>
                <a:gd name="T12" fmla="+- 0 2556 2506"/>
                <a:gd name="T13" fmla="*/ T12 w 115"/>
                <a:gd name="T14" fmla="+- 0 543 520"/>
                <a:gd name="T15" fmla="*/ 543 h 81"/>
                <a:gd name="T16" fmla="+- 0 2554 2506"/>
                <a:gd name="T17" fmla="*/ T16 w 115"/>
                <a:gd name="T18" fmla="+- 0 540 520"/>
                <a:gd name="T19" fmla="*/ 540 h 81"/>
                <a:gd name="T20" fmla="+- 0 2551 2506"/>
                <a:gd name="T21" fmla="*/ T20 w 115"/>
                <a:gd name="T22" fmla="+- 0 534 520"/>
                <a:gd name="T23" fmla="*/ 534 h 81"/>
                <a:gd name="T24" fmla="+- 0 2545 2506"/>
                <a:gd name="T25" fmla="*/ T24 w 115"/>
                <a:gd name="T26" fmla="+- 0 530 520"/>
                <a:gd name="T27" fmla="*/ 530 h 81"/>
                <a:gd name="T28" fmla="+- 0 2561 2506"/>
                <a:gd name="T29" fmla="*/ T28 w 115"/>
                <a:gd name="T30" fmla="+- 0 530 520"/>
                <a:gd name="T31" fmla="*/ 530 h 81"/>
                <a:gd name="T32" fmla="+- 0 2563 2506"/>
                <a:gd name="T33" fmla="*/ T32 w 115"/>
                <a:gd name="T34" fmla="+- 0 534 520"/>
                <a:gd name="T35" fmla="*/ 534 h 81"/>
                <a:gd name="T36" fmla="+- 0 2575 2506"/>
                <a:gd name="T37" fmla="*/ T36 w 115"/>
                <a:gd name="T38" fmla="+- 0 534 520"/>
                <a:gd name="T39" fmla="*/ 534 h 81"/>
                <a:gd name="T40" fmla="+- 0 2572 2506"/>
                <a:gd name="T41" fmla="*/ T40 w 115"/>
                <a:gd name="T42" fmla="+- 0 540 520"/>
                <a:gd name="T43" fmla="*/ 540 h 81"/>
                <a:gd name="T44" fmla="+- 0 2570 2506"/>
                <a:gd name="T45" fmla="*/ T44 w 115"/>
                <a:gd name="T46" fmla="+- 0 543 520"/>
                <a:gd name="T47" fmla="*/ 543 h 81"/>
                <a:gd name="T48" fmla="+- 0 2569 2506"/>
                <a:gd name="T49" fmla="*/ T48 w 115"/>
                <a:gd name="T50" fmla="+- 0 547 520"/>
                <a:gd name="T51" fmla="*/ 547 h 81"/>
                <a:gd name="T52" fmla="+- 0 2569 2506"/>
                <a:gd name="T53" fmla="*/ T52 w 115"/>
                <a:gd name="T54" fmla="+- 0 601 520"/>
                <a:gd name="T55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115" h="81">
                  <a:moveTo>
                    <a:pt x="63" y="81"/>
                  </a:moveTo>
                  <a:lnTo>
                    <a:pt x="52" y="81"/>
                  </a:lnTo>
                  <a:lnTo>
                    <a:pt x="52" y="27"/>
                  </a:lnTo>
                  <a:lnTo>
                    <a:pt x="50" y="23"/>
                  </a:lnTo>
                  <a:lnTo>
                    <a:pt x="48" y="20"/>
                  </a:lnTo>
                  <a:lnTo>
                    <a:pt x="45" y="14"/>
                  </a:lnTo>
                  <a:lnTo>
                    <a:pt x="39" y="10"/>
                  </a:lnTo>
                  <a:lnTo>
                    <a:pt x="55" y="10"/>
                  </a:lnTo>
                  <a:lnTo>
                    <a:pt x="57" y="14"/>
                  </a:lnTo>
                  <a:lnTo>
                    <a:pt x="69" y="14"/>
                  </a:lnTo>
                  <a:lnTo>
                    <a:pt x="66" y="20"/>
                  </a:lnTo>
                  <a:lnTo>
                    <a:pt x="64" y="23"/>
                  </a:lnTo>
                  <a:lnTo>
                    <a:pt x="63" y="27"/>
                  </a:lnTo>
                  <a:lnTo>
                    <a:pt x="63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11" name="Freeform 4841">
              <a:extLst>
                <a:ext uri="{FF2B5EF4-FFF2-40B4-BE49-F238E27FC236}">
                  <a16:creationId xmlns:a16="http://schemas.microsoft.com/office/drawing/2014/main" id="{F72385EB-79DA-74D7-85B3-5C4E5675135C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620 2506"/>
                <a:gd name="T1" fmla="*/ T0 w 115"/>
                <a:gd name="T2" fmla="+- 0 601 520"/>
                <a:gd name="T3" fmla="*/ 601 h 81"/>
                <a:gd name="T4" fmla="+- 0 2609 2506"/>
                <a:gd name="T5" fmla="*/ T4 w 115"/>
                <a:gd name="T6" fmla="+- 0 601 520"/>
                <a:gd name="T7" fmla="*/ 601 h 81"/>
                <a:gd name="T8" fmla="+- 0 2609 2506"/>
                <a:gd name="T9" fmla="*/ T8 w 115"/>
                <a:gd name="T10" fmla="+- 0 547 520"/>
                <a:gd name="T11" fmla="*/ 547 h 81"/>
                <a:gd name="T12" fmla="+- 0 2608 2506"/>
                <a:gd name="T13" fmla="*/ T12 w 115"/>
                <a:gd name="T14" fmla="+- 0 543 520"/>
                <a:gd name="T15" fmla="*/ 543 h 81"/>
                <a:gd name="T16" fmla="+- 0 2606 2506"/>
                <a:gd name="T17" fmla="*/ T16 w 115"/>
                <a:gd name="T18" fmla="+- 0 540 520"/>
                <a:gd name="T19" fmla="*/ 540 h 81"/>
                <a:gd name="T20" fmla="+- 0 2603 2506"/>
                <a:gd name="T21" fmla="*/ T20 w 115"/>
                <a:gd name="T22" fmla="+- 0 534 520"/>
                <a:gd name="T23" fmla="*/ 534 h 81"/>
                <a:gd name="T24" fmla="+- 0 2596 2506"/>
                <a:gd name="T25" fmla="*/ T24 w 115"/>
                <a:gd name="T26" fmla="+- 0 530 520"/>
                <a:gd name="T27" fmla="*/ 530 h 81"/>
                <a:gd name="T28" fmla="+- 0 2612 2506"/>
                <a:gd name="T29" fmla="*/ T28 w 115"/>
                <a:gd name="T30" fmla="+- 0 530 520"/>
                <a:gd name="T31" fmla="*/ 530 h 81"/>
                <a:gd name="T32" fmla="+- 0 2620 2506"/>
                <a:gd name="T33" fmla="*/ T32 w 115"/>
                <a:gd name="T34" fmla="+- 0 554 520"/>
                <a:gd name="T35" fmla="*/ 554 h 81"/>
                <a:gd name="T36" fmla="+- 0 2620 2506"/>
                <a:gd name="T37" fmla="*/ T36 w 115"/>
                <a:gd name="T38" fmla="+- 0 601 520"/>
                <a:gd name="T39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15" h="81">
                  <a:moveTo>
                    <a:pt x="114" y="81"/>
                  </a:moveTo>
                  <a:lnTo>
                    <a:pt x="103" y="81"/>
                  </a:lnTo>
                  <a:lnTo>
                    <a:pt x="103" y="27"/>
                  </a:lnTo>
                  <a:lnTo>
                    <a:pt x="102" y="23"/>
                  </a:lnTo>
                  <a:lnTo>
                    <a:pt x="100" y="20"/>
                  </a:lnTo>
                  <a:lnTo>
                    <a:pt x="97" y="14"/>
                  </a:lnTo>
                  <a:lnTo>
                    <a:pt x="90" y="10"/>
                  </a:lnTo>
                  <a:lnTo>
                    <a:pt x="106" y="10"/>
                  </a:lnTo>
                  <a:lnTo>
                    <a:pt x="114" y="34"/>
                  </a:lnTo>
                  <a:lnTo>
                    <a:pt x="114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57CB1E87-CD11-C56F-2D2F-253CF1010D06}"/>
              </a:ext>
            </a:extLst>
          </xdr:cNvPr>
          <xdr:cNvGrpSpPr>
            <a:grpSpLocks/>
          </xdr:cNvGrpSpPr>
        </xdr:nvGrpSpPr>
        <xdr:grpSpPr bwMode="auto">
          <a:xfrm>
            <a:off x="2638" y="520"/>
            <a:ext cx="78" cy="80"/>
            <a:chOff x="2638" y="520"/>
            <a:chExt cx="78" cy="80"/>
          </a:xfrm>
        </xdr:grpSpPr>
        <xdr:sp macro="" textlink="">
          <xdr:nvSpPr>
            <xdr:cNvPr id="104" name="Freeform 4839">
              <a:extLst>
                <a:ext uri="{FF2B5EF4-FFF2-40B4-BE49-F238E27FC236}">
                  <a16:creationId xmlns:a16="http://schemas.microsoft.com/office/drawing/2014/main" id="{330A05F4-88BB-A25F-1EA3-AD621F8A65C7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661 2638"/>
                <a:gd name="T1" fmla="*/ T0 w 78"/>
                <a:gd name="T2" fmla="+- 0 600 520"/>
                <a:gd name="T3" fmla="*/ 600 h 80"/>
                <a:gd name="T4" fmla="+- 0 2647 2638"/>
                <a:gd name="T5" fmla="*/ T4 w 78"/>
                <a:gd name="T6" fmla="+- 0 590 520"/>
                <a:gd name="T7" fmla="*/ 590 h 80"/>
                <a:gd name="T8" fmla="+- 0 2639 2638"/>
                <a:gd name="T9" fmla="*/ T8 w 78"/>
                <a:gd name="T10" fmla="+- 0 571 520"/>
                <a:gd name="T11" fmla="*/ 571 h 80"/>
                <a:gd name="T12" fmla="+- 0 2638 2638"/>
                <a:gd name="T13" fmla="*/ T12 w 78"/>
                <a:gd name="T14" fmla="+- 0 542 520"/>
                <a:gd name="T15" fmla="*/ 542 h 80"/>
                <a:gd name="T16" fmla="+- 0 2653 2638"/>
                <a:gd name="T17" fmla="*/ T16 w 78"/>
                <a:gd name="T18" fmla="+- 0 527 520"/>
                <a:gd name="T19" fmla="*/ 527 h 80"/>
                <a:gd name="T20" fmla="+- 0 2674 2638"/>
                <a:gd name="T21" fmla="*/ T20 w 78"/>
                <a:gd name="T22" fmla="+- 0 520 520"/>
                <a:gd name="T23" fmla="*/ 520 h 80"/>
                <a:gd name="T24" fmla="+- 0 2696 2638"/>
                <a:gd name="T25" fmla="*/ T24 w 78"/>
                <a:gd name="T26" fmla="+- 0 527 520"/>
                <a:gd name="T27" fmla="*/ 527 h 80"/>
                <a:gd name="T28" fmla="+- 0 2699 2638"/>
                <a:gd name="T29" fmla="*/ T28 w 78"/>
                <a:gd name="T30" fmla="+- 0 530 520"/>
                <a:gd name="T31" fmla="*/ 530 h 80"/>
                <a:gd name="T32" fmla="+- 0 2661 2638"/>
                <a:gd name="T33" fmla="*/ T32 w 78"/>
                <a:gd name="T34" fmla="+- 0 530 520"/>
                <a:gd name="T35" fmla="*/ 530 h 80"/>
                <a:gd name="T36" fmla="+- 0 2648 2638"/>
                <a:gd name="T37" fmla="*/ T36 w 78"/>
                <a:gd name="T38" fmla="+- 0 539 520"/>
                <a:gd name="T39" fmla="*/ 539 h 80"/>
                <a:gd name="T40" fmla="+- 0 2645 2638"/>
                <a:gd name="T41" fmla="*/ T40 w 78"/>
                <a:gd name="T42" fmla="+- 0 556 520"/>
                <a:gd name="T43" fmla="*/ 556 h 80"/>
                <a:gd name="T44" fmla="+- 0 2715 2638"/>
                <a:gd name="T45" fmla="*/ T44 w 78"/>
                <a:gd name="T46" fmla="+- 0 556 520"/>
                <a:gd name="T47" fmla="*/ 556 h 80"/>
                <a:gd name="T48" fmla="+- 0 2715 2638"/>
                <a:gd name="T49" fmla="*/ T48 w 78"/>
                <a:gd name="T50" fmla="+- 0 565 520"/>
                <a:gd name="T51" fmla="*/ 565 h 80"/>
                <a:gd name="T52" fmla="+- 0 2714 2638"/>
                <a:gd name="T53" fmla="*/ T52 w 78"/>
                <a:gd name="T54" fmla="+- 0 565 520"/>
                <a:gd name="T55" fmla="*/ 565 h 80"/>
                <a:gd name="T56" fmla="+- 0 2645 2638"/>
                <a:gd name="T57" fmla="*/ T56 w 78"/>
                <a:gd name="T58" fmla="+- 0 565 520"/>
                <a:gd name="T59" fmla="*/ 565 h 80"/>
                <a:gd name="T60" fmla="+- 0 2646 2638"/>
                <a:gd name="T61" fmla="*/ T60 w 78"/>
                <a:gd name="T62" fmla="+- 0 580 520"/>
                <a:gd name="T63" fmla="*/ 580 h 80"/>
                <a:gd name="T64" fmla="+- 0 2659 2638"/>
                <a:gd name="T65" fmla="*/ T64 w 78"/>
                <a:gd name="T66" fmla="+- 0 592 520"/>
                <a:gd name="T67" fmla="*/ 592 h 80"/>
                <a:gd name="T68" fmla="+- 0 2697 2638"/>
                <a:gd name="T69" fmla="*/ T68 w 78"/>
                <a:gd name="T70" fmla="+- 0 592 520"/>
                <a:gd name="T71" fmla="*/ 592 h 80"/>
                <a:gd name="T72" fmla="+- 0 2687 2638"/>
                <a:gd name="T73" fmla="*/ T72 w 78"/>
                <a:gd name="T74" fmla="+- 0 598 520"/>
                <a:gd name="T75" fmla="*/ 598 h 80"/>
                <a:gd name="T76" fmla="+- 0 2661 2638"/>
                <a:gd name="T77" fmla="*/ T76 w 78"/>
                <a:gd name="T78" fmla="+- 0 600 520"/>
                <a:gd name="T7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8" h="80">
                  <a:moveTo>
                    <a:pt x="23" y="80"/>
                  </a:moveTo>
                  <a:lnTo>
                    <a:pt x="9" y="70"/>
                  </a:lnTo>
                  <a:lnTo>
                    <a:pt x="1" y="51"/>
                  </a:lnTo>
                  <a:lnTo>
                    <a:pt x="0" y="22"/>
                  </a:lnTo>
                  <a:lnTo>
                    <a:pt x="15" y="7"/>
                  </a:lnTo>
                  <a:lnTo>
                    <a:pt x="36" y="0"/>
                  </a:lnTo>
                  <a:lnTo>
                    <a:pt x="58" y="7"/>
                  </a:lnTo>
                  <a:lnTo>
                    <a:pt x="61" y="10"/>
                  </a:lnTo>
                  <a:lnTo>
                    <a:pt x="23" y="10"/>
                  </a:lnTo>
                  <a:lnTo>
                    <a:pt x="10" y="19"/>
                  </a:lnTo>
                  <a:lnTo>
                    <a:pt x="7" y="36"/>
                  </a:lnTo>
                  <a:lnTo>
                    <a:pt x="77" y="36"/>
                  </a:lnTo>
                  <a:lnTo>
                    <a:pt x="77" y="45"/>
                  </a:lnTo>
                  <a:lnTo>
                    <a:pt x="76" y="45"/>
                  </a:lnTo>
                  <a:lnTo>
                    <a:pt x="7" y="45"/>
                  </a:lnTo>
                  <a:lnTo>
                    <a:pt x="8" y="60"/>
                  </a:lnTo>
                  <a:lnTo>
                    <a:pt x="21" y="72"/>
                  </a:lnTo>
                  <a:lnTo>
                    <a:pt x="59" y="72"/>
                  </a:lnTo>
                  <a:lnTo>
                    <a:pt x="49" y="78"/>
                  </a:lnTo>
                  <a:lnTo>
                    <a:pt x="23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05" name="Freeform 4838">
              <a:extLst>
                <a:ext uri="{FF2B5EF4-FFF2-40B4-BE49-F238E27FC236}">
                  <a16:creationId xmlns:a16="http://schemas.microsoft.com/office/drawing/2014/main" id="{ABFF3D44-56D2-8592-AAE5-EFDEE8C4314C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715 2638"/>
                <a:gd name="T1" fmla="*/ T0 w 78"/>
                <a:gd name="T2" fmla="+- 0 556 520"/>
                <a:gd name="T3" fmla="*/ 556 h 80"/>
                <a:gd name="T4" fmla="+- 0 2703 2638"/>
                <a:gd name="T5" fmla="*/ T4 w 78"/>
                <a:gd name="T6" fmla="+- 0 556 520"/>
                <a:gd name="T7" fmla="*/ 556 h 80"/>
                <a:gd name="T8" fmla="+- 0 2700 2638"/>
                <a:gd name="T9" fmla="*/ T8 w 78"/>
                <a:gd name="T10" fmla="+- 0 538 520"/>
                <a:gd name="T11" fmla="*/ 538 h 80"/>
                <a:gd name="T12" fmla="+- 0 2686 2638"/>
                <a:gd name="T13" fmla="*/ T12 w 78"/>
                <a:gd name="T14" fmla="+- 0 530 520"/>
                <a:gd name="T15" fmla="*/ 530 h 80"/>
                <a:gd name="T16" fmla="+- 0 2699 2638"/>
                <a:gd name="T17" fmla="*/ T16 w 78"/>
                <a:gd name="T18" fmla="+- 0 530 520"/>
                <a:gd name="T19" fmla="*/ 530 h 80"/>
                <a:gd name="T20" fmla="+- 0 2709 2638"/>
                <a:gd name="T21" fmla="*/ T20 w 78"/>
                <a:gd name="T22" fmla="+- 0 540 520"/>
                <a:gd name="T23" fmla="*/ 540 h 80"/>
                <a:gd name="T24" fmla="+- 0 2713 2638"/>
                <a:gd name="T25" fmla="*/ T24 w 78"/>
                <a:gd name="T26" fmla="+- 0 547 520"/>
                <a:gd name="T27" fmla="*/ 547 h 80"/>
                <a:gd name="T28" fmla="+- 0 2715 2638"/>
                <a:gd name="T29" fmla="*/ T28 w 78"/>
                <a:gd name="T30" fmla="+- 0 556 520"/>
                <a:gd name="T31" fmla="*/ 556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77" y="36"/>
                  </a:moveTo>
                  <a:lnTo>
                    <a:pt x="65" y="36"/>
                  </a:lnTo>
                  <a:lnTo>
                    <a:pt x="62" y="18"/>
                  </a:lnTo>
                  <a:lnTo>
                    <a:pt x="48" y="10"/>
                  </a:lnTo>
                  <a:lnTo>
                    <a:pt x="61" y="10"/>
                  </a:lnTo>
                  <a:lnTo>
                    <a:pt x="71" y="20"/>
                  </a:lnTo>
                  <a:lnTo>
                    <a:pt x="75" y="27"/>
                  </a:lnTo>
                  <a:lnTo>
                    <a:pt x="77" y="3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06" name="Freeform 4837">
              <a:extLst>
                <a:ext uri="{FF2B5EF4-FFF2-40B4-BE49-F238E27FC236}">
                  <a16:creationId xmlns:a16="http://schemas.microsoft.com/office/drawing/2014/main" id="{8AEB6415-3424-36AC-0C43-CF1AC90F5580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697 2638"/>
                <a:gd name="T1" fmla="*/ T0 w 78"/>
                <a:gd name="T2" fmla="+- 0 592 520"/>
                <a:gd name="T3" fmla="*/ 592 h 80"/>
                <a:gd name="T4" fmla="+- 0 2674 2638"/>
                <a:gd name="T5" fmla="*/ T4 w 78"/>
                <a:gd name="T6" fmla="+- 0 592 520"/>
                <a:gd name="T7" fmla="*/ 592 h 80"/>
                <a:gd name="T8" fmla="+- 0 2689 2638"/>
                <a:gd name="T9" fmla="*/ T8 w 78"/>
                <a:gd name="T10" fmla="+- 0 592 520"/>
                <a:gd name="T11" fmla="*/ 592 h 80"/>
                <a:gd name="T12" fmla="+- 0 2698 2638"/>
                <a:gd name="T13" fmla="*/ T12 w 78"/>
                <a:gd name="T14" fmla="+- 0 582 520"/>
                <a:gd name="T15" fmla="*/ 582 h 80"/>
                <a:gd name="T16" fmla="+- 0 2701 2638"/>
                <a:gd name="T17" fmla="*/ T16 w 78"/>
                <a:gd name="T18" fmla="+- 0 574 520"/>
                <a:gd name="T19" fmla="*/ 574 h 80"/>
                <a:gd name="T20" fmla="+- 0 2713 2638"/>
                <a:gd name="T21" fmla="*/ T20 w 78"/>
                <a:gd name="T22" fmla="+- 0 574 520"/>
                <a:gd name="T23" fmla="*/ 574 h 80"/>
                <a:gd name="T24" fmla="+- 0 2704 2638"/>
                <a:gd name="T25" fmla="*/ T24 w 78"/>
                <a:gd name="T26" fmla="+- 0 589 520"/>
                <a:gd name="T27" fmla="*/ 589 h 80"/>
                <a:gd name="T28" fmla="+- 0 2697 2638"/>
                <a:gd name="T29" fmla="*/ T28 w 78"/>
                <a:gd name="T30" fmla="+- 0 592 520"/>
                <a:gd name="T31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59" y="72"/>
                  </a:moveTo>
                  <a:lnTo>
                    <a:pt x="36" y="72"/>
                  </a:lnTo>
                  <a:lnTo>
                    <a:pt x="51" y="72"/>
                  </a:lnTo>
                  <a:lnTo>
                    <a:pt x="60" y="62"/>
                  </a:lnTo>
                  <a:lnTo>
                    <a:pt x="63" y="54"/>
                  </a:lnTo>
                  <a:lnTo>
                    <a:pt x="75" y="54"/>
                  </a:lnTo>
                  <a:lnTo>
                    <a:pt x="66" y="69"/>
                  </a:lnTo>
                  <a:lnTo>
                    <a:pt x="59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85" name="Group 84">
            <a:extLst>
              <a:ext uri="{FF2B5EF4-FFF2-40B4-BE49-F238E27FC236}">
                <a16:creationId xmlns:a16="http://schemas.microsoft.com/office/drawing/2014/main" id="{85B6251D-F770-D4E4-8006-800083B100BD}"/>
              </a:ext>
            </a:extLst>
          </xdr:cNvPr>
          <xdr:cNvGrpSpPr>
            <a:grpSpLocks/>
          </xdr:cNvGrpSpPr>
        </xdr:nvGrpSpPr>
        <xdr:grpSpPr bwMode="auto">
          <a:xfrm>
            <a:off x="2729" y="520"/>
            <a:ext cx="69" cy="81"/>
            <a:chOff x="2729" y="520"/>
            <a:chExt cx="69" cy="81"/>
          </a:xfrm>
        </xdr:grpSpPr>
        <xdr:sp macro="" textlink="">
          <xdr:nvSpPr>
            <xdr:cNvPr id="101" name="Freeform 4835">
              <a:extLst>
                <a:ext uri="{FF2B5EF4-FFF2-40B4-BE49-F238E27FC236}">
                  <a16:creationId xmlns:a16="http://schemas.microsoft.com/office/drawing/2014/main" id="{23D8EC21-8CD5-0F69-0336-6A3CFCF4D60C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53 2729"/>
                <a:gd name="T1" fmla="*/ T0 w 69"/>
                <a:gd name="T2" fmla="+- 0 531 520"/>
                <a:gd name="T3" fmla="*/ 531 h 81"/>
                <a:gd name="T4" fmla="+- 0 2740 2729"/>
                <a:gd name="T5" fmla="*/ T4 w 69"/>
                <a:gd name="T6" fmla="+- 0 531 520"/>
                <a:gd name="T7" fmla="*/ 531 h 81"/>
                <a:gd name="T8" fmla="+- 0 2744 2729"/>
                <a:gd name="T9" fmla="*/ T8 w 69"/>
                <a:gd name="T10" fmla="+- 0 526 520"/>
                <a:gd name="T11" fmla="*/ 526 h 81"/>
                <a:gd name="T12" fmla="+- 0 2752 2729"/>
                <a:gd name="T13" fmla="*/ T12 w 69"/>
                <a:gd name="T14" fmla="+- 0 520 520"/>
                <a:gd name="T15" fmla="*/ 520 h 81"/>
                <a:gd name="T16" fmla="+- 0 2774 2729"/>
                <a:gd name="T17" fmla="*/ T16 w 69"/>
                <a:gd name="T18" fmla="+- 0 520 520"/>
                <a:gd name="T19" fmla="*/ 520 h 81"/>
                <a:gd name="T20" fmla="+- 0 2782 2729"/>
                <a:gd name="T21" fmla="*/ T20 w 69"/>
                <a:gd name="T22" fmla="+- 0 523 520"/>
                <a:gd name="T23" fmla="*/ 523 h 81"/>
                <a:gd name="T24" fmla="+- 0 2789 2729"/>
                <a:gd name="T25" fmla="*/ T24 w 69"/>
                <a:gd name="T26" fmla="+- 0 530 520"/>
                <a:gd name="T27" fmla="*/ 530 h 81"/>
                <a:gd name="T28" fmla="+- 0 2761 2729"/>
                <a:gd name="T29" fmla="*/ T28 w 69"/>
                <a:gd name="T30" fmla="+- 0 530 520"/>
                <a:gd name="T31" fmla="*/ 530 h 81"/>
                <a:gd name="T32" fmla="+- 0 2753 2729"/>
                <a:gd name="T33" fmla="*/ T32 w 69"/>
                <a:gd name="T34" fmla="+- 0 531 520"/>
                <a:gd name="T35" fmla="*/ 531 h 81"/>
                <a:gd name="T36" fmla="+- 0 2753 2729"/>
                <a:gd name="T37" fmla="*/ T36 w 69"/>
                <a:gd name="T38" fmla="+- 0 531 520"/>
                <a:gd name="T39" fmla="*/ 53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9" h="81">
                  <a:moveTo>
                    <a:pt x="24" y="11"/>
                  </a:moveTo>
                  <a:lnTo>
                    <a:pt x="11" y="11"/>
                  </a:lnTo>
                  <a:lnTo>
                    <a:pt x="15" y="6"/>
                  </a:lnTo>
                  <a:lnTo>
                    <a:pt x="23" y="0"/>
                  </a:lnTo>
                  <a:lnTo>
                    <a:pt x="45" y="0"/>
                  </a:lnTo>
                  <a:lnTo>
                    <a:pt x="53" y="3"/>
                  </a:lnTo>
                  <a:lnTo>
                    <a:pt x="60" y="10"/>
                  </a:lnTo>
                  <a:lnTo>
                    <a:pt x="32" y="10"/>
                  </a:lnTo>
                  <a:lnTo>
                    <a:pt x="24" y="1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02" name="Freeform 4834">
              <a:extLst>
                <a:ext uri="{FF2B5EF4-FFF2-40B4-BE49-F238E27FC236}">
                  <a16:creationId xmlns:a16="http://schemas.microsoft.com/office/drawing/2014/main" id="{DA13530E-7A20-317D-8321-E0999A02A4B1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40 2729"/>
                <a:gd name="T1" fmla="*/ T0 w 69"/>
                <a:gd name="T2" fmla="+- 0 601 520"/>
                <a:gd name="T3" fmla="*/ 601 h 81"/>
                <a:gd name="T4" fmla="+- 0 2729 2729"/>
                <a:gd name="T5" fmla="*/ T4 w 69"/>
                <a:gd name="T6" fmla="+- 0 601 520"/>
                <a:gd name="T7" fmla="*/ 601 h 81"/>
                <a:gd name="T8" fmla="+- 0 2729 2729"/>
                <a:gd name="T9" fmla="*/ T8 w 69"/>
                <a:gd name="T10" fmla="+- 0 522 520"/>
                <a:gd name="T11" fmla="*/ 522 h 81"/>
                <a:gd name="T12" fmla="+- 0 2740 2729"/>
                <a:gd name="T13" fmla="*/ T12 w 69"/>
                <a:gd name="T14" fmla="+- 0 522 520"/>
                <a:gd name="T15" fmla="*/ 522 h 81"/>
                <a:gd name="T16" fmla="+- 0 2740 2729"/>
                <a:gd name="T17" fmla="*/ T16 w 69"/>
                <a:gd name="T18" fmla="+- 0 531 520"/>
                <a:gd name="T19" fmla="*/ 531 h 81"/>
                <a:gd name="T20" fmla="+- 0 2753 2729"/>
                <a:gd name="T21" fmla="*/ T20 w 69"/>
                <a:gd name="T22" fmla="+- 0 531 520"/>
                <a:gd name="T23" fmla="*/ 531 h 81"/>
                <a:gd name="T24" fmla="+- 0 2747 2729"/>
                <a:gd name="T25" fmla="*/ T24 w 69"/>
                <a:gd name="T26" fmla="+- 0 537 520"/>
                <a:gd name="T27" fmla="*/ 537 h 81"/>
                <a:gd name="T28" fmla="+- 0 2743 2729"/>
                <a:gd name="T29" fmla="*/ T28 w 69"/>
                <a:gd name="T30" fmla="+- 0 541 520"/>
                <a:gd name="T31" fmla="*/ 541 h 81"/>
                <a:gd name="T32" fmla="+- 0 2740 2729"/>
                <a:gd name="T33" fmla="*/ T32 w 69"/>
                <a:gd name="T34" fmla="+- 0 549 520"/>
                <a:gd name="T35" fmla="*/ 549 h 81"/>
                <a:gd name="T36" fmla="+- 0 2740 2729"/>
                <a:gd name="T37" fmla="*/ T36 w 69"/>
                <a:gd name="T38" fmla="+- 0 558 520"/>
                <a:gd name="T39" fmla="*/ 558 h 81"/>
                <a:gd name="T40" fmla="+- 0 2740 2729"/>
                <a:gd name="T41" fmla="*/ T40 w 69"/>
                <a:gd name="T42" fmla="+- 0 601 520"/>
                <a:gd name="T43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69" h="81">
                  <a:moveTo>
                    <a:pt x="11" y="81"/>
                  </a:moveTo>
                  <a:lnTo>
                    <a:pt x="0" y="81"/>
                  </a:lnTo>
                  <a:lnTo>
                    <a:pt x="0" y="2"/>
                  </a:lnTo>
                  <a:lnTo>
                    <a:pt x="11" y="2"/>
                  </a:lnTo>
                  <a:lnTo>
                    <a:pt x="11" y="11"/>
                  </a:lnTo>
                  <a:lnTo>
                    <a:pt x="24" y="11"/>
                  </a:lnTo>
                  <a:lnTo>
                    <a:pt x="18" y="17"/>
                  </a:lnTo>
                  <a:lnTo>
                    <a:pt x="14" y="21"/>
                  </a:lnTo>
                  <a:lnTo>
                    <a:pt x="11" y="29"/>
                  </a:lnTo>
                  <a:lnTo>
                    <a:pt x="11" y="38"/>
                  </a:lnTo>
                  <a:lnTo>
                    <a:pt x="11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03" name="Freeform 4833">
              <a:extLst>
                <a:ext uri="{FF2B5EF4-FFF2-40B4-BE49-F238E27FC236}">
                  <a16:creationId xmlns:a16="http://schemas.microsoft.com/office/drawing/2014/main" id="{534E0E69-6498-C7C3-931D-D8C732255057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98 2729"/>
                <a:gd name="T1" fmla="*/ T0 w 69"/>
                <a:gd name="T2" fmla="+- 0 600 520"/>
                <a:gd name="T3" fmla="*/ 600 h 81"/>
                <a:gd name="T4" fmla="+- 0 2787 2729"/>
                <a:gd name="T5" fmla="*/ T4 w 69"/>
                <a:gd name="T6" fmla="+- 0 600 520"/>
                <a:gd name="T7" fmla="*/ 600 h 81"/>
                <a:gd name="T8" fmla="+- 0 2787 2729"/>
                <a:gd name="T9" fmla="*/ T8 w 69"/>
                <a:gd name="T10" fmla="+- 0 549 520"/>
                <a:gd name="T11" fmla="*/ 549 h 81"/>
                <a:gd name="T12" fmla="+- 0 2784 2729"/>
                <a:gd name="T13" fmla="*/ T12 w 69"/>
                <a:gd name="T14" fmla="+- 0 541 520"/>
                <a:gd name="T15" fmla="*/ 541 h 81"/>
                <a:gd name="T16" fmla="+- 0 2774 2729"/>
                <a:gd name="T17" fmla="*/ T16 w 69"/>
                <a:gd name="T18" fmla="+- 0 531 520"/>
                <a:gd name="T19" fmla="*/ 531 h 81"/>
                <a:gd name="T20" fmla="+- 0 2766 2729"/>
                <a:gd name="T21" fmla="*/ T20 w 69"/>
                <a:gd name="T22" fmla="+- 0 530 520"/>
                <a:gd name="T23" fmla="*/ 530 h 81"/>
                <a:gd name="T24" fmla="+- 0 2789 2729"/>
                <a:gd name="T25" fmla="*/ T24 w 69"/>
                <a:gd name="T26" fmla="+- 0 530 520"/>
                <a:gd name="T27" fmla="*/ 530 h 81"/>
                <a:gd name="T28" fmla="+- 0 2795 2729"/>
                <a:gd name="T29" fmla="*/ T28 w 69"/>
                <a:gd name="T30" fmla="+- 0 536 520"/>
                <a:gd name="T31" fmla="*/ 536 h 81"/>
                <a:gd name="T32" fmla="+- 0 2798 2729"/>
                <a:gd name="T33" fmla="*/ T32 w 69"/>
                <a:gd name="T34" fmla="+- 0 546 520"/>
                <a:gd name="T35" fmla="*/ 546 h 81"/>
                <a:gd name="T36" fmla="+- 0 2798 2729"/>
                <a:gd name="T37" fmla="*/ T36 w 69"/>
                <a:gd name="T38" fmla="+- 0 600 520"/>
                <a:gd name="T39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9" h="81">
                  <a:moveTo>
                    <a:pt x="69" y="80"/>
                  </a:moveTo>
                  <a:lnTo>
                    <a:pt x="58" y="80"/>
                  </a:lnTo>
                  <a:lnTo>
                    <a:pt x="58" y="29"/>
                  </a:lnTo>
                  <a:lnTo>
                    <a:pt x="55" y="21"/>
                  </a:lnTo>
                  <a:lnTo>
                    <a:pt x="45" y="11"/>
                  </a:lnTo>
                  <a:lnTo>
                    <a:pt x="37" y="10"/>
                  </a:lnTo>
                  <a:lnTo>
                    <a:pt x="60" y="10"/>
                  </a:lnTo>
                  <a:lnTo>
                    <a:pt x="66" y="16"/>
                  </a:lnTo>
                  <a:lnTo>
                    <a:pt x="69" y="26"/>
                  </a:lnTo>
                  <a:lnTo>
                    <a:pt x="69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86" name="Group 85">
            <a:extLst>
              <a:ext uri="{FF2B5EF4-FFF2-40B4-BE49-F238E27FC236}">
                <a16:creationId xmlns:a16="http://schemas.microsoft.com/office/drawing/2014/main" id="{144074A6-D391-2ADF-73C1-D97C09DC49F6}"/>
              </a:ext>
            </a:extLst>
          </xdr:cNvPr>
          <xdr:cNvGrpSpPr>
            <a:grpSpLocks/>
          </xdr:cNvGrpSpPr>
        </xdr:nvGrpSpPr>
        <xdr:grpSpPr bwMode="auto">
          <a:xfrm>
            <a:off x="2810" y="495"/>
            <a:ext cx="46" cy="106"/>
            <a:chOff x="2810" y="495"/>
            <a:chExt cx="46" cy="106"/>
          </a:xfrm>
        </xdr:grpSpPr>
        <xdr:sp macro="" textlink="">
          <xdr:nvSpPr>
            <xdr:cNvPr id="98" name="Freeform 4831">
              <a:extLst>
                <a:ext uri="{FF2B5EF4-FFF2-40B4-BE49-F238E27FC236}">
                  <a16:creationId xmlns:a16="http://schemas.microsoft.com/office/drawing/2014/main" id="{66D72023-F1F8-F35A-D6BA-00A1B52F86F7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37 2810"/>
                <a:gd name="T1" fmla="*/ T0 w 46"/>
                <a:gd name="T2" fmla="+- 0 522 495"/>
                <a:gd name="T3" fmla="*/ 522 h 106"/>
                <a:gd name="T4" fmla="+- 0 2826 2810"/>
                <a:gd name="T5" fmla="*/ T4 w 46"/>
                <a:gd name="T6" fmla="+- 0 522 495"/>
                <a:gd name="T7" fmla="*/ 522 h 106"/>
                <a:gd name="T8" fmla="+- 0 2826 2810"/>
                <a:gd name="T9" fmla="*/ T8 w 46"/>
                <a:gd name="T10" fmla="+- 0 495 495"/>
                <a:gd name="T11" fmla="*/ 495 h 106"/>
                <a:gd name="T12" fmla="+- 0 2837 2810"/>
                <a:gd name="T13" fmla="*/ T12 w 46"/>
                <a:gd name="T14" fmla="+- 0 495 495"/>
                <a:gd name="T15" fmla="*/ 495 h 106"/>
                <a:gd name="T16" fmla="+- 0 2837 2810"/>
                <a:gd name="T17" fmla="*/ T16 w 46"/>
                <a:gd name="T18" fmla="+- 0 522 495"/>
                <a:gd name="T19" fmla="*/ 52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27" y="27"/>
                  </a:moveTo>
                  <a:lnTo>
                    <a:pt x="16" y="27"/>
                  </a:lnTo>
                  <a:lnTo>
                    <a:pt x="16" y="0"/>
                  </a:lnTo>
                  <a:lnTo>
                    <a:pt x="27" y="0"/>
                  </a:lnTo>
                  <a:lnTo>
                    <a:pt x="27" y="2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99" name="Freeform 4830">
              <a:extLst>
                <a:ext uri="{FF2B5EF4-FFF2-40B4-BE49-F238E27FC236}">
                  <a16:creationId xmlns:a16="http://schemas.microsoft.com/office/drawing/2014/main" id="{C161435C-FBB4-D4F2-1046-EF716C0980F4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56 2810"/>
                <a:gd name="T1" fmla="*/ T0 w 46"/>
                <a:gd name="T2" fmla="+- 0 532 495"/>
                <a:gd name="T3" fmla="*/ 532 h 106"/>
                <a:gd name="T4" fmla="+- 0 2810 2810"/>
                <a:gd name="T5" fmla="*/ T4 w 46"/>
                <a:gd name="T6" fmla="+- 0 532 495"/>
                <a:gd name="T7" fmla="*/ 532 h 106"/>
                <a:gd name="T8" fmla="+- 0 2810 2810"/>
                <a:gd name="T9" fmla="*/ T8 w 46"/>
                <a:gd name="T10" fmla="+- 0 522 495"/>
                <a:gd name="T11" fmla="*/ 522 h 106"/>
                <a:gd name="T12" fmla="+- 0 2856 2810"/>
                <a:gd name="T13" fmla="*/ T12 w 46"/>
                <a:gd name="T14" fmla="+- 0 522 495"/>
                <a:gd name="T15" fmla="*/ 522 h 106"/>
                <a:gd name="T16" fmla="+- 0 2856 2810"/>
                <a:gd name="T17" fmla="*/ T16 w 46"/>
                <a:gd name="T18" fmla="+- 0 532 495"/>
                <a:gd name="T19" fmla="*/ 53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46" y="37"/>
                  </a:moveTo>
                  <a:lnTo>
                    <a:pt x="0" y="37"/>
                  </a:lnTo>
                  <a:lnTo>
                    <a:pt x="0" y="27"/>
                  </a:lnTo>
                  <a:lnTo>
                    <a:pt x="46" y="27"/>
                  </a:lnTo>
                  <a:lnTo>
                    <a:pt x="46" y="3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00" name="Freeform 4829">
              <a:extLst>
                <a:ext uri="{FF2B5EF4-FFF2-40B4-BE49-F238E27FC236}">
                  <a16:creationId xmlns:a16="http://schemas.microsoft.com/office/drawing/2014/main" id="{D235C2DA-3233-0F29-AD61-8F58F235D569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37 2810"/>
                <a:gd name="T1" fmla="*/ T0 w 46"/>
                <a:gd name="T2" fmla="+- 0 601 495"/>
                <a:gd name="T3" fmla="*/ 601 h 106"/>
                <a:gd name="T4" fmla="+- 0 2826 2810"/>
                <a:gd name="T5" fmla="*/ T4 w 46"/>
                <a:gd name="T6" fmla="+- 0 601 495"/>
                <a:gd name="T7" fmla="*/ 601 h 106"/>
                <a:gd name="T8" fmla="+- 0 2826 2810"/>
                <a:gd name="T9" fmla="*/ T8 w 46"/>
                <a:gd name="T10" fmla="+- 0 532 495"/>
                <a:gd name="T11" fmla="*/ 532 h 106"/>
                <a:gd name="T12" fmla="+- 0 2837 2810"/>
                <a:gd name="T13" fmla="*/ T12 w 46"/>
                <a:gd name="T14" fmla="+- 0 532 495"/>
                <a:gd name="T15" fmla="*/ 532 h 106"/>
                <a:gd name="T16" fmla="+- 0 2837 2810"/>
                <a:gd name="T17" fmla="*/ T16 w 46"/>
                <a:gd name="T18" fmla="+- 0 601 495"/>
                <a:gd name="T19" fmla="*/ 601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27" y="106"/>
                  </a:moveTo>
                  <a:lnTo>
                    <a:pt x="16" y="106"/>
                  </a:lnTo>
                  <a:lnTo>
                    <a:pt x="16" y="37"/>
                  </a:lnTo>
                  <a:lnTo>
                    <a:pt x="27" y="37"/>
                  </a:lnTo>
                  <a:lnTo>
                    <a:pt x="27" y="10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87" name="Group 86">
            <a:extLst>
              <a:ext uri="{FF2B5EF4-FFF2-40B4-BE49-F238E27FC236}">
                <a16:creationId xmlns:a16="http://schemas.microsoft.com/office/drawing/2014/main" id="{30310129-3B94-4963-D003-8041762815E3}"/>
              </a:ext>
            </a:extLst>
          </xdr:cNvPr>
          <xdr:cNvGrpSpPr>
            <a:grpSpLocks/>
          </xdr:cNvGrpSpPr>
        </xdr:nvGrpSpPr>
        <xdr:grpSpPr bwMode="auto">
          <a:xfrm>
            <a:off x="2867" y="520"/>
            <a:ext cx="78" cy="80"/>
            <a:chOff x="2867" y="520"/>
            <a:chExt cx="78" cy="80"/>
          </a:xfrm>
        </xdr:grpSpPr>
        <xdr:sp macro="" textlink="">
          <xdr:nvSpPr>
            <xdr:cNvPr id="95" name="Freeform 4827">
              <a:extLst>
                <a:ext uri="{FF2B5EF4-FFF2-40B4-BE49-F238E27FC236}">
                  <a16:creationId xmlns:a16="http://schemas.microsoft.com/office/drawing/2014/main" id="{95B0A018-C503-6480-8FC2-32AC620E422D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890 2867"/>
                <a:gd name="T1" fmla="*/ T0 w 78"/>
                <a:gd name="T2" fmla="+- 0 600 520"/>
                <a:gd name="T3" fmla="*/ 600 h 80"/>
                <a:gd name="T4" fmla="+- 0 2876 2867"/>
                <a:gd name="T5" fmla="*/ T4 w 78"/>
                <a:gd name="T6" fmla="+- 0 590 520"/>
                <a:gd name="T7" fmla="*/ 590 h 80"/>
                <a:gd name="T8" fmla="+- 0 2867 2867"/>
                <a:gd name="T9" fmla="*/ T8 w 78"/>
                <a:gd name="T10" fmla="+- 0 571 520"/>
                <a:gd name="T11" fmla="*/ 571 h 80"/>
                <a:gd name="T12" fmla="+- 0 2867 2867"/>
                <a:gd name="T13" fmla="*/ T12 w 78"/>
                <a:gd name="T14" fmla="+- 0 542 520"/>
                <a:gd name="T15" fmla="*/ 542 h 80"/>
                <a:gd name="T16" fmla="+- 0 2881 2867"/>
                <a:gd name="T17" fmla="*/ T16 w 78"/>
                <a:gd name="T18" fmla="+- 0 527 520"/>
                <a:gd name="T19" fmla="*/ 527 h 80"/>
                <a:gd name="T20" fmla="+- 0 2902 2867"/>
                <a:gd name="T21" fmla="*/ T20 w 78"/>
                <a:gd name="T22" fmla="+- 0 520 520"/>
                <a:gd name="T23" fmla="*/ 520 h 80"/>
                <a:gd name="T24" fmla="+- 0 2924 2867"/>
                <a:gd name="T25" fmla="*/ T24 w 78"/>
                <a:gd name="T26" fmla="+- 0 527 520"/>
                <a:gd name="T27" fmla="*/ 527 h 80"/>
                <a:gd name="T28" fmla="+- 0 2928 2867"/>
                <a:gd name="T29" fmla="*/ T28 w 78"/>
                <a:gd name="T30" fmla="+- 0 530 520"/>
                <a:gd name="T31" fmla="*/ 530 h 80"/>
                <a:gd name="T32" fmla="+- 0 2890 2867"/>
                <a:gd name="T33" fmla="*/ T32 w 78"/>
                <a:gd name="T34" fmla="+- 0 530 520"/>
                <a:gd name="T35" fmla="*/ 530 h 80"/>
                <a:gd name="T36" fmla="+- 0 2876 2867"/>
                <a:gd name="T37" fmla="*/ T36 w 78"/>
                <a:gd name="T38" fmla="+- 0 539 520"/>
                <a:gd name="T39" fmla="*/ 539 h 80"/>
                <a:gd name="T40" fmla="+- 0 2873 2867"/>
                <a:gd name="T41" fmla="*/ T40 w 78"/>
                <a:gd name="T42" fmla="+- 0 555 520"/>
                <a:gd name="T43" fmla="*/ 555 h 80"/>
                <a:gd name="T44" fmla="+- 0 2944 2867"/>
                <a:gd name="T45" fmla="*/ T44 w 78"/>
                <a:gd name="T46" fmla="+- 0 555 520"/>
                <a:gd name="T47" fmla="*/ 555 h 80"/>
                <a:gd name="T48" fmla="+- 0 2943 2867"/>
                <a:gd name="T49" fmla="*/ T48 w 78"/>
                <a:gd name="T50" fmla="+- 0 565 520"/>
                <a:gd name="T51" fmla="*/ 565 h 80"/>
                <a:gd name="T52" fmla="+- 0 2943 2867"/>
                <a:gd name="T53" fmla="*/ T52 w 78"/>
                <a:gd name="T54" fmla="+- 0 565 520"/>
                <a:gd name="T55" fmla="*/ 565 h 80"/>
                <a:gd name="T56" fmla="+- 0 2873 2867"/>
                <a:gd name="T57" fmla="*/ T56 w 78"/>
                <a:gd name="T58" fmla="+- 0 565 520"/>
                <a:gd name="T59" fmla="*/ 565 h 80"/>
                <a:gd name="T60" fmla="+- 0 2874 2867"/>
                <a:gd name="T61" fmla="*/ T60 w 78"/>
                <a:gd name="T62" fmla="+- 0 580 520"/>
                <a:gd name="T63" fmla="*/ 580 h 80"/>
                <a:gd name="T64" fmla="+- 0 2888 2867"/>
                <a:gd name="T65" fmla="*/ T64 w 78"/>
                <a:gd name="T66" fmla="+- 0 592 520"/>
                <a:gd name="T67" fmla="*/ 592 h 80"/>
                <a:gd name="T68" fmla="+- 0 2926 2867"/>
                <a:gd name="T69" fmla="*/ T68 w 78"/>
                <a:gd name="T70" fmla="+- 0 592 520"/>
                <a:gd name="T71" fmla="*/ 592 h 80"/>
                <a:gd name="T72" fmla="+- 0 2915 2867"/>
                <a:gd name="T73" fmla="*/ T72 w 78"/>
                <a:gd name="T74" fmla="+- 0 598 520"/>
                <a:gd name="T75" fmla="*/ 598 h 80"/>
                <a:gd name="T76" fmla="+- 0 2890 2867"/>
                <a:gd name="T77" fmla="*/ T76 w 78"/>
                <a:gd name="T78" fmla="+- 0 600 520"/>
                <a:gd name="T7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8" h="80">
                  <a:moveTo>
                    <a:pt x="23" y="80"/>
                  </a:moveTo>
                  <a:lnTo>
                    <a:pt x="9" y="70"/>
                  </a:lnTo>
                  <a:lnTo>
                    <a:pt x="0" y="51"/>
                  </a:lnTo>
                  <a:lnTo>
                    <a:pt x="0" y="22"/>
                  </a:lnTo>
                  <a:lnTo>
                    <a:pt x="14" y="7"/>
                  </a:lnTo>
                  <a:lnTo>
                    <a:pt x="35" y="0"/>
                  </a:lnTo>
                  <a:lnTo>
                    <a:pt x="57" y="7"/>
                  </a:lnTo>
                  <a:lnTo>
                    <a:pt x="61" y="10"/>
                  </a:lnTo>
                  <a:lnTo>
                    <a:pt x="23" y="10"/>
                  </a:lnTo>
                  <a:lnTo>
                    <a:pt x="9" y="19"/>
                  </a:lnTo>
                  <a:lnTo>
                    <a:pt x="6" y="35"/>
                  </a:lnTo>
                  <a:lnTo>
                    <a:pt x="77" y="35"/>
                  </a:lnTo>
                  <a:lnTo>
                    <a:pt x="76" y="45"/>
                  </a:lnTo>
                  <a:lnTo>
                    <a:pt x="6" y="45"/>
                  </a:lnTo>
                  <a:lnTo>
                    <a:pt x="7" y="60"/>
                  </a:lnTo>
                  <a:lnTo>
                    <a:pt x="21" y="72"/>
                  </a:lnTo>
                  <a:lnTo>
                    <a:pt x="59" y="72"/>
                  </a:lnTo>
                  <a:lnTo>
                    <a:pt x="48" y="78"/>
                  </a:lnTo>
                  <a:lnTo>
                    <a:pt x="23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96" name="Freeform 4826">
              <a:extLst>
                <a:ext uri="{FF2B5EF4-FFF2-40B4-BE49-F238E27FC236}">
                  <a16:creationId xmlns:a16="http://schemas.microsoft.com/office/drawing/2014/main" id="{FAAC31BA-1074-ABF7-C27C-442F86AA5D91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944 2867"/>
                <a:gd name="T1" fmla="*/ T0 w 78"/>
                <a:gd name="T2" fmla="+- 0 555 520"/>
                <a:gd name="T3" fmla="*/ 555 h 80"/>
                <a:gd name="T4" fmla="+- 0 2932 2867"/>
                <a:gd name="T5" fmla="*/ T4 w 78"/>
                <a:gd name="T6" fmla="+- 0 555 520"/>
                <a:gd name="T7" fmla="*/ 555 h 80"/>
                <a:gd name="T8" fmla="+- 0 2929 2867"/>
                <a:gd name="T9" fmla="*/ T8 w 78"/>
                <a:gd name="T10" fmla="+- 0 538 520"/>
                <a:gd name="T11" fmla="*/ 538 h 80"/>
                <a:gd name="T12" fmla="+- 0 2914 2867"/>
                <a:gd name="T13" fmla="*/ T12 w 78"/>
                <a:gd name="T14" fmla="+- 0 530 520"/>
                <a:gd name="T15" fmla="*/ 530 h 80"/>
                <a:gd name="T16" fmla="+- 0 2928 2867"/>
                <a:gd name="T17" fmla="*/ T16 w 78"/>
                <a:gd name="T18" fmla="+- 0 530 520"/>
                <a:gd name="T19" fmla="*/ 530 h 80"/>
                <a:gd name="T20" fmla="+- 0 2937 2867"/>
                <a:gd name="T21" fmla="*/ T20 w 78"/>
                <a:gd name="T22" fmla="+- 0 540 520"/>
                <a:gd name="T23" fmla="*/ 540 h 80"/>
                <a:gd name="T24" fmla="+- 0 2942 2867"/>
                <a:gd name="T25" fmla="*/ T24 w 78"/>
                <a:gd name="T26" fmla="+- 0 547 520"/>
                <a:gd name="T27" fmla="*/ 547 h 80"/>
                <a:gd name="T28" fmla="+- 0 2944 2867"/>
                <a:gd name="T29" fmla="*/ T28 w 78"/>
                <a:gd name="T30" fmla="+- 0 555 520"/>
                <a:gd name="T31" fmla="*/ 555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77" y="35"/>
                  </a:moveTo>
                  <a:lnTo>
                    <a:pt x="65" y="35"/>
                  </a:lnTo>
                  <a:lnTo>
                    <a:pt x="62" y="18"/>
                  </a:lnTo>
                  <a:lnTo>
                    <a:pt x="47" y="10"/>
                  </a:lnTo>
                  <a:lnTo>
                    <a:pt x="61" y="10"/>
                  </a:lnTo>
                  <a:lnTo>
                    <a:pt x="70" y="20"/>
                  </a:lnTo>
                  <a:lnTo>
                    <a:pt x="75" y="27"/>
                  </a:lnTo>
                  <a:lnTo>
                    <a:pt x="77" y="3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97" name="Freeform 4825">
              <a:extLst>
                <a:ext uri="{FF2B5EF4-FFF2-40B4-BE49-F238E27FC236}">
                  <a16:creationId xmlns:a16="http://schemas.microsoft.com/office/drawing/2014/main" id="{3E7476AF-14DD-1D64-37D8-434AE1EF2867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926 2867"/>
                <a:gd name="T1" fmla="*/ T0 w 78"/>
                <a:gd name="T2" fmla="+- 0 592 520"/>
                <a:gd name="T3" fmla="*/ 592 h 80"/>
                <a:gd name="T4" fmla="+- 0 2902 2867"/>
                <a:gd name="T5" fmla="*/ T4 w 78"/>
                <a:gd name="T6" fmla="+- 0 592 520"/>
                <a:gd name="T7" fmla="*/ 592 h 80"/>
                <a:gd name="T8" fmla="+- 0 2918 2867"/>
                <a:gd name="T9" fmla="*/ T8 w 78"/>
                <a:gd name="T10" fmla="+- 0 592 520"/>
                <a:gd name="T11" fmla="*/ 592 h 80"/>
                <a:gd name="T12" fmla="+- 0 2926 2867"/>
                <a:gd name="T13" fmla="*/ T12 w 78"/>
                <a:gd name="T14" fmla="+- 0 582 520"/>
                <a:gd name="T15" fmla="*/ 582 h 80"/>
                <a:gd name="T16" fmla="+- 0 2930 2867"/>
                <a:gd name="T17" fmla="*/ T16 w 78"/>
                <a:gd name="T18" fmla="+- 0 574 520"/>
                <a:gd name="T19" fmla="*/ 574 h 80"/>
                <a:gd name="T20" fmla="+- 0 2941 2867"/>
                <a:gd name="T21" fmla="*/ T20 w 78"/>
                <a:gd name="T22" fmla="+- 0 574 520"/>
                <a:gd name="T23" fmla="*/ 574 h 80"/>
                <a:gd name="T24" fmla="+- 0 2932 2867"/>
                <a:gd name="T25" fmla="*/ T24 w 78"/>
                <a:gd name="T26" fmla="+- 0 589 520"/>
                <a:gd name="T27" fmla="*/ 589 h 80"/>
                <a:gd name="T28" fmla="+- 0 2926 2867"/>
                <a:gd name="T29" fmla="*/ T28 w 78"/>
                <a:gd name="T30" fmla="+- 0 592 520"/>
                <a:gd name="T31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59" y="72"/>
                  </a:moveTo>
                  <a:lnTo>
                    <a:pt x="35" y="72"/>
                  </a:lnTo>
                  <a:lnTo>
                    <a:pt x="51" y="72"/>
                  </a:lnTo>
                  <a:lnTo>
                    <a:pt x="59" y="62"/>
                  </a:lnTo>
                  <a:lnTo>
                    <a:pt x="63" y="54"/>
                  </a:lnTo>
                  <a:lnTo>
                    <a:pt x="74" y="54"/>
                  </a:lnTo>
                  <a:lnTo>
                    <a:pt x="65" y="69"/>
                  </a:lnTo>
                  <a:lnTo>
                    <a:pt x="59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88" name="Group 87">
            <a:extLst>
              <a:ext uri="{FF2B5EF4-FFF2-40B4-BE49-F238E27FC236}">
                <a16:creationId xmlns:a16="http://schemas.microsoft.com/office/drawing/2014/main" id="{0CC684AE-8D37-71C4-08F8-1DB3ABB42C2A}"/>
              </a:ext>
            </a:extLst>
          </xdr:cNvPr>
          <xdr:cNvGrpSpPr>
            <a:grpSpLocks/>
          </xdr:cNvGrpSpPr>
        </xdr:nvGrpSpPr>
        <xdr:grpSpPr bwMode="auto">
          <a:xfrm>
            <a:off x="2958" y="495"/>
            <a:ext cx="78" cy="106"/>
            <a:chOff x="2958" y="495"/>
            <a:chExt cx="78" cy="106"/>
          </a:xfrm>
        </xdr:grpSpPr>
        <xdr:sp macro="" textlink="">
          <xdr:nvSpPr>
            <xdr:cNvPr id="91" name="Freeform 4823">
              <a:extLst>
                <a:ext uri="{FF2B5EF4-FFF2-40B4-BE49-F238E27FC236}">
                  <a16:creationId xmlns:a16="http://schemas.microsoft.com/office/drawing/2014/main" id="{77B4AD4F-41DE-2EF1-82CB-4B90363F59EE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36 2958"/>
                <a:gd name="T1" fmla="*/ T0 w 78"/>
                <a:gd name="T2" fmla="+- 0 535 495"/>
                <a:gd name="T3" fmla="*/ 535 h 106"/>
                <a:gd name="T4" fmla="+- 0 3025 2958"/>
                <a:gd name="T5" fmla="*/ T4 w 78"/>
                <a:gd name="T6" fmla="+- 0 535 495"/>
                <a:gd name="T7" fmla="*/ 535 h 106"/>
                <a:gd name="T8" fmla="+- 0 3025 2958"/>
                <a:gd name="T9" fmla="*/ T8 w 78"/>
                <a:gd name="T10" fmla="+- 0 495 495"/>
                <a:gd name="T11" fmla="*/ 495 h 106"/>
                <a:gd name="T12" fmla="+- 0 3036 2958"/>
                <a:gd name="T13" fmla="*/ T12 w 78"/>
                <a:gd name="T14" fmla="+- 0 495 495"/>
                <a:gd name="T15" fmla="*/ 495 h 106"/>
                <a:gd name="T16" fmla="+- 0 3036 2958"/>
                <a:gd name="T17" fmla="*/ T16 w 78"/>
                <a:gd name="T18" fmla="+- 0 535 495"/>
                <a:gd name="T19" fmla="*/ 535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106">
                  <a:moveTo>
                    <a:pt x="78" y="40"/>
                  </a:moveTo>
                  <a:lnTo>
                    <a:pt x="67" y="40"/>
                  </a:lnTo>
                  <a:lnTo>
                    <a:pt x="67" y="0"/>
                  </a:lnTo>
                  <a:lnTo>
                    <a:pt x="78" y="0"/>
                  </a:lnTo>
                  <a:lnTo>
                    <a:pt x="78" y="4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92" name="Freeform 4822">
              <a:extLst>
                <a:ext uri="{FF2B5EF4-FFF2-40B4-BE49-F238E27FC236}">
                  <a16:creationId xmlns:a16="http://schemas.microsoft.com/office/drawing/2014/main" id="{8FE951EF-4C52-96D5-65EF-6BB9299E9344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2982 2958"/>
                <a:gd name="T1" fmla="*/ T0 w 78"/>
                <a:gd name="T2" fmla="+- 0 600 495"/>
                <a:gd name="T3" fmla="*/ 600 h 106"/>
                <a:gd name="T4" fmla="+- 0 2968 2958"/>
                <a:gd name="T5" fmla="*/ T4 w 78"/>
                <a:gd name="T6" fmla="+- 0 590 495"/>
                <a:gd name="T7" fmla="*/ 590 h 106"/>
                <a:gd name="T8" fmla="+- 0 2959 2958"/>
                <a:gd name="T9" fmla="*/ T8 w 78"/>
                <a:gd name="T10" fmla="+- 0 571 495"/>
                <a:gd name="T11" fmla="*/ 571 h 106"/>
                <a:gd name="T12" fmla="+- 0 2958 2958"/>
                <a:gd name="T13" fmla="*/ T12 w 78"/>
                <a:gd name="T14" fmla="+- 0 543 495"/>
                <a:gd name="T15" fmla="*/ 543 h 106"/>
                <a:gd name="T16" fmla="+- 0 2973 2958"/>
                <a:gd name="T17" fmla="*/ T16 w 78"/>
                <a:gd name="T18" fmla="+- 0 527 495"/>
                <a:gd name="T19" fmla="*/ 527 h 106"/>
                <a:gd name="T20" fmla="+- 0 2996 2958"/>
                <a:gd name="T21" fmla="*/ T20 w 78"/>
                <a:gd name="T22" fmla="+- 0 520 495"/>
                <a:gd name="T23" fmla="*/ 520 h 106"/>
                <a:gd name="T24" fmla="+- 0 3000 2958"/>
                <a:gd name="T25" fmla="*/ T24 w 78"/>
                <a:gd name="T26" fmla="+- 0 520 495"/>
                <a:gd name="T27" fmla="*/ 520 h 106"/>
                <a:gd name="T28" fmla="+- 0 3016 2958"/>
                <a:gd name="T29" fmla="*/ T28 w 78"/>
                <a:gd name="T30" fmla="+- 0 521 495"/>
                <a:gd name="T31" fmla="*/ 521 h 106"/>
                <a:gd name="T32" fmla="+- 0 3023 2958"/>
                <a:gd name="T33" fmla="*/ T32 w 78"/>
                <a:gd name="T34" fmla="+- 0 531 495"/>
                <a:gd name="T35" fmla="*/ 531 h 106"/>
                <a:gd name="T36" fmla="+- 0 2989 2958"/>
                <a:gd name="T37" fmla="*/ T36 w 78"/>
                <a:gd name="T38" fmla="+- 0 531 495"/>
                <a:gd name="T39" fmla="*/ 531 h 106"/>
                <a:gd name="T40" fmla="+- 0 2972 2958"/>
                <a:gd name="T41" fmla="*/ T40 w 78"/>
                <a:gd name="T42" fmla="+- 0 542 495"/>
                <a:gd name="T43" fmla="*/ 542 h 106"/>
                <a:gd name="T44" fmla="+- 0 2965 2958"/>
                <a:gd name="T45" fmla="*/ T44 w 78"/>
                <a:gd name="T46" fmla="+- 0 566 495"/>
                <a:gd name="T47" fmla="*/ 566 h 106"/>
                <a:gd name="T48" fmla="+- 0 2975 2958"/>
                <a:gd name="T49" fmla="*/ T48 w 78"/>
                <a:gd name="T50" fmla="+- 0 585 495"/>
                <a:gd name="T51" fmla="*/ 585 h 106"/>
                <a:gd name="T52" fmla="+- 0 2996 2958"/>
                <a:gd name="T53" fmla="*/ T52 w 78"/>
                <a:gd name="T54" fmla="+- 0 592 495"/>
                <a:gd name="T55" fmla="*/ 592 h 106"/>
                <a:gd name="T56" fmla="+- 0 3021 2958"/>
                <a:gd name="T57" fmla="*/ T56 w 78"/>
                <a:gd name="T58" fmla="+- 0 592 495"/>
                <a:gd name="T59" fmla="*/ 592 h 106"/>
                <a:gd name="T60" fmla="+- 0 3007 2958"/>
                <a:gd name="T61" fmla="*/ T60 w 78"/>
                <a:gd name="T62" fmla="+- 0 599 495"/>
                <a:gd name="T63" fmla="*/ 599 h 106"/>
                <a:gd name="T64" fmla="+- 0 2982 2958"/>
                <a:gd name="T65" fmla="*/ T64 w 78"/>
                <a:gd name="T66" fmla="+- 0 600 495"/>
                <a:gd name="T67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8" h="106">
                  <a:moveTo>
                    <a:pt x="24" y="105"/>
                  </a:moveTo>
                  <a:lnTo>
                    <a:pt x="10" y="95"/>
                  </a:lnTo>
                  <a:lnTo>
                    <a:pt x="1" y="76"/>
                  </a:lnTo>
                  <a:lnTo>
                    <a:pt x="0" y="48"/>
                  </a:lnTo>
                  <a:lnTo>
                    <a:pt x="15" y="32"/>
                  </a:lnTo>
                  <a:lnTo>
                    <a:pt x="38" y="25"/>
                  </a:lnTo>
                  <a:lnTo>
                    <a:pt x="42" y="25"/>
                  </a:lnTo>
                  <a:lnTo>
                    <a:pt x="58" y="26"/>
                  </a:lnTo>
                  <a:lnTo>
                    <a:pt x="65" y="36"/>
                  </a:lnTo>
                  <a:lnTo>
                    <a:pt x="31" y="36"/>
                  </a:lnTo>
                  <a:lnTo>
                    <a:pt x="14" y="47"/>
                  </a:lnTo>
                  <a:lnTo>
                    <a:pt x="7" y="71"/>
                  </a:lnTo>
                  <a:lnTo>
                    <a:pt x="17" y="90"/>
                  </a:lnTo>
                  <a:lnTo>
                    <a:pt x="38" y="97"/>
                  </a:lnTo>
                  <a:lnTo>
                    <a:pt x="63" y="97"/>
                  </a:lnTo>
                  <a:lnTo>
                    <a:pt x="49" y="104"/>
                  </a:lnTo>
                  <a:lnTo>
                    <a:pt x="24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93" name="Freeform 4821">
              <a:extLst>
                <a:ext uri="{FF2B5EF4-FFF2-40B4-BE49-F238E27FC236}">
                  <a16:creationId xmlns:a16="http://schemas.microsoft.com/office/drawing/2014/main" id="{133A7679-8EF7-39C0-68DF-5A2F97381A62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21 2958"/>
                <a:gd name="T1" fmla="*/ T0 w 78"/>
                <a:gd name="T2" fmla="+- 0 592 495"/>
                <a:gd name="T3" fmla="*/ 592 h 106"/>
                <a:gd name="T4" fmla="+- 0 2996 2958"/>
                <a:gd name="T5" fmla="*/ T4 w 78"/>
                <a:gd name="T6" fmla="+- 0 592 495"/>
                <a:gd name="T7" fmla="*/ 592 h 106"/>
                <a:gd name="T8" fmla="+- 0 3006 2958"/>
                <a:gd name="T9" fmla="*/ T8 w 78"/>
                <a:gd name="T10" fmla="+- 0 590 495"/>
                <a:gd name="T11" fmla="*/ 590 h 106"/>
                <a:gd name="T12" fmla="+- 0 3020 2958"/>
                <a:gd name="T13" fmla="*/ T12 w 78"/>
                <a:gd name="T14" fmla="+- 0 578 495"/>
                <a:gd name="T15" fmla="*/ 578 h 106"/>
                <a:gd name="T16" fmla="+- 0 3025 2958"/>
                <a:gd name="T17" fmla="*/ T16 w 78"/>
                <a:gd name="T18" fmla="+- 0 552 495"/>
                <a:gd name="T19" fmla="*/ 552 h 106"/>
                <a:gd name="T20" fmla="+- 0 3013 2958"/>
                <a:gd name="T21" fmla="*/ T20 w 78"/>
                <a:gd name="T22" fmla="+- 0 537 495"/>
                <a:gd name="T23" fmla="*/ 537 h 106"/>
                <a:gd name="T24" fmla="+- 0 2989 2958"/>
                <a:gd name="T25" fmla="*/ T24 w 78"/>
                <a:gd name="T26" fmla="+- 0 531 495"/>
                <a:gd name="T27" fmla="*/ 531 h 106"/>
                <a:gd name="T28" fmla="+- 0 3023 2958"/>
                <a:gd name="T29" fmla="*/ T28 w 78"/>
                <a:gd name="T30" fmla="+- 0 531 495"/>
                <a:gd name="T31" fmla="*/ 531 h 106"/>
                <a:gd name="T32" fmla="+- 0 3025 2958"/>
                <a:gd name="T33" fmla="*/ T32 w 78"/>
                <a:gd name="T34" fmla="+- 0 535 495"/>
                <a:gd name="T35" fmla="*/ 535 h 106"/>
                <a:gd name="T36" fmla="+- 0 3036 2958"/>
                <a:gd name="T37" fmla="*/ T36 w 78"/>
                <a:gd name="T38" fmla="+- 0 535 495"/>
                <a:gd name="T39" fmla="*/ 535 h 106"/>
                <a:gd name="T40" fmla="+- 0 3036 2958"/>
                <a:gd name="T41" fmla="*/ T40 w 78"/>
                <a:gd name="T42" fmla="+- 0 592 495"/>
                <a:gd name="T43" fmla="*/ 592 h 106"/>
                <a:gd name="T44" fmla="+- 0 3022 2958"/>
                <a:gd name="T45" fmla="*/ T44 w 78"/>
                <a:gd name="T46" fmla="+- 0 592 495"/>
                <a:gd name="T47" fmla="*/ 592 h 106"/>
                <a:gd name="T48" fmla="+- 0 3021 2958"/>
                <a:gd name="T49" fmla="*/ T48 w 78"/>
                <a:gd name="T50" fmla="+- 0 592 495"/>
                <a:gd name="T51" fmla="*/ 59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78" h="106">
                  <a:moveTo>
                    <a:pt x="63" y="97"/>
                  </a:moveTo>
                  <a:lnTo>
                    <a:pt x="38" y="97"/>
                  </a:lnTo>
                  <a:lnTo>
                    <a:pt x="48" y="95"/>
                  </a:lnTo>
                  <a:lnTo>
                    <a:pt x="62" y="83"/>
                  </a:lnTo>
                  <a:lnTo>
                    <a:pt x="67" y="57"/>
                  </a:lnTo>
                  <a:lnTo>
                    <a:pt x="55" y="42"/>
                  </a:lnTo>
                  <a:lnTo>
                    <a:pt x="31" y="36"/>
                  </a:lnTo>
                  <a:lnTo>
                    <a:pt x="65" y="36"/>
                  </a:lnTo>
                  <a:lnTo>
                    <a:pt x="67" y="40"/>
                  </a:lnTo>
                  <a:lnTo>
                    <a:pt x="78" y="40"/>
                  </a:lnTo>
                  <a:lnTo>
                    <a:pt x="78" y="97"/>
                  </a:lnTo>
                  <a:lnTo>
                    <a:pt x="64" y="97"/>
                  </a:lnTo>
                  <a:lnTo>
                    <a:pt x="63" y="9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94" name="Freeform 4820">
              <a:extLst>
                <a:ext uri="{FF2B5EF4-FFF2-40B4-BE49-F238E27FC236}">
                  <a16:creationId xmlns:a16="http://schemas.microsoft.com/office/drawing/2014/main" id="{8E7A5D67-FEA1-CE47-2488-0C195ACF77E4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36 2958"/>
                <a:gd name="T1" fmla="*/ T0 w 78"/>
                <a:gd name="T2" fmla="+- 0 600 495"/>
                <a:gd name="T3" fmla="*/ 600 h 106"/>
                <a:gd name="T4" fmla="+- 0 3025 2958"/>
                <a:gd name="T5" fmla="*/ T4 w 78"/>
                <a:gd name="T6" fmla="+- 0 600 495"/>
                <a:gd name="T7" fmla="*/ 600 h 106"/>
                <a:gd name="T8" fmla="+- 0 3022 2958"/>
                <a:gd name="T9" fmla="*/ T8 w 78"/>
                <a:gd name="T10" fmla="+- 0 592 495"/>
                <a:gd name="T11" fmla="*/ 592 h 106"/>
                <a:gd name="T12" fmla="+- 0 3036 2958"/>
                <a:gd name="T13" fmla="*/ T12 w 78"/>
                <a:gd name="T14" fmla="+- 0 592 495"/>
                <a:gd name="T15" fmla="*/ 592 h 106"/>
                <a:gd name="T16" fmla="+- 0 3036 2958"/>
                <a:gd name="T17" fmla="*/ T16 w 78"/>
                <a:gd name="T18" fmla="+- 0 600 495"/>
                <a:gd name="T19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106">
                  <a:moveTo>
                    <a:pt x="78" y="105"/>
                  </a:moveTo>
                  <a:lnTo>
                    <a:pt x="67" y="105"/>
                  </a:lnTo>
                  <a:lnTo>
                    <a:pt x="64" y="97"/>
                  </a:lnTo>
                  <a:lnTo>
                    <a:pt x="78" y="97"/>
                  </a:lnTo>
                  <a:lnTo>
                    <a:pt x="78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89" name="Group 88">
            <a:extLst>
              <a:ext uri="{FF2B5EF4-FFF2-40B4-BE49-F238E27FC236}">
                <a16:creationId xmlns:a16="http://schemas.microsoft.com/office/drawing/2014/main" id="{7E287F44-59FC-A7D8-D344-1F1A3184ECE1}"/>
              </a:ext>
            </a:extLst>
          </xdr:cNvPr>
          <xdr:cNvGrpSpPr>
            <a:grpSpLocks/>
          </xdr:cNvGrpSpPr>
        </xdr:nvGrpSpPr>
        <xdr:grpSpPr bwMode="auto">
          <a:xfrm>
            <a:off x="2174" y="575"/>
            <a:ext cx="28" cy="28"/>
            <a:chOff x="2174" y="575"/>
            <a:chExt cx="28" cy="28"/>
          </a:xfrm>
        </xdr:grpSpPr>
        <xdr:sp macro="" textlink="">
          <xdr:nvSpPr>
            <xdr:cNvPr id="90" name="Freeform 4818">
              <a:extLst>
                <a:ext uri="{FF2B5EF4-FFF2-40B4-BE49-F238E27FC236}">
                  <a16:creationId xmlns:a16="http://schemas.microsoft.com/office/drawing/2014/main" id="{E573926B-E9E2-173E-0716-735B09998181}"/>
                </a:ext>
              </a:extLst>
            </xdr:cNvPr>
            <xdr:cNvSpPr>
              <a:spLocks/>
            </xdr:cNvSpPr>
          </xdr:nvSpPr>
          <xdr:spPr bwMode="auto">
            <a:xfrm>
              <a:off x="2174" y="575"/>
              <a:ext cx="28" cy="28"/>
            </a:xfrm>
            <a:custGeom>
              <a:avLst/>
              <a:gdLst>
                <a:gd name="T0" fmla="+- 0 2195 2174"/>
                <a:gd name="T1" fmla="*/ T0 w 28"/>
                <a:gd name="T2" fmla="+- 0 603 575"/>
                <a:gd name="T3" fmla="*/ 603 h 28"/>
                <a:gd name="T4" fmla="+- 0 2180 2174"/>
                <a:gd name="T5" fmla="*/ T4 w 28"/>
                <a:gd name="T6" fmla="+- 0 603 575"/>
                <a:gd name="T7" fmla="*/ 603 h 28"/>
                <a:gd name="T8" fmla="+- 0 2174 2174"/>
                <a:gd name="T9" fmla="*/ T8 w 28"/>
                <a:gd name="T10" fmla="+- 0 596 575"/>
                <a:gd name="T11" fmla="*/ 596 h 28"/>
                <a:gd name="T12" fmla="+- 0 2174 2174"/>
                <a:gd name="T13" fmla="*/ T12 w 28"/>
                <a:gd name="T14" fmla="+- 0 581 575"/>
                <a:gd name="T15" fmla="*/ 581 h 28"/>
                <a:gd name="T16" fmla="+- 0 2180 2174"/>
                <a:gd name="T17" fmla="*/ T16 w 28"/>
                <a:gd name="T18" fmla="+- 0 575 575"/>
                <a:gd name="T19" fmla="*/ 575 h 28"/>
                <a:gd name="T20" fmla="+- 0 2195 2174"/>
                <a:gd name="T21" fmla="*/ T20 w 28"/>
                <a:gd name="T22" fmla="+- 0 575 575"/>
                <a:gd name="T23" fmla="*/ 575 h 28"/>
                <a:gd name="T24" fmla="+- 0 2201 2174"/>
                <a:gd name="T25" fmla="*/ T24 w 28"/>
                <a:gd name="T26" fmla="+- 0 581 575"/>
                <a:gd name="T27" fmla="*/ 581 h 28"/>
                <a:gd name="T28" fmla="+- 0 2201 2174"/>
                <a:gd name="T29" fmla="*/ T28 w 28"/>
                <a:gd name="T30" fmla="+- 0 596 575"/>
                <a:gd name="T31" fmla="*/ 596 h 28"/>
                <a:gd name="T32" fmla="+- 0 2195 2174"/>
                <a:gd name="T33" fmla="*/ T32 w 28"/>
                <a:gd name="T34" fmla="+- 0 603 575"/>
                <a:gd name="T35" fmla="*/ 603 h 2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8" h="28">
                  <a:moveTo>
                    <a:pt x="21" y="28"/>
                  </a:moveTo>
                  <a:lnTo>
                    <a:pt x="6" y="28"/>
                  </a:lnTo>
                  <a:lnTo>
                    <a:pt x="0" y="21"/>
                  </a:lnTo>
                  <a:lnTo>
                    <a:pt x="0" y="6"/>
                  </a:lnTo>
                  <a:lnTo>
                    <a:pt x="6" y="0"/>
                  </a:lnTo>
                  <a:lnTo>
                    <a:pt x="21" y="0"/>
                  </a:lnTo>
                  <a:lnTo>
                    <a:pt x="27" y="6"/>
                  </a:lnTo>
                  <a:lnTo>
                    <a:pt x="27" y="21"/>
                  </a:lnTo>
                  <a:lnTo>
                    <a:pt x="21" y="2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twoCellAnchor>
    <xdr:from>
      <xdr:col>1</xdr:col>
      <xdr:colOff>1082032</xdr:colOff>
      <xdr:row>196</xdr:row>
      <xdr:rowOff>32321</xdr:rowOff>
    </xdr:from>
    <xdr:to>
      <xdr:col>10</xdr:col>
      <xdr:colOff>507999</xdr:colOff>
      <xdr:row>227</xdr:row>
      <xdr:rowOff>131755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3F26F47-8FD2-4F87-8B11-BB0FB5FEE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1099949</xdr:colOff>
      <xdr:row>170</xdr:row>
      <xdr:rowOff>163524</xdr:rowOff>
    </xdr:from>
    <xdr:to>
      <xdr:col>10</xdr:col>
      <xdr:colOff>519657</xdr:colOff>
      <xdr:row>195</xdr:row>
      <xdr:rowOff>78043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6DCE4F-3792-4DB2-8D64-5B9CB069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115454</xdr:colOff>
      <xdr:row>170</xdr:row>
      <xdr:rowOff>173183</xdr:rowOff>
    </xdr:from>
    <xdr:to>
      <xdr:col>21</xdr:col>
      <xdr:colOff>66253</xdr:colOff>
      <xdr:row>195</xdr:row>
      <xdr:rowOff>89739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4C49751-6665-44C6-9265-55E19F043C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1124856</xdr:colOff>
      <xdr:row>145</xdr:row>
      <xdr:rowOff>91248</xdr:rowOff>
    </xdr:from>
    <xdr:to>
      <xdr:col>10</xdr:col>
      <xdr:colOff>544564</xdr:colOff>
      <xdr:row>170</xdr:row>
      <xdr:rowOff>5766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3C1EB4-7795-404D-A63B-AF36097EE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98379</xdr:colOff>
      <xdr:row>145</xdr:row>
      <xdr:rowOff>105023</xdr:rowOff>
    </xdr:from>
    <xdr:to>
      <xdr:col>21</xdr:col>
      <xdr:colOff>53301</xdr:colOff>
      <xdr:row>170</xdr:row>
      <xdr:rowOff>19543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D8C19D-BA0F-4160-96C9-F1C7F57C3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82176</xdr:colOff>
      <xdr:row>145</xdr:row>
      <xdr:rowOff>10459</xdr:rowOff>
    </xdr:from>
    <xdr:to>
      <xdr:col>82</xdr:col>
      <xdr:colOff>366059</xdr:colOff>
      <xdr:row>159</xdr:row>
      <xdr:rowOff>138953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19D88D-C0E9-CA7F-B07B-9E528CD21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230331</xdr:colOff>
      <xdr:row>195</xdr:row>
      <xdr:rowOff>124444</xdr:rowOff>
    </xdr:from>
    <xdr:to>
      <xdr:col>31</xdr:col>
      <xdr:colOff>187480</xdr:colOff>
      <xdr:row>227</xdr:row>
      <xdr:rowOff>37825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4068DF-4ABC-47AC-A9C3-70D37B9690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332463</xdr:colOff>
      <xdr:row>145</xdr:row>
      <xdr:rowOff>107083</xdr:rowOff>
    </xdr:from>
    <xdr:to>
      <xdr:col>31</xdr:col>
      <xdr:colOff>284210</xdr:colOff>
      <xdr:row>170</xdr:row>
      <xdr:rowOff>18428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E41657-75B3-431B-9C65-E65A3893D5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21</xdr:col>
      <xdr:colOff>333375</xdr:colOff>
      <xdr:row>170</xdr:row>
      <xdr:rowOff>171450</xdr:rowOff>
    </xdr:from>
    <xdr:to>
      <xdr:col>31</xdr:col>
      <xdr:colOff>288297</xdr:colOff>
      <xdr:row>195</xdr:row>
      <xdr:rowOff>82795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E4A84DD-3B63-4BC0-9CC5-1E3F5FEEF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0</xdr:colOff>
      <xdr:row>196</xdr:row>
      <xdr:rowOff>0</xdr:rowOff>
    </xdr:from>
    <xdr:to>
      <xdr:col>20</xdr:col>
      <xdr:colOff>568967</xdr:colOff>
      <xdr:row>227</xdr:row>
      <xdr:rowOff>102609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9C969D8-E1FE-499B-B397-B7E0BD21C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50008</xdr:colOff>
      <xdr:row>94</xdr:row>
      <xdr:rowOff>77788</xdr:rowOff>
    </xdr:from>
    <xdr:to>
      <xdr:col>0</xdr:col>
      <xdr:colOff>545308</xdr:colOff>
      <xdr:row>101</xdr:row>
      <xdr:rowOff>146049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8B27938-675F-C3CB-38AE-12EAE9F103D1}"/>
            </a:ext>
          </a:extLst>
        </xdr:cNvPr>
        <xdr:cNvSpPr txBox="1"/>
      </xdr:nvSpPr>
      <xdr:spPr>
        <a:xfrm rot="16200000">
          <a:off x="-403223" y="15390019"/>
          <a:ext cx="1401761" cy="495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Guadagno</a:t>
          </a:r>
          <a:r>
            <a:rPr lang="en-US" sz="1100" baseline="0"/>
            <a:t> al variare di Pout-fisso P/2</a:t>
          </a:r>
          <a:endParaRPr lang="en-US" sz="1100"/>
        </a:p>
      </xdr:txBody>
    </xdr:sp>
    <xdr:clientData/>
  </xdr:twoCellAnchor>
  <xdr:twoCellAnchor>
    <xdr:from>
      <xdr:col>0</xdr:col>
      <xdr:colOff>28576</xdr:colOff>
      <xdr:row>103</xdr:row>
      <xdr:rowOff>19051</xdr:rowOff>
    </xdr:from>
    <xdr:to>
      <xdr:col>0</xdr:col>
      <xdr:colOff>542926</xdr:colOff>
      <xdr:row>110</xdr:row>
      <xdr:rowOff>84137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ACDC794-B65B-4FFD-8657-0C137FF5293F}"/>
            </a:ext>
          </a:extLst>
        </xdr:cNvPr>
        <xdr:cNvSpPr txBox="1"/>
      </xdr:nvSpPr>
      <xdr:spPr>
        <a:xfrm rot="16200000">
          <a:off x="-380205" y="9505157"/>
          <a:ext cx="1331911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Guadagno</a:t>
          </a:r>
          <a:r>
            <a:rPr lang="en-US" sz="1100" baseline="0"/>
            <a:t> al variare di Pout-fisso P/4</a:t>
          </a:r>
        </a:p>
        <a:p>
          <a:endParaRPr lang="en-US" sz="1100"/>
        </a:p>
      </xdr:txBody>
    </xdr:sp>
    <xdr:clientData/>
  </xdr:twoCellAnchor>
  <xdr:twoCellAnchor>
    <xdr:from>
      <xdr:col>31</xdr:col>
      <xdr:colOff>447954</xdr:colOff>
      <xdr:row>145</xdr:row>
      <xdr:rowOff>114300</xdr:rowOff>
    </xdr:from>
    <xdr:to>
      <xdr:col>41</xdr:col>
      <xdr:colOff>390176</xdr:colOff>
      <xdr:row>170</xdr:row>
      <xdr:rowOff>28820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1058B76-4002-4A85-B5A8-805793A07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31</xdr:col>
      <xdr:colOff>483578</xdr:colOff>
      <xdr:row>170</xdr:row>
      <xdr:rowOff>168520</xdr:rowOff>
    </xdr:from>
    <xdr:to>
      <xdr:col>41</xdr:col>
      <xdr:colOff>425800</xdr:colOff>
      <xdr:row>195</xdr:row>
      <xdr:rowOff>83040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BD60C20-F1AB-4C27-8A14-F13883653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41</xdr:col>
      <xdr:colOff>556847</xdr:colOff>
      <xdr:row>145</xdr:row>
      <xdr:rowOff>109904</xdr:rowOff>
    </xdr:from>
    <xdr:to>
      <xdr:col>51</xdr:col>
      <xdr:colOff>508594</xdr:colOff>
      <xdr:row>170</xdr:row>
      <xdr:rowOff>24424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CD7CAB1-7C32-4DD2-93E9-6BD3233A1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28579</xdr:colOff>
      <xdr:row>112</xdr:row>
      <xdr:rowOff>152400</xdr:rowOff>
    </xdr:from>
    <xdr:to>
      <xdr:col>0</xdr:col>
      <xdr:colOff>552456</xdr:colOff>
      <xdr:row>121</xdr:row>
      <xdr:rowOff>17463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2E0A7B1-289D-45DB-8D27-8F62CB4EFF27}"/>
            </a:ext>
          </a:extLst>
        </xdr:cNvPr>
        <xdr:cNvSpPr txBox="1"/>
      </xdr:nvSpPr>
      <xdr:spPr>
        <a:xfrm rot="16200000">
          <a:off x="-465926" y="12800805"/>
          <a:ext cx="1512888" cy="5238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Variazione fsw col Pout fissato angolo P/2</a:t>
          </a:r>
        </a:p>
      </xdr:txBody>
    </xdr:sp>
    <xdr:clientData/>
  </xdr:twoCellAnchor>
  <xdr:twoCellAnchor>
    <xdr:from>
      <xdr:col>0</xdr:col>
      <xdr:colOff>38101</xdr:colOff>
      <xdr:row>122</xdr:row>
      <xdr:rowOff>19050</xdr:rowOff>
    </xdr:from>
    <xdr:to>
      <xdr:col>0</xdr:col>
      <xdr:colOff>558803</xdr:colOff>
      <xdr:row>130</xdr:row>
      <xdr:rowOff>63503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BB46534-D2BD-437A-A48F-90B11C1E8657}"/>
            </a:ext>
          </a:extLst>
        </xdr:cNvPr>
        <xdr:cNvSpPr txBox="1"/>
      </xdr:nvSpPr>
      <xdr:spPr>
        <a:xfrm rot="16200000">
          <a:off x="-452437" y="14501813"/>
          <a:ext cx="1501778" cy="5207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Variazione fsw col Pout fissato angolo P/4</a:t>
          </a:r>
        </a:p>
      </xdr:txBody>
    </xdr:sp>
    <xdr:clientData/>
  </xdr:twoCellAnchor>
  <xdr:twoCellAnchor>
    <xdr:from>
      <xdr:col>0</xdr:col>
      <xdr:colOff>11909</xdr:colOff>
      <xdr:row>66</xdr:row>
      <xdr:rowOff>35720</xdr:rowOff>
    </xdr:from>
    <xdr:to>
      <xdr:col>0</xdr:col>
      <xdr:colOff>526259</xdr:colOff>
      <xdr:row>79</xdr:row>
      <xdr:rowOff>23813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52C83FF-A9C1-4809-91F7-6AFB60CF1303}"/>
            </a:ext>
          </a:extLst>
        </xdr:cNvPr>
        <xdr:cNvSpPr txBox="1"/>
      </xdr:nvSpPr>
      <xdr:spPr>
        <a:xfrm rot="16200000">
          <a:off x="-963213" y="13393342"/>
          <a:ext cx="2464593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Guadagno</a:t>
          </a:r>
          <a:r>
            <a:rPr lang="en-US" sz="1100" baseline="0"/>
            <a:t> al variare dell'angolo a pieno carico a vin_max</a:t>
          </a:r>
          <a:endParaRPr lang="en-US" sz="1100"/>
        </a:p>
      </xdr:txBody>
    </xdr:sp>
    <xdr:clientData/>
  </xdr:twoCellAnchor>
  <xdr:twoCellAnchor>
    <xdr:from>
      <xdr:col>41</xdr:col>
      <xdr:colOff>564284</xdr:colOff>
      <xdr:row>171</xdr:row>
      <xdr:rowOff>25544</xdr:rowOff>
    </xdr:from>
    <xdr:to>
      <xdr:col>51</xdr:col>
      <xdr:colOff>519546</xdr:colOff>
      <xdr:row>195</xdr:row>
      <xdr:rowOff>69272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3BDB20A8-59A7-8FE1-2782-93EA6AAC9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21434</xdr:colOff>
      <xdr:row>52</xdr:row>
      <xdr:rowOff>59530</xdr:rowOff>
    </xdr:from>
    <xdr:to>
      <xdr:col>0</xdr:col>
      <xdr:colOff>535784</xdr:colOff>
      <xdr:row>65</xdr:row>
      <xdr:rowOff>32547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BFE5C1C-0C74-4F59-BE22-A7EAE9AD8D0C}"/>
            </a:ext>
          </a:extLst>
        </xdr:cNvPr>
        <xdr:cNvSpPr txBox="1"/>
      </xdr:nvSpPr>
      <xdr:spPr>
        <a:xfrm rot="16200000">
          <a:off x="-946150" y="10552114"/>
          <a:ext cx="2449517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Guadagno</a:t>
          </a:r>
          <a:r>
            <a:rPr lang="en-US" sz="1100" baseline="0"/>
            <a:t> al variare dell'angolo a pieno carico a Vin_min</a:t>
          </a:r>
          <a:endParaRPr lang="en-US" sz="1100"/>
        </a:p>
      </xdr:txBody>
    </xdr:sp>
    <xdr:clientData/>
  </xdr:twoCellAnchor>
  <xdr:twoCellAnchor>
    <xdr:from>
      <xdr:col>0</xdr:col>
      <xdr:colOff>21434</xdr:colOff>
      <xdr:row>40</xdr:row>
      <xdr:rowOff>0</xdr:rowOff>
    </xdr:from>
    <xdr:to>
      <xdr:col>0</xdr:col>
      <xdr:colOff>535784</xdr:colOff>
      <xdr:row>52</xdr:row>
      <xdr:rowOff>32547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5E52F62-697C-9B50-E9C6-86F371F33DD3}"/>
            </a:ext>
          </a:extLst>
        </xdr:cNvPr>
        <xdr:cNvSpPr txBox="1"/>
      </xdr:nvSpPr>
      <xdr:spPr>
        <a:xfrm rot="16200000">
          <a:off x="-880665" y="8141099"/>
          <a:ext cx="2318547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Guadagno</a:t>
          </a:r>
          <a:r>
            <a:rPr lang="en-US" sz="1100" baseline="0"/>
            <a:t> al variare dell'angolo a pieno carico </a:t>
          </a:r>
          <a:endParaRPr lang="en-US" sz="1100"/>
        </a:p>
      </xdr:txBody>
    </xdr:sp>
    <xdr:clientData/>
  </xdr:twoCellAnchor>
  <xdr:twoCellAnchor>
    <xdr:from>
      <xdr:col>0</xdr:col>
      <xdr:colOff>21434</xdr:colOff>
      <xdr:row>80</xdr:row>
      <xdr:rowOff>59530</xdr:rowOff>
    </xdr:from>
    <xdr:to>
      <xdr:col>0</xdr:col>
      <xdr:colOff>535784</xdr:colOff>
      <xdr:row>93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C8B91D0-4FDC-4828-8594-B39235C18742}"/>
            </a:ext>
          </a:extLst>
        </xdr:cNvPr>
        <xdr:cNvSpPr txBox="1"/>
      </xdr:nvSpPr>
      <xdr:spPr>
        <a:xfrm rot="16200000">
          <a:off x="-946150" y="10742614"/>
          <a:ext cx="2449517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Guadagno</a:t>
          </a:r>
          <a:r>
            <a:rPr lang="en-US" sz="1100" baseline="0"/>
            <a:t> al variare dell'angolo a pieno carico a Vin_nom</a:t>
          </a:r>
        </a:p>
        <a:p>
          <a:endParaRPr lang="en-US" sz="1100"/>
        </a:p>
      </xdr:txBody>
    </xdr:sp>
    <xdr:clientData/>
  </xdr:twoCellAnchor>
  <xdr:twoCellAnchor>
    <xdr:from>
      <xdr:col>1</xdr:col>
      <xdr:colOff>1066800</xdr:colOff>
      <xdr:row>228</xdr:row>
      <xdr:rowOff>0</xdr:rowOff>
    </xdr:from>
    <xdr:to>
      <xdr:col>10</xdr:col>
      <xdr:colOff>492767</xdr:colOff>
      <xdr:row>259</xdr:row>
      <xdr:rowOff>150234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D760C04C-7CD0-4AC7-8B16-61A37B85E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90</xdr:col>
      <xdr:colOff>289110</xdr:colOff>
      <xdr:row>267</xdr:row>
      <xdr:rowOff>95250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4FA27AF-A1CD-4AA2-AE77-E34B4550B84C}"/>
            </a:ext>
          </a:extLst>
        </xdr:cNvPr>
        <xdr:cNvSpPr/>
      </xdr:nvSpPr>
      <xdr:spPr>
        <a:xfrm>
          <a:off x="0" y="0"/>
          <a:ext cx="54200610" cy="509587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180975</xdr:colOff>
      <xdr:row>28</xdr:row>
      <xdr:rowOff>152400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F46B5A4-BCB7-45EA-BB8A-65BC851485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5486400" cy="5486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1172883</xdr:colOff>
      <xdr:row>2</xdr:row>
      <xdr:rowOff>44824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771A936-BA53-4F4A-AC0A-FA7412254459}"/>
            </a:ext>
          </a:extLst>
        </xdr:cNvPr>
        <xdr:cNvGrpSpPr>
          <a:grpSpLocks/>
        </xdr:cNvGrpSpPr>
      </xdr:nvGrpSpPr>
      <xdr:grpSpPr bwMode="auto">
        <a:xfrm>
          <a:off x="0" y="0"/>
          <a:ext cx="1761701" cy="425824"/>
          <a:chOff x="892" y="153"/>
          <a:chExt cx="2144" cy="552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9AEA12DB-08C9-01E5-E6D4-1CFCA83FB901}"/>
              </a:ext>
            </a:extLst>
          </xdr:cNvPr>
          <xdr:cNvGrpSpPr>
            <a:grpSpLocks/>
          </xdr:cNvGrpSpPr>
        </xdr:nvGrpSpPr>
        <xdr:grpSpPr bwMode="auto">
          <a:xfrm>
            <a:off x="892" y="153"/>
            <a:ext cx="1036" cy="452"/>
            <a:chOff x="892" y="153"/>
            <a:chExt cx="1036" cy="452"/>
          </a:xfrm>
        </xdr:grpSpPr>
        <xdr:sp macro="" textlink="">
          <xdr:nvSpPr>
            <xdr:cNvPr id="70" name="Freeform 4884">
              <a:extLst>
                <a:ext uri="{FF2B5EF4-FFF2-40B4-BE49-F238E27FC236}">
                  <a16:creationId xmlns:a16="http://schemas.microsoft.com/office/drawing/2014/main" id="{81895CA8-2A10-1C65-6A1B-B4873711A1A7}"/>
                </a:ext>
              </a:extLst>
            </xdr:cNvPr>
            <xdr:cNvSpPr>
              <a:spLocks/>
            </xdr:cNvSpPr>
          </xdr:nvSpPr>
          <xdr:spPr bwMode="auto">
            <a:xfrm>
              <a:off x="892" y="153"/>
              <a:ext cx="1036" cy="452"/>
            </a:xfrm>
            <a:custGeom>
              <a:avLst/>
              <a:gdLst>
                <a:gd name="T0" fmla="+- 0 1239 892"/>
                <a:gd name="T1" fmla="*/ T0 w 1036"/>
                <a:gd name="T2" fmla="+- 0 604 153"/>
                <a:gd name="T3" fmla="*/ 604 h 452"/>
                <a:gd name="T4" fmla="+- 0 895 892"/>
                <a:gd name="T5" fmla="*/ T4 w 1036"/>
                <a:gd name="T6" fmla="+- 0 604 153"/>
                <a:gd name="T7" fmla="*/ 604 h 452"/>
                <a:gd name="T8" fmla="+- 0 892 892"/>
                <a:gd name="T9" fmla="*/ T8 w 1036"/>
                <a:gd name="T10" fmla="+- 0 601 153"/>
                <a:gd name="T11" fmla="*/ 601 h 452"/>
                <a:gd name="T12" fmla="+- 0 892 892"/>
                <a:gd name="T13" fmla="*/ T12 w 1036"/>
                <a:gd name="T14" fmla="+- 0 595 153"/>
                <a:gd name="T15" fmla="*/ 595 h 452"/>
                <a:gd name="T16" fmla="+- 0 892 892"/>
                <a:gd name="T17" fmla="*/ T16 w 1036"/>
                <a:gd name="T18" fmla="+- 0 594 153"/>
                <a:gd name="T19" fmla="*/ 594 h 452"/>
                <a:gd name="T20" fmla="+- 0 1046 892"/>
                <a:gd name="T21" fmla="*/ T20 w 1036"/>
                <a:gd name="T22" fmla="+- 0 225 153"/>
                <a:gd name="T23" fmla="*/ 225 h 452"/>
                <a:gd name="T24" fmla="+- 0 1087 892"/>
                <a:gd name="T25" fmla="*/ T24 w 1036"/>
                <a:gd name="T26" fmla="+- 0 178 153"/>
                <a:gd name="T27" fmla="*/ 178 h 452"/>
                <a:gd name="T28" fmla="+- 0 1146 892"/>
                <a:gd name="T29" fmla="*/ T28 w 1036"/>
                <a:gd name="T30" fmla="+- 0 155 153"/>
                <a:gd name="T31" fmla="*/ 155 h 452"/>
                <a:gd name="T32" fmla="+- 0 1919 892"/>
                <a:gd name="T33" fmla="*/ T32 w 1036"/>
                <a:gd name="T34" fmla="+- 0 153 153"/>
                <a:gd name="T35" fmla="*/ 153 h 452"/>
                <a:gd name="T36" fmla="+- 0 1923 892"/>
                <a:gd name="T37" fmla="*/ T36 w 1036"/>
                <a:gd name="T38" fmla="+- 0 153 153"/>
                <a:gd name="T39" fmla="*/ 153 h 452"/>
                <a:gd name="T40" fmla="+- 0 1927 892"/>
                <a:gd name="T41" fmla="*/ T40 w 1036"/>
                <a:gd name="T42" fmla="+- 0 156 153"/>
                <a:gd name="T43" fmla="*/ 156 h 452"/>
                <a:gd name="T44" fmla="+- 0 1927 892"/>
                <a:gd name="T45" fmla="*/ T44 w 1036"/>
                <a:gd name="T46" fmla="+- 0 162 153"/>
                <a:gd name="T47" fmla="*/ 162 h 452"/>
                <a:gd name="T48" fmla="+- 0 1927 892"/>
                <a:gd name="T49" fmla="*/ T48 w 1036"/>
                <a:gd name="T50" fmla="+- 0 163 153"/>
                <a:gd name="T51" fmla="*/ 163 h 452"/>
                <a:gd name="T52" fmla="+- 0 1900 892"/>
                <a:gd name="T53" fmla="*/ T52 w 1036"/>
                <a:gd name="T54" fmla="+- 0 227 153"/>
                <a:gd name="T55" fmla="*/ 227 h 452"/>
                <a:gd name="T56" fmla="+- 0 1899 892"/>
                <a:gd name="T57" fmla="*/ T56 w 1036"/>
                <a:gd name="T58" fmla="+- 0 230 153"/>
                <a:gd name="T59" fmla="*/ 230 h 452"/>
                <a:gd name="T60" fmla="+- 0 1896 892"/>
                <a:gd name="T61" fmla="*/ T60 w 1036"/>
                <a:gd name="T62" fmla="+- 0 232 153"/>
                <a:gd name="T63" fmla="*/ 232 h 452"/>
                <a:gd name="T64" fmla="+- 0 1212 892"/>
                <a:gd name="T65" fmla="*/ T64 w 1036"/>
                <a:gd name="T66" fmla="+- 0 233 153"/>
                <a:gd name="T67" fmla="*/ 233 h 452"/>
                <a:gd name="T68" fmla="+- 0 1189 892"/>
                <a:gd name="T69" fmla="*/ T68 w 1036"/>
                <a:gd name="T70" fmla="+- 0 237 153"/>
                <a:gd name="T71" fmla="*/ 237 h 452"/>
                <a:gd name="T72" fmla="+- 0 1135 892"/>
                <a:gd name="T73" fmla="*/ T72 w 1036"/>
                <a:gd name="T74" fmla="+- 0 266 153"/>
                <a:gd name="T75" fmla="*/ 266 h 452"/>
                <a:gd name="T76" fmla="+- 0 1100 892"/>
                <a:gd name="T77" fmla="*/ T76 w 1036"/>
                <a:gd name="T78" fmla="+- 0 330 153"/>
                <a:gd name="T79" fmla="*/ 330 h 452"/>
                <a:gd name="T80" fmla="+- 0 1096 892"/>
                <a:gd name="T81" fmla="*/ T80 w 1036"/>
                <a:gd name="T82" fmla="+- 0 366 153"/>
                <a:gd name="T83" fmla="*/ 366 h 452"/>
                <a:gd name="T84" fmla="+- 0 1098 892"/>
                <a:gd name="T85" fmla="*/ T84 w 1036"/>
                <a:gd name="T86" fmla="+- 0 384 153"/>
                <a:gd name="T87" fmla="*/ 384 h 452"/>
                <a:gd name="T88" fmla="+- 0 1130 892"/>
                <a:gd name="T89" fmla="*/ T88 w 1036"/>
                <a:gd name="T90" fmla="+- 0 446 153"/>
                <a:gd name="T91" fmla="*/ 446 h 452"/>
                <a:gd name="T92" fmla="+- 0 1260 892"/>
                <a:gd name="T93" fmla="*/ T92 w 1036"/>
                <a:gd name="T94" fmla="+- 0 569 153"/>
                <a:gd name="T95" fmla="*/ 569 h 452"/>
                <a:gd name="T96" fmla="+- 0 1264 892"/>
                <a:gd name="T97" fmla="*/ T96 w 1036"/>
                <a:gd name="T98" fmla="+- 0 586 153"/>
                <a:gd name="T99" fmla="*/ 586 h 452"/>
                <a:gd name="T100" fmla="+- 0 1256 892"/>
                <a:gd name="T101" fmla="*/ T100 w 1036"/>
                <a:gd name="T102" fmla="+- 0 599 153"/>
                <a:gd name="T103" fmla="*/ 599 h 452"/>
                <a:gd name="T104" fmla="+- 0 1239 892"/>
                <a:gd name="T105" fmla="*/ T104 w 1036"/>
                <a:gd name="T106" fmla="+- 0 604 153"/>
                <a:gd name="T107" fmla="*/ 604 h 452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  <a:cxn ang="0">
                  <a:pos x="T89" y="T91"/>
                </a:cxn>
                <a:cxn ang="0">
                  <a:pos x="T93" y="T95"/>
                </a:cxn>
                <a:cxn ang="0">
                  <a:pos x="T97" y="T99"/>
                </a:cxn>
                <a:cxn ang="0">
                  <a:pos x="T101" y="T103"/>
                </a:cxn>
                <a:cxn ang="0">
                  <a:pos x="T105" y="T107"/>
                </a:cxn>
              </a:cxnLst>
              <a:rect l="0" t="0" r="r" b="b"/>
              <a:pathLst>
                <a:path w="1036" h="452">
                  <a:moveTo>
                    <a:pt x="347" y="451"/>
                  </a:moveTo>
                  <a:lnTo>
                    <a:pt x="3" y="451"/>
                  </a:lnTo>
                  <a:lnTo>
                    <a:pt x="0" y="448"/>
                  </a:lnTo>
                  <a:lnTo>
                    <a:pt x="0" y="442"/>
                  </a:lnTo>
                  <a:lnTo>
                    <a:pt x="0" y="441"/>
                  </a:lnTo>
                  <a:lnTo>
                    <a:pt x="154" y="72"/>
                  </a:lnTo>
                  <a:lnTo>
                    <a:pt x="195" y="25"/>
                  </a:lnTo>
                  <a:lnTo>
                    <a:pt x="254" y="2"/>
                  </a:lnTo>
                  <a:lnTo>
                    <a:pt x="1027" y="0"/>
                  </a:lnTo>
                  <a:lnTo>
                    <a:pt x="1031" y="0"/>
                  </a:lnTo>
                  <a:lnTo>
                    <a:pt x="1035" y="3"/>
                  </a:lnTo>
                  <a:lnTo>
                    <a:pt x="1035" y="9"/>
                  </a:lnTo>
                  <a:lnTo>
                    <a:pt x="1035" y="10"/>
                  </a:lnTo>
                  <a:lnTo>
                    <a:pt x="1008" y="74"/>
                  </a:lnTo>
                  <a:lnTo>
                    <a:pt x="1007" y="77"/>
                  </a:lnTo>
                  <a:lnTo>
                    <a:pt x="1004" y="79"/>
                  </a:lnTo>
                  <a:lnTo>
                    <a:pt x="320" y="80"/>
                  </a:lnTo>
                  <a:lnTo>
                    <a:pt x="297" y="84"/>
                  </a:lnTo>
                  <a:lnTo>
                    <a:pt x="243" y="113"/>
                  </a:lnTo>
                  <a:lnTo>
                    <a:pt x="208" y="177"/>
                  </a:lnTo>
                  <a:lnTo>
                    <a:pt x="204" y="213"/>
                  </a:lnTo>
                  <a:lnTo>
                    <a:pt x="206" y="231"/>
                  </a:lnTo>
                  <a:lnTo>
                    <a:pt x="238" y="293"/>
                  </a:lnTo>
                  <a:lnTo>
                    <a:pt x="368" y="416"/>
                  </a:lnTo>
                  <a:lnTo>
                    <a:pt x="372" y="433"/>
                  </a:lnTo>
                  <a:lnTo>
                    <a:pt x="364" y="446"/>
                  </a:lnTo>
                  <a:lnTo>
                    <a:pt x="347" y="45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385ADB38-4991-4CFA-A846-290A67DC22E9}"/>
              </a:ext>
            </a:extLst>
          </xdr:cNvPr>
          <xdr:cNvGrpSpPr>
            <a:grpSpLocks/>
          </xdr:cNvGrpSpPr>
        </xdr:nvGrpSpPr>
        <xdr:grpSpPr bwMode="auto">
          <a:xfrm>
            <a:off x="1554" y="335"/>
            <a:ext cx="299" cy="370"/>
            <a:chOff x="1554" y="335"/>
            <a:chExt cx="299" cy="370"/>
          </a:xfrm>
        </xdr:grpSpPr>
        <xdr:sp macro="" textlink="">
          <xdr:nvSpPr>
            <xdr:cNvPr id="68" name="Freeform 4882">
              <a:extLst>
                <a:ext uri="{FF2B5EF4-FFF2-40B4-BE49-F238E27FC236}">
                  <a16:creationId xmlns:a16="http://schemas.microsoft.com/office/drawing/2014/main" id="{A83FD40D-83C7-773D-6E74-D68585F78943}"/>
                </a:ext>
              </a:extLst>
            </xdr:cNvPr>
            <xdr:cNvSpPr>
              <a:spLocks/>
            </xdr:cNvSpPr>
          </xdr:nvSpPr>
          <xdr:spPr bwMode="auto">
            <a:xfrm>
              <a:off x="1554" y="335"/>
              <a:ext cx="299" cy="370"/>
            </a:xfrm>
            <a:custGeom>
              <a:avLst/>
              <a:gdLst>
                <a:gd name="T0" fmla="+- 0 1557 1554"/>
                <a:gd name="T1" fmla="*/ T0 w 299"/>
                <a:gd name="T2" fmla="+- 0 705 335"/>
                <a:gd name="T3" fmla="*/ 705 h 370"/>
                <a:gd name="T4" fmla="+- 0 1554 1554"/>
                <a:gd name="T5" fmla="*/ T4 w 299"/>
                <a:gd name="T6" fmla="+- 0 701 335"/>
                <a:gd name="T7" fmla="*/ 701 h 370"/>
                <a:gd name="T8" fmla="+- 0 1554 1554"/>
                <a:gd name="T9" fmla="*/ T8 w 299"/>
                <a:gd name="T10" fmla="+- 0 696 335"/>
                <a:gd name="T11" fmla="*/ 696 h 370"/>
                <a:gd name="T12" fmla="+- 0 1554 1554"/>
                <a:gd name="T13" fmla="*/ T12 w 299"/>
                <a:gd name="T14" fmla="+- 0 694 335"/>
                <a:gd name="T15" fmla="*/ 694 h 370"/>
                <a:gd name="T16" fmla="+- 0 1555 1554"/>
                <a:gd name="T17" fmla="*/ T16 w 299"/>
                <a:gd name="T18" fmla="+- 0 693 335"/>
                <a:gd name="T19" fmla="*/ 693 h 370"/>
                <a:gd name="T20" fmla="+- 0 1701 1554"/>
                <a:gd name="T21" fmla="*/ T20 w 299"/>
                <a:gd name="T22" fmla="+- 0 340 335"/>
                <a:gd name="T23" fmla="*/ 340 h 370"/>
                <a:gd name="T24" fmla="+- 0 1708 1554"/>
                <a:gd name="T25" fmla="*/ T24 w 299"/>
                <a:gd name="T26" fmla="+- 0 335 335"/>
                <a:gd name="T27" fmla="*/ 335 h 370"/>
                <a:gd name="T28" fmla="+- 0 1848 1554"/>
                <a:gd name="T29" fmla="*/ T28 w 299"/>
                <a:gd name="T30" fmla="+- 0 335 335"/>
                <a:gd name="T31" fmla="*/ 335 h 370"/>
                <a:gd name="T32" fmla="+- 0 1852 1554"/>
                <a:gd name="T33" fmla="*/ T32 w 299"/>
                <a:gd name="T34" fmla="+- 0 338 335"/>
                <a:gd name="T35" fmla="*/ 338 h 370"/>
                <a:gd name="T36" fmla="+- 0 1852 1554"/>
                <a:gd name="T37" fmla="*/ T36 w 299"/>
                <a:gd name="T38" fmla="+- 0 340 335"/>
                <a:gd name="T39" fmla="*/ 340 h 370"/>
                <a:gd name="T40" fmla="+- 0 1852 1554"/>
                <a:gd name="T41" fmla="*/ T40 w 299"/>
                <a:gd name="T42" fmla="+- 0 344 335"/>
                <a:gd name="T43" fmla="*/ 344 h 370"/>
                <a:gd name="T44" fmla="+- 0 1852 1554"/>
                <a:gd name="T45" fmla="*/ T44 w 299"/>
                <a:gd name="T46" fmla="+- 0 345 335"/>
                <a:gd name="T47" fmla="*/ 345 h 370"/>
                <a:gd name="T48" fmla="+- 0 1851 1554"/>
                <a:gd name="T49" fmla="*/ T48 w 299"/>
                <a:gd name="T50" fmla="+- 0 345 335"/>
                <a:gd name="T51" fmla="*/ 345 h 370"/>
                <a:gd name="T52" fmla="+- 0 1738 1554"/>
                <a:gd name="T53" fmla="*/ T52 w 299"/>
                <a:gd name="T54" fmla="+- 0 620 335"/>
                <a:gd name="T55" fmla="*/ 620 h 370"/>
                <a:gd name="T56" fmla="+- 0 1731 1554"/>
                <a:gd name="T57" fmla="*/ T56 w 299"/>
                <a:gd name="T58" fmla="+- 0 633 335"/>
                <a:gd name="T59" fmla="*/ 633 h 370"/>
                <a:gd name="T60" fmla="+- 0 1690 1554"/>
                <a:gd name="T61" fmla="*/ T60 w 299"/>
                <a:gd name="T62" fmla="+- 0 679 335"/>
                <a:gd name="T63" fmla="*/ 679 h 370"/>
                <a:gd name="T64" fmla="+- 0 1631 1554"/>
                <a:gd name="T65" fmla="*/ T64 w 299"/>
                <a:gd name="T66" fmla="+- 0 703 335"/>
                <a:gd name="T67" fmla="*/ 703 h 370"/>
                <a:gd name="T68" fmla="+- 0 1609 1554"/>
                <a:gd name="T69" fmla="*/ T68 w 299"/>
                <a:gd name="T70" fmla="+- 0 705 335"/>
                <a:gd name="T71" fmla="*/ 705 h 370"/>
                <a:gd name="T72" fmla="+- 0 1557 1554"/>
                <a:gd name="T73" fmla="*/ T72 w 299"/>
                <a:gd name="T74" fmla="+- 0 705 335"/>
                <a:gd name="T75" fmla="*/ 705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</a:cxnLst>
              <a:rect l="0" t="0" r="r" b="b"/>
              <a:pathLst>
                <a:path w="299" h="370">
                  <a:moveTo>
                    <a:pt x="3" y="370"/>
                  </a:moveTo>
                  <a:lnTo>
                    <a:pt x="0" y="366"/>
                  </a:lnTo>
                  <a:lnTo>
                    <a:pt x="0" y="361"/>
                  </a:lnTo>
                  <a:lnTo>
                    <a:pt x="0" y="359"/>
                  </a:lnTo>
                  <a:lnTo>
                    <a:pt x="1" y="358"/>
                  </a:lnTo>
                  <a:lnTo>
                    <a:pt x="147" y="5"/>
                  </a:lnTo>
                  <a:lnTo>
                    <a:pt x="154" y="0"/>
                  </a:lnTo>
                  <a:lnTo>
                    <a:pt x="294" y="0"/>
                  </a:lnTo>
                  <a:lnTo>
                    <a:pt x="298" y="3"/>
                  </a:lnTo>
                  <a:lnTo>
                    <a:pt x="298" y="5"/>
                  </a:lnTo>
                  <a:lnTo>
                    <a:pt x="298" y="9"/>
                  </a:lnTo>
                  <a:lnTo>
                    <a:pt x="298" y="10"/>
                  </a:lnTo>
                  <a:lnTo>
                    <a:pt x="297" y="10"/>
                  </a:lnTo>
                  <a:lnTo>
                    <a:pt x="184" y="285"/>
                  </a:lnTo>
                  <a:lnTo>
                    <a:pt x="177" y="298"/>
                  </a:lnTo>
                  <a:lnTo>
                    <a:pt x="136" y="344"/>
                  </a:lnTo>
                  <a:lnTo>
                    <a:pt x="77" y="368"/>
                  </a:lnTo>
                  <a:lnTo>
                    <a:pt x="55" y="370"/>
                  </a:lnTo>
                  <a:lnTo>
                    <a:pt x="3" y="3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9" name="Freeform 4881">
              <a:extLst>
                <a:ext uri="{FF2B5EF4-FFF2-40B4-BE49-F238E27FC236}">
                  <a16:creationId xmlns:a16="http://schemas.microsoft.com/office/drawing/2014/main" id="{E843863C-4F6F-EBB6-1EC7-5FC1650A3B09}"/>
                </a:ext>
              </a:extLst>
            </xdr:cNvPr>
            <xdr:cNvSpPr>
              <a:spLocks/>
            </xdr:cNvSpPr>
          </xdr:nvSpPr>
          <xdr:spPr bwMode="auto">
            <a:xfrm>
              <a:off x="1554" y="335"/>
              <a:ext cx="299" cy="370"/>
            </a:xfrm>
            <a:custGeom>
              <a:avLst/>
              <a:gdLst>
                <a:gd name="T0" fmla="+- 0 1738 1554"/>
                <a:gd name="T1" fmla="*/ T0 w 299"/>
                <a:gd name="T2" fmla="+- 0 620 335"/>
                <a:gd name="T3" fmla="*/ 620 h 370"/>
                <a:gd name="T4" fmla="+- 0 1738 1554"/>
                <a:gd name="T5" fmla="*/ T4 w 299"/>
                <a:gd name="T6" fmla="+- 0 620 335"/>
                <a:gd name="T7" fmla="*/ 620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299" h="370">
                  <a:moveTo>
                    <a:pt x="184" y="285"/>
                  </a:moveTo>
                  <a:lnTo>
                    <a:pt x="184" y="28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E3255C75-5A70-5DF5-CD62-581048F964AF}"/>
              </a:ext>
            </a:extLst>
          </xdr:cNvPr>
          <xdr:cNvGrpSpPr>
            <a:grpSpLocks/>
          </xdr:cNvGrpSpPr>
        </xdr:nvGrpSpPr>
        <xdr:grpSpPr bwMode="auto">
          <a:xfrm>
            <a:off x="1200" y="335"/>
            <a:ext cx="394" cy="370"/>
            <a:chOff x="1200" y="335"/>
            <a:chExt cx="394" cy="370"/>
          </a:xfrm>
        </xdr:grpSpPr>
        <xdr:sp macro="" textlink="">
          <xdr:nvSpPr>
            <xdr:cNvPr id="67" name="Freeform 4879">
              <a:extLst>
                <a:ext uri="{FF2B5EF4-FFF2-40B4-BE49-F238E27FC236}">
                  <a16:creationId xmlns:a16="http://schemas.microsoft.com/office/drawing/2014/main" id="{24D2F746-279F-6DD5-D124-96271CC0AA2A}"/>
                </a:ext>
              </a:extLst>
            </xdr:cNvPr>
            <xdr:cNvSpPr>
              <a:spLocks/>
            </xdr:cNvSpPr>
          </xdr:nvSpPr>
          <xdr:spPr bwMode="auto">
            <a:xfrm>
              <a:off x="1200" y="335"/>
              <a:ext cx="394" cy="370"/>
            </a:xfrm>
            <a:custGeom>
              <a:avLst/>
              <a:gdLst>
                <a:gd name="T0" fmla="+- 0 1439 1200"/>
                <a:gd name="T1" fmla="*/ T0 w 394"/>
                <a:gd name="T2" fmla="+- 0 705 335"/>
                <a:gd name="T3" fmla="*/ 705 h 370"/>
                <a:gd name="T4" fmla="+- 0 1290 1200"/>
                <a:gd name="T5" fmla="*/ T4 w 394"/>
                <a:gd name="T6" fmla="+- 0 705 335"/>
                <a:gd name="T7" fmla="*/ 705 h 370"/>
                <a:gd name="T8" fmla="+- 0 1289 1200"/>
                <a:gd name="T9" fmla="*/ T8 w 394"/>
                <a:gd name="T10" fmla="+- 0 704 335"/>
                <a:gd name="T11" fmla="*/ 704 h 370"/>
                <a:gd name="T12" fmla="+- 0 1289 1200"/>
                <a:gd name="T13" fmla="*/ T12 w 394"/>
                <a:gd name="T14" fmla="+- 0 702 335"/>
                <a:gd name="T15" fmla="*/ 702 h 370"/>
                <a:gd name="T16" fmla="+- 0 1290 1200"/>
                <a:gd name="T17" fmla="*/ T16 w 394"/>
                <a:gd name="T18" fmla="+- 0 701 335"/>
                <a:gd name="T19" fmla="*/ 701 h 370"/>
                <a:gd name="T20" fmla="+- 0 1298 1200"/>
                <a:gd name="T21" fmla="*/ T20 w 394"/>
                <a:gd name="T22" fmla="+- 0 697 335"/>
                <a:gd name="T23" fmla="*/ 697 h 370"/>
                <a:gd name="T24" fmla="+- 0 1312 1200"/>
                <a:gd name="T25" fmla="*/ T24 w 394"/>
                <a:gd name="T26" fmla="+- 0 688 335"/>
                <a:gd name="T27" fmla="*/ 688 h 370"/>
                <a:gd name="T28" fmla="+- 0 1351 1200"/>
                <a:gd name="T29" fmla="*/ T28 w 394"/>
                <a:gd name="T30" fmla="+- 0 641 335"/>
                <a:gd name="T31" fmla="*/ 641 h 370"/>
                <a:gd name="T32" fmla="+- 0 1366 1200"/>
                <a:gd name="T33" fmla="*/ T32 w 394"/>
                <a:gd name="T34" fmla="+- 0 593 335"/>
                <a:gd name="T35" fmla="*/ 593 h 370"/>
                <a:gd name="T36" fmla="+- 0 1366 1200"/>
                <a:gd name="T37" fmla="*/ T36 w 394"/>
                <a:gd name="T38" fmla="+- 0 564 335"/>
                <a:gd name="T39" fmla="*/ 564 h 370"/>
                <a:gd name="T40" fmla="+- 0 1339 1200"/>
                <a:gd name="T41" fmla="*/ T40 w 394"/>
                <a:gd name="T42" fmla="+- 0 503 335"/>
                <a:gd name="T43" fmla="*/ 503 h 370"/>
                <a:gd name="T44" fmla="+- 0 1201 1200"/>
                <a:gd name="T45" fmla="*/ T44 w 394"/>
                <a:gd name="T46" fmla="+- 0 368 335"/>
                <a:gd name="T47" fmla="*/ 368 h 370"/>
                <a:gd name="T48" fmla="+- 0 1200 1200"/>
                <a:gd name="T49" fmla="*/ T48 w 394"/>
                <a:gd name="T50" fmla="+- 0 352 335"/>
                <a:gd name="T51" fmla="*/ 352 h 370"/>
                <a:gd name="T52" fmla="+- 0 1209 1200"/>
                <a:gd name="T53" fmla="*/ T52 w 394"/>
                <a:gd name="T54" fmla="+- 0 340 335"/>
                <a:gd name="T55" fmla="*/ 340 h 370"/>
                <a:gd name="T56" fmla="+- 0 1224 1200"/>
                <a:gd name="T57" fmla="*/ T56 w 394"/>
                <a:gd name="T58" fmla="+- 0 335 335"/>
                <a:gd name="T59" fmla="*/ 335 h 370"/>
                <a:gd name="T60" fmla="+- 0 1590 1200"/>
                <a:gd name="T61" fmla="*/ T60 w 394"/>
                <a:gd name="T62" fmla="+- 0 335 335"/>
                <a:gd name="T63" fmla="*/ 335 h 370"/>
                <a:gd name="T64" fmla="+- 0 1593 1200"/>
                <a:gd name="T65" fmla="*/ T64 w 394"/>
                <a:gd name="T66" fmla="+- 0 338 335"/>
                <a:gd name="T67" fmla="*/ 338 h 370"/>
                <a:gd name="T68" fmla="+- 0 1593 1200"/>
                <a:gd name="T69" fmla="*/ T68 w 394"/>
                <a:gd name="T70" fmla="+- 0 344 335"/>
                <a:gd name="T71" fmla="*/ 344 h 370"/>
                <a:gd name="T72" fmla="+- 0 1593 1200"/>
                <a:gd name="T73" fmla="*/ T72 w 394"/>
                <a:gd name="T74" fmla="+- 0 345 335"/>
                <a:gd name="T75" fmla="*/ 345 h 370"/>
                <a:gd name="T76" fmla="+- 0 1593 1200"/>
                <a:gd name="T77" fmla="*/ T76 w 394"/>
                <a:gd name="T78" fmla="+- 0 345 335"/>
                <a:gd name="T79" fmla="*/ 345 h 370"/>
                <a:gd name="T80" fmla="+- 0 1446 1200"/>
                <a:gd name="T81" fmla="*/ T80 w 394"/>
                <a:gd name="T82" fmla="+- 0 700 335"/>
                <a:gd name="T83" fmla="*/ 700 h 370"/>
                <a:gd name="T84" fmla="+- 0 1439 1200"/>
                <a:gd name="T85" fmla="*/ T84 w 394"/>
                <a:gd name="T86" fmla="+- 0 705 335"/>
                <a:gd name="T87" fmla="*/ 705 h 37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  <a:cxn ang="0">
                  <a:pos x="T81" y="T83"/>
                </a:cxn>
                <a:cxn ang="0">
                  <a:pos x="T85" y="T87"/>
                </a:cxn>
              </a:cxnLst>
              <a:rect l="0" t="0" r="r" b="b"/>
              <a:pathLst>
                <a:path w="394" h="370">
                  <a:moveTo>
                    <a:pt x="239" y="370"/>
                  </a:moveTo>
                  <a:lnTo>
                    <a:pt x="90" y="370"/>
                  </a:lnTo>
                  <a:lnTo>
                    <a:pt x="89" y="369"/>
                  </a:lnTo>
                  <a:lnTo>
                    <a:pt x="89" y="367"/>
                  </a:lnTo>
                  <a:lnTo>
                    <a:pt x="90" y="366"/>
                  </a:lnTo>
                  <a:lnTo>
                    <a:pt x="98" y="362"/>
                  </a:lnTo>
                  <a:lnTo>
                    <a:pt x="112" y="353"/>
                  </a:lnTo>
                  <a:lnTo>
                    <a:pt x="151" y="306"/>
                  </a:lnTo>
                  <a:lnTo>
                    <a:pt x="166" y="258"/>
                  </a:lnTo>
                  <a:lnTo>
                    <a:pt x="166" y="229"/>
                  </a:lnTo>
                  <a:lnTo>
                    <a:pt x="139" y="168"/>
                  </a:lnTo>
                  <a:lnTo>
                    <a:pt x="1" y="33"/>
                  </a:lnTo>
                  <a:lnTo>
                    <a:pt x="0" y="17"/>
                  </a:lnTo>
                  <a:lnTo>
                    <a:pt x="9" y="5"/>
                  </a:lnTo>
                  <a:lnTo>
                    <a:pt x="24" y="0"/>
                  </a:lnTo>
                  <a:lnTo>
                    <a:pt x="390" y="0"/>
                  </a:lnTo>
                  <a:lnTo>
                    <a:pt x="393" y="3"/>
                  </a:lnTo>
                  <a:lnTo>
                    <a:pt x="393" y="9"/>
                  </a:lnTo>
                  <a:lnTo>
                    <a:pt x="393" y="10"/>
                  </a:lnTo>
                  <a:lnTo>
                    <a:pt x="246" y="365"/>
                  </a:lnTo>
                  <a:lnTo>
                    <a:pt x="239" y="3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F5AEAC3-72D9-CA2A-18ED-87A8430E8119}"/>
              </a:ext>
            </a:extLst>
          </xdr:cNvPr>
          <xdr:cNvGrpSpPr>
            <a:grpSpLocks/>
          </xdr:cNvGrpSpPr>
        </xdr:nvGrpSpPr>
        <xdr:grpSpPr bwMode="auto">
          <a:xfrm>
            <a:off x="1986" y="492"/>
            <a:ext cx="11" cy="16"/>
            <a:chOff x="1986" y="492"/>
            <a:chExt cx="11" cy="16"/>
          </a:xfrm>
        </xdr:grpSpPr>
        <xdr:sp macro="" textlink="">
          <xdr:nvSpPr>
            <xdr:cNvPr id="66" name="Freeform 4877">
              <a:extLst>
                <a:ext uri="{FF2B5EF4-FFF2-40B4-BE49-F238E27FC236}">
                  <a16:creationId xmlns:a16="http://schemas.microsoft.com/office/drawing/2014/main" id="{B708FC04-92AF-7313-696A-5C39B6EEC4AC}"/>
                </a:ext>
              </a:extLst>
            </xdr:cNvPr>
            <xdr:cNvSpPr>
              <a:spLocks/>
            </xdr:cNvSpPr>
          </xdr:nvSpPr>
          <xdr:spPr bwMode="auto">
            <a:xfrm>
              <a:off x="1986" y="492"/>
              <a:ext cx="11" cy="16"/>
            </a:xfrm>
            <a:custGeom>
              <a:avLst/>
              <a:gdLst>
                <a:gd name="T0" fmla="+- 0 1986 1986"/>
                <a:gd name="T1" fmla="*/ T0 w 11"/>
                <a:gd name="T2" fmla="+- 0 500 492"/>
                <a:gd name="T3" fmla="*/ 500 h 16"/>
                <a:gd name="T4" fmla="+- 0 1997 1986"/>
                <a:gd name="T5" fmla="*/ T4 w 11"/>
                <a:gd name="T6" fmla="+- 0 500 492"/>
                <a:gd name="T7" fmla="*/ 500 h 1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</a:cxnLst>
              <a:rect l="0" t="0" r="r" b="b"/>
              <a:pathLst>
                <a:path w="11" h="16">
                  <a:moveTo>
                    <a:pt x="0" y="8"/>
                  </a:moveTo>
                  <a:lnTo>
                    <a:pt x="11" y="8"/>
                  </a:lnTo>
                </a:path>
              </a:pathLst>
            </a:custGeom>
            <a:noFill/>
            <a:ln w="11238">
              <a:solidFill>
                <a:srgbClr val="001E4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D164666F-D6B3-0990-4DF9-07C0083D1D4E}"/>
              </a:ext>
            </a:extLst>
          </xdr:cNvPr>
          <xdr:cNvGrpSpPr>
            <a:grpSpLocks/>
          </xdr:cNvGrpSpPr>
        </xdr:nvGrpSpPr>
        <xdr:grpSpPr bwMode="auto">
          <a:xfrm>
            <a:off x="1927" y="495"/>
            <a:ext cx="36" cy="106"/>
            <a:chOff x="1927" y="495"/>
            <a:chExt cx="36" cy="106"/>
          </a:xfrm>
        </xdr:grpSpPr>
        <xdr:sp macro="" textlink="">
          <xdr:nvSpPr>
            <xdr:cNvPr id="64" name="Freeform 4875">
              <a:extLst>
                <a:ext uri="{FF2B5EF4-FFF2-40B4-BE49-F238E27FC236}">
                  <a16:creationId xmlns:a16="http://schemas.microsoft.com/office/drawing/2014/main" id="{363B9FC0-D55B-9F9B-094D-4595F3BE6771}"/>
                </a:ext>
              </a:extLst>
            </xdr:cNvPr>
            <xdr:cNvSpPr>
              <a:spLocks/>
            </xdr:cNvSpPr>
          </xdr:nvSpPr>
          <xdr:spPr bwMode="auto">
            <a:xfrm>
              <a:off x="1927" y="495"/>
              <a:ext cx="36" cy="106"/>
            </a:xfrm>
            <a:custGeom>
              <a:avLst/>
              <a:gdLst>
                <a:gd name="T0" fmla="+- 0 1951 1927"/>
                <a:gd name="T1" fmla="*/ T0 w 36"/>
                <a:gd name="T2" fmla="+- 0 591 495"/>
                <a:gd name="T3" fmla="*/ 591 h 106"/>
                <a:gd name="T4" fmla="+- 0 1940 1927"/>
                <a:gd name="T5" fmla="*/ T4 w 36"/>
                <a:gd name="T6" fmla="+- 0 591 495"/>
                <a:gd name="T7" fmla="*/ 591 h 106"/>
                <a:gd name="T8" fmla="+- 0 1940 1927"/>
                <a:gd name="T9" fmla="*/ T8 w 36"/>
                <a:gd name="T10" fmla="+- 0 505 495"/>
                <a:gd name="T11" fmla="*/ 505 h 106"/>
                <a:gd name="T12" fmla="+- 0 1928 1927"/>
                <a:gd name="T13" fmla="*/ T12 w 36"/>
                <a:gd name="T14" fmla="+- 0 505 495"/>
                <a:gd name="T15" fmla="*/ 505 h 106"/>
                <a:gd name="T16" fmla="+- 0 1928 1927"/>
                <a:gd name="T17" fmla="*/ T16 w 36"/>
                <a:gd name="T18" fmla="+- 0 495 495"/>
                <a:gd name="T19" fmla="*/ 495 h 106"/>
                <a:gd name="T20" fmla="+- 0 1951 1927"/>
                <a:gd name="T21" fmla="*/ T20 w 36"/>
                <a:gd name="T22" fmla="+- 0 495 495"/>
                <a:gd name="T23" fmla="*/ 495 h 106"/>
                <a:gd name="T24" fmla="+- 0 1951 1927"/>
                <a:gd name="T25" fmla="*/ T24 w 36"/>
                <a:gd name="T26" fmla="+- 0 591 495"/>
                <a:gd name="T27" fmla="*/ 591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6" h="106">
                  <a:moveTo>
                    <a:pt x="24" y="96"/>
                  </a:moveTo>
                  <a:lnTo>
                    <a:pt x="13" y="96"/>
                  </a:lnTo>
                  <a:lnTo>
                    <a:pt x="13" y="10"/>
                  </a:lnTo>
                  <a:lnTo>
                    <a:pt x="1" y="10"/>
                  </a:lnTo>
                  <a:lnTo>
                    <a:pt x="1" y="0"/>
                  </a:lnTo>
                  <a:lnTo>
                    <a:pt x="24" y="0"/>
                  </a:lnTo>
                  <a:lnTo>
                    <a:pt x="24" y="9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5" name="Freeform 4874">
              <a:extLst>
                <a:ext uri="{FF2B5EF4-FFF2-40B4-BE49-F238E27FC236}">
                  <a16:creationId xmlns:a16="http://schemas.microsoft.com/office/drawing/2014/main" id="{D4C6CC96-81BE-3ABB-26A6-B1F20428B5FB}"/>
                </a:ext>
              </a:extLst>
            </xdr:cNvPr>
            <xdr:cNvSpPr>
              <a:spLocks/>
            </xdr:cNvSpPr>
          </xdr:nvSpPr>
          <xdr:spPr bwMode="auto">
            <a:xfrm>
              <a:off x="1927" y="495"/>
              <a:ext cx="36" cy="106"/>
            </a:xfrm>
            <a:custGeom>
              <a:avLst/>
              <a:gdLst>
                <a:gd name="T0" fmla="+- 0 1963 1927"/>
                <a:gd name="T1" fmla="*/ T0 w 36"/>
                <a:gd name="T2" fmla="+- 0 600 495"/>
                <a:gd name="T3" fmla="*/ 600 h 106"/>
                <a:gd name="T4" fmla="+- 0 1927 1927"/>
                <a:gd name="T5" fmla="*/ T4 w 36"/>
                <a:gd name="T6" fmla="+- 0 600 495"/>
                <a:gd name="T7" fmla="*/ 600 h 106"/>
                <a:gd name="T8" fmla="+- 0 1927 1927"/>
                <a:gd name="T9" fmla="*/ T8 w 36"/>
                <a:gd name="T10" fmla="+- 0 591 495"/>
                <a:gd name="T11" fmla="*/ 591 h 106"/>
                <a:gd name="T12" fmla="+- 0 1963 1927"/>
                <a:gd name="T13" fmla="*/ T12 w 36"/>
                <a:gd name="T14" fmla="+- 0 591 495"/>
                <a:gd name="T15" fmla="*/ 591 h 106"/>
                <a:gd name="T16" fmla="+- 0 1963 1927"/>
                <a:gd name="T17" fmla="*/ T16 w 36"/>
                <a:gd name="T18" fmla="+- 0 600 495"/>
                <a:gd name="T19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6" h="106">
                  <a:moveTo>
                    <a:pt x="36" y="105"/>
                  </a:moveTo>
                  <a:lnTo>
                    <a:pt x="0" y="105"/>
                  </a:lnTo>
                  <a:lnTo>
                    <a:pt x="0" y="96"/>
                  </a:lnTo>
                  <a:lnTo>
                    <a:pt x="36" y="96"/>
                  </a:lnTo>
                  <a:lnTo>
                    <a:pt x="36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03D7E6C4-BADB-43A7-52DA-23B50B04CCFD}"/>
              </a:ext>
            </a:extLst>
          </xdr:cNvPr>
          <xdr:cNvGrpSpPr>
            <a:grpSpLocks/>
          </xdr:cNvGrpSpPr>
        </xdr:nvGrpSpPr>
        <xdr:grpSpPr bwMode="auto">
          <a:xfrm>
            <a:off x="1976" y="522"/>
            <a:ext cx="36" cy="79"/>
            <a:chOff x="1976" y="522"/>
            <a:chExt cx="36" cy="79"/>
          </a:xfrm>
        </xdr:grpSpPr>
        <xdr:sp macro="" textlink="">
          <xdr:nvSpPr>
            <xdr:cNvPr id="62" name="Freeform 4872">
              <a:extLst>
                <a:ext uri="{FF2B5EF4-FFF2-40B4-BE49-F238E27FC236}">
                  <a16:creationId xmlns:a16="http://schemas.microsoft.com/office/drawing/2014/main" id="{CE066CFC-F134-F65C-42C9-3D8B5EE939FD}"/>
                </a:ext>
              </a:extLst>
            </xdr:cNvPr>
            <xdr:cNvSpPr>
              <a:spLocks/>
            </xdr:cNvSpPr>
          </xdr:nvSpPr>
          <xdr:spPr bwMode="auto">
            <a:xfrm>
              <a:off x="1976" y="522"/>
              <a:ext cx="36" cy="79"/>
            </a:xfrm>
            <a:custGeom>
              <a:avLst/>
              <a:gdLst>
                <a:gd name="T0" fmla="+- 0 1999 1976"/>
                <a:gd name="T1" fmla="*/ T0 w 36"/>
                <a:gd name="T2" fmla="+- 0 591 522"/>
                <a:gd name="T3" fmla="*/ 591 h 79"/>
                <a:gd name="T4" fmla="+- 0 1989 1976"/>
                <a:gd name="T5" fmla="*/ T4 w 36"/>
                <a:gd name="T6" fmla="+- 0 591 522"/>
                <a:gd name="T7" fmla="*/ 591 h 79"/>
                <a:gd name="T8" fmla="+- 0 1989 1976"/>
                <a:gd name="T9" fmla="*/ T8 w 36"/>
                <a:gd name="T10" fmla="+- 0 532 522"/>
                <a:gd name="T11" fmla="*/ 532 h 79"/>
                <a:gd name="T12" fmla="+- 0 1976 1976"/>
                <a:gd name="T13" fmla="*/ T12 w 36"/>
                <a:gd name="T14" fmla="+- 0 532 522"/>
                <a:gd name="T15" fmla="*/ 532 h 79"/>
                <a:gd name="T16" fmla="+- 0 1976 1976"/>
                <a:gd name="T17" fmla="*/ T16 w 36"/>
                <a:gd name="T18" fmla="+- 0 522 522"/>
                <a:gd name="T19" fmla="*/ 522 h 79"/>
                <a:gd name="T20" fmla="+- 0 1999 1976"/>
                <a:gd name="T21" fmla="*/ T20 w 36"/>
                <a:gd name="T22" fmla="+- 0 522 522"/>
                <a:gd name="T23" fmla="*/ 522 h 79"/>
                <a:gd name="T24" fmla="+- 0 1999 1976"/>
                <a:gd name="T25" fmla="*/ T24 w 36"/>
                <a:gd name="T26" fmla="+- 0 591 522"/>
                <a:gd name="T27" fmla="*/ 591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36" h="79">
                  <a:moveTo>
                    <a:pt x="23" y="69"/>
                  </a:moveTo>
                  <a:lnTo>
                    <a:pt x="13" y="69"/>
                  </a:lnTo>
                  <a:lnTo>
                    <a:pt x="13" y="10"/>
                  </a:lnTo>
                  <a:lnTo>
                    <a:pt x="0" y="10"/>
                  </a:lnTo>
                  <a:lnTo>
                    <a:pt x="0" y="0"/>
                  </a:lnTo>
                  <a:lnTo>
                    <a:pt x="23" y="0"/>
                  </a:lnTo>
                  <a:lnTo>
                    <a:pt x="23" y="6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3" name="Freeform 4871">
              <a:extLst>
                <a:ext uri="{FF2B5EF4-FFF2-40B4-BE49-F238E27FC236}">
                  <a16:creationId xmlns:a16="http://schemas.microsoft.com/office/drawing/2014/main" id="{B14E8CE8-9B6C-4600-9DFB-0489903DD249}"/>
                </a:ext>
              </a:extLst>
            </xdr:cNvPr>
            <xdr:cNvSpPr>
              <a:spLocks/>
            </xdr:cNvSpPr>
          </xdr:nvSpPr>
          <xdr:spPr bwMode="auto">
            <a:xfrm>
              <a:off x="1976" y="522"/>
              <a:ext cx="36" cy="79"/>
            </a:xfrm>
            <a:custGeom>
              <a:avLst/>
              <a:gdLst>
                <a:gd name="T0" fmla="+- 0 2011 1976"/>
                <a:gd name="T1" fmla="*/ T0 w 36"/>
                <a:gd name="T2" fmla="+- 0 600 522"/>
                <a:gd name="T3" fmla="*/ 600 h 79"/>
                <a:gd name="T4" fmla="+- 0 1976 1976"/>
                <a:gd name="T5" fmla="*/ T4 w 36"/>
                <a:gd name="T6" fmla="+- 0 600 522"/>
                <a:gd name="T7" fmla="*/ 600 h 79"/>
                <a:gd name="T8" fmla="+- 0 1976 1976"/>
                <a:gd name="T9" fmla="*/ T8 w 36"/>
                <a:gd name="T10" fmla="+- 0 591 522"/>
                <a:gd name="T11" fmla="*/ 591 h 79"/>
                <a:gd name="T12" fmla="+- 0 2011 1976"/>
                <a:gd name="T13" fmla="*/ T12 w 36"/>
                <a:gd name="T14" fmla="+- 0 591 522"/>
                <a:gd name="T15" fmla="*/ 591 h 79"/>
                <a:gd name="T16" fmla="+- 0 2011 1976"/>
                <a:gd name="T17" fmla="*/ T16 w 36"/>
                <a:gd name="T18" fmla="+- 0 600 522"/>
                <a:gd name="T19" fmla="*/ 600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6" h="79">
                  <a:moveTo>
                    <a:pt x="35" y="78"/>
                  </a:moveTo>
                  <a:lnTo>
                    <a:pt x="0" y="78"/>
                  </a:lnTo>
                  <a:lnTo>
                    <a:pt x="0" y="69"/>
                  </a:lnTo>
                  <a:lnTo>
                    <a:pt x="35" y="69"/>
                  </a:lnTo>
                  <a:lnTo>
                    <a:pt x="35" y="7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371ADF2C-A7F8-5AA6-56B8-1E5860081925}"/>
              </a:ext>
            </a:extLst>
          </xdr:cNvPr>
          <xdr:cNvGrpSpPr>
            <a:grpSpLocks/>
          </xdr:cNvGrpSpPr>
        </xdr:nvGrpSpPr>
        <xdr:grpSpPr bwMode="auto">
          <a:xfrm>
            <a:off x="2022" y="494"/>
            <a:ext cx="39" cy="107"/>
            <a:chOff x="2022" y="494"/>
            <a:chExt cx="39" cy="107"/>
          </a:xfrm>
        </xdr:grpSpPr>
        <xdr:sp macro="" textlink="">
          <xdr:nvSpPr>
            <xdr:cNvPr id="58" name="Freeform 4869">
              <a:extLst>
                <a:ext uri="{FF2B5EF4-FFF2-40B4-BE49-F238E27FC236}">
                  <a16:creationId xmlns:a16="http://schemas.microsoft.com/office/drawing/2014/main" id="{7EC80729-6002-084D-E29E-E536E5B1D8DD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45 2022"/>
                <a:gd name="T1" fmla="*/ T0 w 39"/>
                <a:gd name="T2" fmla="+- 0 522 494"/>
                <a:gd name="T3" fmla="*/ 522 h 107"/>
                <a:gd name="T4" fmla="+- 0 2035 2022"/>
                <a:gd name="T5" fmla="*/ T4 w 39"/>
                <a:gd name="T6" fmla="+- 0 522 494"/>
                <a:gd name="T7" fmla="*/ 522 h 107"/>
                <a:gd name="T8" fmla="+- 0 2035 2022"/>
                <a:gd name="T9" fmla="*/ T8 w 39"/>
                <a:gd name="T10" fmla="+- 0 521 494"/>
                <a:gd name="T11" fmla="*/ 521 h 107"/>
                <a:gd name="T12" fmla="+- 0 2035 2022"/>
                <a:gd name="T13" fmla="*/ T12 w 39"/>
                <a:gd name="T14" fmla="+- 0 513 494"/>
                <a:gd name="T15" fmla="*/ 513 h 107"/>
                <a:gd name="T16" fmla="+- 0 2035 2022"/>
                <a:gd name="T17" fmla="*/ T16 w 39"/>
                <a:gd name="T18" fmla="+- 0 506 494"/>
                <a:gd name="T19" fmla="*/ 506 h 107"/>
                <a:gd name="T20" fmla="+- 0 2042 2022"/>
                <a:gd name="T21" fmla="*/ T20 w 39"/>
                <a:gd name="T22" fmla="+- 0 500 494"/>
                <a:gd name="T23" fmla="*/ 500 h 107"/>
                <a:gd name="T24" fmla="+- 0 2046 2022"/>
                <a:gd name="T25" fmla="*/ T24 w 39"/>
                <a:gd name="T26" fmla="+- 0 496 494"/>
                <a:gd name="T27" fmla="*/ 496 h 107"/>
                <a:gd name="T28" fmla="+- 0 2052 2022"/>
                <a:gd name="T29" fmla="*/ T28 w 39"/>
                <a:gd name="T30" fmla="+- 0 494 494"/>
                <a:gd name="T31" fmla="*/ 494 h 107"/>
                <a:gd name="T32" fmla="+- 0 2061 2022"/>
                <a:gd name="T33" fmla="*/ T32 w 39"/>
                <a:gd name="T34" fmla="+- 0 494 494"/>
                <a:gd name="T35" fmla="*/ 494 h 107"/>
                <a:gd name="T36" fmla="+- 0 2061 2022"/>
                <a:gd name="T37" fmla="*/ T36 w 39"/>
                <a:gd name="T38" fmla="+- 0 503 494"/>
                <a:gd name="T39" fmla="*/ 503 h 107"/>
                <a:gd name="T40" fmla="+- 0 2056 2022"/>
                <a:gd name="T41" fmla="*/ T40 w 39"/>
                <a:gd name="T42" fmla="+- 0 503 494"/>
                <a:gd name="T43" fmla="*/ 503 h 107"/>
                <a:gd name="T44" fmla="+- 0 2053 2022"/>
                <a:gd name="T45" fmla="*/ T44 w 39"/>
                <a:gd name="T46" fmla="+- 0 505 494"/>
                <a:gd name="T47" fmla="*/ 505 h 107"/>
                <a:gd name="T48" fmla="+- 0 2050 2022"/>
                <a:gd name="T49" fmla="*/ T48 w 39"/>
                <a:gd name="T50" fmla="+- 0 507 494"/>
                <a:gd name="T51" fmla="*/ 507 h 107"/>
                <a:gd name="T52" fmla="+- 0 2045 2022"/>
                <a:gd name="T53" fmla="*/ T52 w 39"/>
                <a:gd name="T54" fmla="+- 0 510 494"/>
                <a:gd name="T55" fmla="*/ 510 h 107"/>
                <a:gd name="T56" fmla="+- 0 2045 2022"/>
                <a:gd name="T57" fmla="*/ T56 w 39"/>
                <a:gd name="T58" fmla="+- 0 515 494"/>
                <a:gd name="T59" fmla="*/ 515 h 107"/>
                <a:gd name="T60" fmla="+- 0 2045 2022"/>
                <a:gd name="T61" fmla="*/ T60 w 39"/>
                <a:gd name="T62" fmla="+- 0 521 494"/>
                <a:gd name="T63" fmla="*/ 521 h 107"/>
                <a:gd name="T64" fmla="+- 0 2045 2022"/>
                <a:gd name="T65" fmla="*/ T64 w 39"/>
                <a:gd name="T66" fmla="+- 0 522 494"/>
                <a:gd name="T67" fmla="*/ 522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39" h="107">
                  <a:moveTo>
                    <a:pt x="23" y="28"/>
                  </a:moveTo>
                  <a:lnTo>
                    <a:pt x="13" y="28"/>
                  </a:lnTo>
                  <a:lnTo>
                    <a:pt x="13" y="27"/>
                  </a:lnTo>
                  <a:lnTo>
                    <a:pt x="13" y="19"/>
                  </a:lnTo>
                  <a:lnTo>
                    <a:pt x="13" y="12"/>
                  </a:lnTo>
                  <a:lnTo>
                    <a:pt x="20" y="6"/>
                  </a:lnTo>
                  <a:lnTo>
                    <a:pt x="24" y="2"/>
                  </a:lnTo>
                  <a:lnTo>
                    <a:pt x="30" y="0"/>
                  </a:lnTo>
                  <a:lnTo>
                    <a:pt x="39" y="0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31" y="11"/>
                  </a:lnTo>
                  <a:lnTo>
                    <a:pt x="28" y="13"/>
                  </a:lnTo>
                  <a:lnTo>
                    <a:pt x="23" y="16"/>
                  </a:lnTo>
                  <a:lnTo>
                    <a:pt x="23" y="21"/>
                  </a:lnTo>
                  <a:lnTo>
                    <a:pt x="23" y="27"/>
                  </a:lnTo>
                  <a:lnTo>
                    <a:pt x="23" y="2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9" name="Freeform 4868">
              <a:extLst>
                <a:ext uri="{FF2B5EF4-FFF2-40B4-BE49-F238E27FC236}">
                  <a16:creationId xmlns:a16="http://schemas.microsoft.com/office/drawing/2014/main" id="{2A2C2DE3-6028-7435-1378-EF5D02CEB9D8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58 2022"/>
                <a:gd name="T1" fmla="*/ T0 w 39"/>
                <a:gd name="T2" fmla="+- 0 533 494"/>
                <a:gd name="T3" fmla="*/ 533 h 107"/>
                <a:gd name="T4" fmla="+- 0 2022 2022"/>
                <a:gd name="T5" fmla="*/ T4 w 39"/>
                <a:gd name="T6" fmla="+- 0 533 494"/>
                <a:gd name="T7" fmla="*/ 533 h 107"/>
                <a:gd name="T8" fmla="+- 0 2022 2022"/>
                <a:gd name="T9" fmla="*/ T8 w 39"/>
                <a:gd name="T10" fmla="+- 0 522 494"/>
                <a:gd name="T11" fmla="*/ 522 h 107"/>
                <a:gd name="T12" fmla="+- 0 2058 2022"/>
                <a:gd name="T13" fmla="*/ T12 w 39"/>
                <a:gd name="T14" fmla="+- 0 522 494"/>
                <a:gd name="T15" fmla="*/ 522 h 107"/>
                <a:gd name="T16" fmla="+- 0 2058 2022"/>
                <a:gd name="T17" fmla="*/ T16 w 39"/>
                <a:gd name="T18" fmla="+- 0 533 494"/>
                <a:gd name="T19" fmla="*/ 533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36" y="39"/>
                  </a:moveTo>
                  <a:lnTo>
                    <a:pt x="0" y="39"/>
                  </a:lnTo>
                  <a:lnTo>
                    <a:pt x="0" y="28"/>
                  </a:lnTo>
                  <a:lnTo>
                    <a:pt x="36" y="28"/>
                  </a:lnTo>
                  <a:lnTo>
                    <a:pt x="36" y="3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0" name="Freeform 4867">
              <a:extLst>
                <a:ext uri="{FF2B5EF4-FFF2-40B4-BE49-F238E27FC236}">
                  <a16:creationId xmlns:a16="http://schemas.microsoft.com/office/drawing/2014/main" id="{5F68C797-C9AD-6B0B-2E44-B24D40BC7377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45 2022"/>
                <a:gd name="T1" fmla="*/ T0 w 39"/>
                <a:gd name="T2" fmla="+- 0 591 494"/>
                <a:gd name="T3" fmla="*/ 591 h 107"/>
                <a:gd name="T4" fmla="+- 0 2035 2022"/>
                <a:gd name="T5" fmla="*/ T4 w 39"/>
                <a:gd name="T6" fmla="+- 0 591 494"/>
                <a:gd name="T7" fmla="*/ 591 h 107"/>
                <a:gd name="T8" fmla="+- 0 2035 2022"/>
                <a:gd name="T9" fmla="*/ T8 w 39"/>
                <a:gd name="T10" fmla="+- 0 533 494"/>
                <a:gd name="T11" fmla="*/ 533 h 107"/>
                <a:gd name="T12" fmla="+- 0 2045 2022"/>
                <a:gd name="T13" fmla="*/ T12 w 39"/>
                <a:gd name="T14" fmla="+- 0 533 494"/>
                <a:gd name="T15" fmla="*/ 533 h 107"/>
                <a:gd name="T16" fmla="+- 0 2045 2022"/>
                <a:gd name="T17" fmla="*/ T16 w 39"/>
                <a:gd name="T18" fmla="+- 0 591 494"/>
                <a:gd name="T19" fmla="*/ 591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23" y="97"/>
                  </a:moveTo>
                  <a:lnTo>
                    <a:pt x="13" y="97"/>
                  </a:lnTo>
                  <a:lnTo>
                    <a:pt x="13" y="39"/>
                  </a:lnTo>
                  <a:lnTo>
                    <a:pt x="23" y="39"/>
                  </a:lnTo>
                  <a:lnTo>
                    <a:pt x="23" y="9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1" name="Freeform 4866">
              <a:extLst>
                <a:ext uri="{FF2B5EF4-FFF2-40B4-BE49-F238E27FC236}">
                  <a16:creationId xmlns:a16="http://schemas.microsoft.com/office/drawing/2014/main" id="{C5311D97-EA92-485D-491E-B22EB9746ACB}"/>
                </a:ext>
              </a:extLst>
            </xdr:cNvPr>
            <xdr:cNvSpPr>
              <a:spLocks/>
            </xdr:cNvSpPr>
          </xdr:nvSpPr>
          <xdr:spPr bwMode="auto">
            <a:xfrm>
              <a:off x="2022" y="494"/>
              <a:ext cx="39" cy="107"/>
            </a:xfrm>
            <a:custGeom>
              <a:avLst/>
              <a:gdLst>
                <a:gd name="T0" fmla="+- 0 2058 2022"/>
                <a:gd name="T1" fmla="*/ T0 w 39"/>
                <a:gd name="T2" fmla="+- 0 601 494"/>
                <a:gd name="T3" fmla="*/ 601 h 107"/>
                <a:gd name="T4" fmla="+- 0 2022 2022"/>
                <a:gd name="T5" fmla="*/ T4 w 39"/>
                <a:gd name="T6" fmla="+- 0 601 494"/>
                <a:gd name="T7" fmla="*/ 601 h 107"/>
                <a:gd name="T8" fmla="+- 0 2022 2022"/>
                <a:gd name="T9" fmla="*/ T8 w 39"/>
                <a:gd name="T10" fmla="+- 0 591 494"/>
                <a:gd name="T11" fmla="*/ 591 h 107"/>
                <a:gd name="T12" fmla="+- 0 2058 2022"/>
                <a:gd name="T13" fmla="*/ T12 w 39"/>
                <a:gd name="T14" fmla="+- 0 591 494"/>
                <a:gd name="T15" fmla="*/ 591 h 107"/>
                <a:gd name="T16" fmla="+- 0 2058 2022"/>
                <a:gd name="T17" fmla="*/ T16 w 39"/>
                <a:gd name="T18" fmla="+- 0 601 494"/>
                <a:gd name="T19" fmla="*/ 601 h 107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39" h="107">
                  <a:moveTo>
                    <a:pt x="36" y="107"/>
                  </a:moveTo>
                  <a:lnTo>
                    <a:pt x="0" y="107"/>
                  </a:lnTo>
                  <a:lnTo>
                    <a:pt x="0" y="97"/>
                  </a:lnTo>
                  <a:lnTo>
                    <a:pt x="36" y="97"/>
                  </a:lnTo>
                  <a:lnTo>
                    <a:pt x="36" y="10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2465D7ED-4BE0-B068-A2AA-A0A4BDF4B88D}"/>
              </a:ext>
            </a:extLst>
          </xdr:cNvPr>
          <xdr:cNvGrpSpPr>
            <a:grpSpLocks/>
          </xdr:cNvGrpSpPr>
        </xdr:nvGrpSpPr>
        <xdr:grpSpPr bwMode="auto">
          <a:xfrm>
            <a:off x="2076" y="522"/>
            <a:ext cx="76" cy="79"/>
            <a:chOff x="2076" y="522"/>
            <a:chExt cx="76" cy="79"/>
          </a:xfrm>
        </xdr:grpSpPr>
        <xdr:sp macro="" textlink="">
          <xdr:nvSpPr>
            <xdr:cNvPr id="55" name="Freeform 4864">
              <a:extLst>
                <a:ext uri="{FF2B5EF4-FFF2-40B4-BE49-F238E27FC236}">
                  <a16:creationId xmlns:a16="http://schemas.microsoft.com/office/drawing/2014/main" id="{A76D5899-412B-5926-D3A9-9B933494AFC5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01 2076"/>
                <a:gd name="T1" fmla="*/ T0 w 76"/>
                <a:gd name="T2" fmla="+- 0 601 522"/>
                <a:gd name="T3" fmla="*/ 601 h 79"/>
                <a:gd name="T4" fmla="+- 0 2087 2076"/>
                <a:gd name="T5" fmla="*/ T4 w 76"/>
                <a:gd name="T6" fmla="+- 0 591 522"/>
                <a:gd name="T7" fmla="*/ 591 h 79"/>
                <a:gd name="T8" fmla="+- 0 2078 2076"/>
                <a:gd name="T9" fmla="*/ T8 w 76"/>
                <a:gd name="T10" fmla="+- 0 573 522"/>
                <a:gd name="T11" fmla="*/ 573 h 79"/>
                <a:gd name="T12" fmla="+- 0 2076 2076"/>
                <a:gd name="T13" fmla="*/ T12 w 76"/>
                <a:gd name="T14" fmla="+- 0 545 522"/>
                <a:gd name="T15" fmla="*/ 545 h 79"/>
                <a:gd name="T16" fmla="+- 0 2091 2076"/>
                <a:gd name="T17" fmla="*/ T16 w 76"/>
                <a:gd name="T18" fmla="+- 0 529 522"/>
                <a:gd name="T19" fmla="*/ 529 h 79"/>
                <a:gd name="T20" fmla="+- 0 2112 2076"/>
                <a:gd name="T21" fmla="*/ T20 w 76"/>
                <a:gd name="T22" fmla="+- 0 522 522"/>
                <a:gd name="T23" fmla="*/ 522 h 79"/>
                <a:gd name="T24" fmla="+- 0 2130 2076"/>
                <a:gd name="T25" fmla="*/ T24 w 76"/>
                <a:gd name="T26" fmla="+- 0 527 522"/>
                <a:gd name="T27" fmla="*/ 527 h 79"/>
                <a:gd name="T28" fmla="+- 0 2136 2076"/>
                <a:gd name="T29" fmla="*/ T28 w 76"/>
                <a:gd name="T30" fmla="+- 0 532 522"/>
                <a:gd name="T31" fmla="*/ 532 h 79"/>
                <a:gd name="T32" fmla="+- 0 2098 2076"/>
                <a:gd name="T33" fmla="*/ T32 w 76"/>
                <a:gd name="T34" fmla="+- 0 532 522"/>
                <a:gd name="T35" fmla="*/ 532 h 79"/>
                <a:gd name="T36" fmla="+- 0 2085 2076"/>
                <a:gd name="T37" fmla="*/ T36 w 76"/>
                <a:gd name="T38" fmla="+- 0 543 522"/>
                <a:gd name="T39" fmla="*/ 543 h 79"/>
                <a:gd name="T40" fmla="+- 0 2083 2076"/>
                <a:gd name="T41" fmla="*/ T40 w 76"/>
                <a:gd name="T42" fmla="+- 0 557 522"/>
                <a:gd name="T43" fmla="*/ 557 h 79"/>
                <a:gd name="T44" fmla="+- 0 2150 2076"/>
                <a:gd name="T45" fmla="*/ T44 w 76"/>
                <a:gd name="T46" fmla="+- 0 557 522"/>
                <a:gd name="T47" fmla="*/ 557 h 79"/>
                <a:gd name="T48" fmla="+- 0 2152 2076"/>
                <a:gd name="T49" fmla="*/ T48 w 76"/>
                <a:gd name="T50" fmla="+- 0 563 522"/>
                <a:gd name="T51" fmla="*/ 563 h 79"/>
                <a:gd name="T52" fmla="+- 0 2152 2076"/>
                <a:gd name="T53" fmla="*/ T52 w 76"/>
                <a:gd name="T54" fmla="+- 0 566 522"/>
                <a:gd name="T55" fmla="*/ 566 h 79"/>
                <a:gd name="T56" fmla="+- 0 2083 2076"/>
                <a:gd name="T57" fmla="*/ T56 w 76"/>
                <a:gd name="T58" fmla="+- 0 566 522"/>
                <a:gd name="T59" fmla="*/ 566 h 79"/>
                <a:gd name="T60" fmla="+- 0 2084 2076"/>
                <a:gd name="T61" fmla="*/ T60 w 76"/>
                <a:gd name="T62" fmla="+- 0 581 522"/>
                <a:gd name="T63" fmla="*/ 581 h 79"/>
                <a:gd name="T64" fmla="+- 0 2097 2076"/>
                <a:gd name="T65" fmla="*/ T64 w 76"/>
                <a:gd name="T66" fmla="+- 0 593 522"/>
                <a:gd name="T67" fmla="*/ 593 h 79"/>
                <a:gd name="T68" fmla="+- 0 2135 2076"/>
                <a:gd name="T69" fmla="*/ T68 w 76"/>
                <a:gd name="T70" fmla="+- 0 593 522"/>
                <a:gd name="T71" fmla="*/ 593 h 79"/>
                <a:gd name="T72" fmla="+- 0 2126 2076"/>
                <a:gd name="T73" fmla="*/ T72 w 76"/>
                <a:gd name="T74" fmla="+- 0 598 522"/>
                <a:gd name="T75" fmla="*/ 598 h 79"/>
                <a:gd name="T76" fmla="+- 0 2101 2076"/>
                <a:gd name="T77" fmla="*/ T76 w 76"/>
                <a:gd name="T78" fmla="+- 0 601 522"/>
                <a:gd name="T79" fmla="*/ 601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6" h="79">
                  <a:moveTo>
                    <a:pt x="25" y="79"/>
                  </a:moveTo>
                  <a:lnTo>
                    <a:pt x="11" y="69"/>
                  </a:lnTo>
                  <a:lnTo>
                    <a:pt x="2" y="51"/>
                  </a:lnTo>
                  <a:lnTo>
                    <a:pt x="0" y="23"/>
                  </a:lnTo>
                  <a:lnTo>
                    <a:pt x="15" y="7"/>
                  </a:lnTo>
                  <a:lnTo>
                    <a:pt x="36" y="0"/>
                  </a:lnTo>
                  <a:lnTo>
                    <a:pt x="54" y="5"/>
                  </a:lnTo>
                  <a:lnTo>
                    <a:pt x="60" y="10"/>
                  </a:lnTo>
                  <a:lnTo>
                    <a:pt x="22" y="10"/>
                  </a:lnTo>
                  <a:lnTo>
                    <a:pt x="9" y="21"/>
                  </a:lnTo>
                  <a:lnTo>
                    <a:pt x="7" y="35"/>
                  </a:lnTo>
                  <a:lnTo>
                    <a:pt x="74" y="35"/>
                  </a:lnTo>
                  <a:lnTo>
                    <a:pt x="76" y="41"/>
                  </a:lnTo>
                  <a:lnTo>
                    <a:pt x="76" y="44"/>
                  </a:lnTo>
                  <a:lnTo>
                    <a:pt x="7" y="44"/>
                  </a:lnTo>
                  <a:lnTo>
                    <a:pt x="8" y="59"/>
                  </a:lnTo>
                  <a:lnTo>
                    <a:pt x="21" y="71"/>
                  </a:lnTo>
                  <a:lnTo>
                    <a:pt x="59" y="71"/>
                  </a:lnTo>
                  <a:lnTo>
                    <a:pt x="50" y="76"/>
                  </a:lnTo>
                  <a:lnTo>
                    <a:pt x="25" y="79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6" name="Freeform 4863">
              <a:extLst>
                <a:ext uri="{FF2B5EF4-FFF2-40B4-BE49-F238E27FC236}">
                  <a16:creationId xmlns:a16="http://schemas.microsoft.com/office/drawing/2014/main" id="{5B99E100-EC22-78F1-F541-799D18287058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50 2076"/>
                <a:gd name="T1" fmla="*/ T0 w 76"/>
                <a:gd name="T2" fmla="+- 0 557 522"/>
                <a:gd name="T3" fmla="*/ 557 h 79"/>
                <a:gd name="T4" fmla="+- 0 2142 2076"/>
                <a:gd name="T5" fmla="*/ T4 w 76"/>
                <a:gd name="T6" fmla="+- 0 557 522"/>
                <a:gd name="T7" fmla="*/ 557 h 79"/>
                <a:gd name="T8" fmla="+- 0 2139 2076"/>
                <a:gd name="T9" fmla="*/ T8 w 76"/>
                <a:gd name="T10" fmla="+- 0 543 522"/>
                <a:gd name="T11" fmla="*/ 543 h 79"/>
                <a:gd name="T12" fmla="+- 0 2127 2076"/>
                <a:gd name="T13" fmla="*/ T12 w 76"/>
                <a:gd name="T14" fmla="+- 0 532 522"/>
                <a:gd name="T15" fmla="*/ 532 h 79"/>
                <a:gd name="T16" fmla="+- 0 2136 2076"/>
                <a:gd name="T17" fmla="*/ T16 w 76"/>
                <a:gd name="T18" fmla="+- 0 532 522"/>
                <a:gd name="T19" fmla="*/ 532 h 79"/>
                <a:gd name="T20" fmla="+- 0 2146 2076"/>
                <a:gd name="T21" fmla="*/ T20 w 76"/>
                <a:gd name="T22" fmla="+- 0 541 522"/>
                <a:gd name="T23" fmla="*/ 541 h 79"/>
                <a:gd name="T24" fmla="+- 0 2150 2076"/>
                <a:gd name="T25" fmla="*/ T24 w 76"/>
                <a:gd name="T26" fmla="+- 0 557 522"/>
                <a:gd name="T27" fmla="*/ 557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76" h="79">
                  <a:moveTo>
                    <a:pt x="74" y="35"/>
                  </a:moveTo>
                  <a:lnTo>
                    <a:pt x="66" y="35"/>
                  </a:lnTo>
                  <a:lnTo>
                    <a:pt x="63" y="21"/>
                  </a:lnTo>
                  <a:lnTo>
                    <a:pt x="51" y="10"/>
                  </a:lnTo>
                  <a:lnTo>
                    <a:pt x="60" y="10"/>
                  </a:lnTo>
                  <a:lnTo>
                    <a:pt x="70" y="19"/>
                  </a:lnTo>
                  <a:lnTo>
                    <a:pt x="74" y="3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7" name="Freeform 4862">
              <a:extLst>
                <a:ext uri="{FF2B5EF4-FFF2-40B4-BE49-F238E27FC236}">
                  <a16:creationId xmlns:a16="http://schemas.microsoft.com/office/drawing/2014/main" id="{6143E68A-0CB5-71EB-0975-1D9E1744EBCC}"/>
                </a:ext>
              </a:extLst>
            </xdr:cNvPr>
            <xdr:cNvSpPr>
              <a:spLocks/>
            </xdr:cNvSpPr>
          </xdr:nvSpPr>
          <xdr:spPr bwMode="auto">
            <a:xfrm>
              <a:off x="2076" y="522"/>
              <a:ext cx="76" cy="79"/>
            </a:xfrm>
            <a:custGeom>
              <a:avLst/>
              <a:gdLst>
                <a:gd name="T0" fmla="+- 0 2135 2076"/>
                <a:gd name="T1" fmla="*/ T0 w 76"/>
                <a:gd name="T2" fmla="+- 0 593 522"/>
                <a:gd name="T3" fmla="*/ 593 h 79"/>
                <a:gd name="T4" fmla="+- 0 2123 2076"/>
                <a:gd name="T5" fmla="*/ T4 w 76"/>
                <a:gd name="T6" fmla="+- 0 593 522"/>
                <a:gd name="T7" fmla="*/ 593 h 79"/>
                <a:gd name="T8" fmla="+- 0 2132 2076"/>
                <a:gd name="T9" fmla="*/ T8 w 76"/>
                <a:gd name="T10" fmla="+- 0 587 522"/>
                <a:gd name="T11" fmla="*/ 587 h 79"/>
                <a:gd name="T12" fmla="+- 0 2137 2076"/>
                <a:gd name="T13" fmla="*/ T12 w 76"/>
                <a:gd name="T14" fmla="+- 0 578 522"/>
                <a:gd name="T15" fmla="*/ 578 h 79"/>
                <a:gd name="T16" fmla="+- 0 2138 2076"/>
                <a:gd name="T17" fmla="*/ T16 w 76"/>
                <a:gd name="T18" fmla="+- 0 578 522"/>
                <a:gd name="T19" fmla="*/ 578 h 79"/>
                <a:gd name="T20" fmla="+- 0 2149 2076"/>
                <a:gd name="T21" fmla="*/ T20 w 76"/>
                <a:gd name="T22" fmla="+- 0 578 522"/>
                <a:gd name="T23" fmla="*/ 578 h 79"/>
                <a:gd name="T24" fmla="+- 0 2142 2076"/>
                <a:gd name="T25" fmla="*/ T24 w 76"/>
                <a:gd name="T26" fmla="+- 0 588 522"/>
                <a:gd name="T27" fmla="*/ 588 h 79"/>
                <a:gd name="T28" fmla="+- 0 2135 2076"/>
                <a:gd name="T29" fmla="*/ T28 w 76"/>
                <a:gd name="T30" fmla="+- 0 593 522"/>
                <a:gd name="T31" fmla="*/ 593 h 79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6" h="79">
                  <a:moveTo>
                    <a:pt x="59" y="71"/>
                  </a:moveTo>
                  <a:lnTo>
                    <a:pt x="47" y="71"/>
                  </a:lnTo>
                  <a:lnTo>
                    <a:pt x="56" y="65"/>
                  </a:lnTo>
                  <a:lnTo>
                    <a:pt x="61" y="56"/>
                  </a:lnTo>
                  <a:lnTo>
                    <a:pt x="62" y="56"/>
                  </a:lnTo>
                  <a:lnTo>
                    <a:pt x="73" y="56"/>
                  </a:lnTo>
                  <a:lnTo>
                    <a:pt x="66" y="66"/>
                  </a:lnTo>
                  <a:lnTo>
                    <a:pt x="59" y="7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6B77E071-A9C8-6F86-EABF-B6D40CF6444F}"/>
              </a:ext>
            </a:extLst>
          </xdr:cNvPr>
          <xdr:cNvGrpSpPr>
            <a:grpSpLocks/>
          </xdr:cNvGrpSpPr>
        </xdr:nvGrpSpPr>
        <xdr:grpSpPr bwMode="auto">
          <a:xfrm>
            <a:off x="2228" y="520"/>
            <a:ext cx="78" cy="81"/>
            <a:chOff x="2228" y="520"/>
            <a:chExt cx="78" cy="81"/>
          </a:xfrm>
        </xdr:grpSpPr>
        <xdr:sp macro="" textlink="">
          <xdr:nvSpPr>
            <xdr:cNvPr id="51" name="Freeform 4860">
              <a:extLst>
                <a:ext uri="{FF2B5EF4-FFF2-40B4-BE49-F238E27FC236}">
                  <a16:creationId xmlns:a16="http://schemas.microsoft.com/office/drawing/2014/main" id="{41127C04-55ED-1856-7E53-718FD6EC493A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274 2228"/>
                <a:gd name="T1" fmla="*/ T0 w 78"/>
                <a:gd name="T2" fmla="+- 0 600 520"/>
                <a:gd name="T3" fmla="*/ 600 h 81"/>
                <a:gd name="T4" fmla="+- 0 2252 2228"/>
                <a:gd name="T5" fmla="*/ T4 w 78"/>
                <a:gd name="T6" fmla="+- 0 600 520"/>
                <a:gd name="T7" fmla="*/ 600 h 81"/>
                <a:gd name="T8" fmla="+- 0 2238 2228"/>
                <a:gd name="T9" fmla="*/ T8 w 78"/>
                <a:gd name="T10" fmla="+- 0 590 520"/>
                <a:gd name="T11" fmla="*/ 590 h 81"/>
                <a:gd name="T12" fmla="+- 0 2229 2228"/>
                <a:gd name="T13" fmla="*/ T12 w 78"/>
                <a:gd name="T14" fmla="+- 0 571 520"/>
                <a:gd name="T15" fmla="*/ 571 h 81"/>
                <a:gd name="T16" fmla="+- 0 2228 2228"/>
                <a:gd name="T17" fmla="*/ T16 w 78"/>
                <a:gd name="T18" fmla="+- 0 543 520"/>
                <a:gd name="T19" fmla="*/ 543 h 81"/>
                <a:gd name="T20" fmla="+- 0 2243 2228"/>
                <a:gd name="T21" fmla="*/ T20 w 78"/>
                <a:gd name="T22" fmla="+- 0 527 520"/>
                <a:gd name="T23" fmla="*/ 527 h 81"/>
                <a:gd name="T24" fmla="+- 0 2266 2228"/>
                <a:gd name="T25" fmla="*/ T24 w 78"/>
                <a:gd name="T26" fmla="+- 0 520 520"/>
                <a:gd name="T27" fmla="*/ 520 h 81"/>
                <a:gd name="T28" fmla="+- 0 2272 2228"/>
                <a:gd name="T29" fmla="*/ T28 w 78"/>
                <a:gd name="T30" fmla="+- 0 520 520"/>
                <a:gd name="T31" fmla="*/ 520 h 81"/>
                <a:gd name="T32" fmla="+- 0 2286 2228"/>
                <a:gd name="T33" fmla="*/ T32 w 78"/>
                <a:gd name="T34" fmla="+- 0 522 520"/>
                <a:gd name="T35" fmla="*/ 522 h 81"/>
                <a:gd name="T36" fmla="+- 0 2293 2228"/>
                <a:gd name="T37" fmla="*/ T36 w 78"/>
                <a:gd name="T38" fmla="+- 0 531 520"/>
                <a:gd name="T39" fmla="*/ 531 h 81"/>
                <a:gd name="T40" fmla="+- 0 2259 2228"/>
                <a:gd name="T41" fmla="*/ T40 w 78"/>
                <a:gd name="T42" fmla="+- 0 531 520"/>
                <a:gd name="T43" fmla="*/ 531 h 81"/>
                <a:gd name="T44" fmla="+- 0 2242 2228"/>
                <a:gd name="T45" fmla="*/ T44 w 78"/>
                <a:gd name="T46" fmla="+- 0 542 520"/>
                <a:gd name="T47" fmla="*/ 542 h 81"/>
                <a:gd name="T48" fmla="+- 0 2235 2228"/>
                <a:gd name="T49" fmla="*/ T48 w 78"/>
                <a:gd name="T50" fmla="+- 0 566 520"/>
                <a:gd name="T51" fmla="*/ 566 h 81"/>
                <a:gd name="T52" fmla="+- 0 2245 2228"/>
                <a:gd name="T53" fmla="*/ T52 w 78"/>
                <a:gd name="T54" fmla="+- 0 585 520"/>
                <a:gd name="T55" fmla="*/ 585 h 81"/>
                <a:gd name="T56" fmla="+- 0 2266 2228"/>
                <a:gd name="T57" fmla="*/ T56 w 78"/>
                <a:gd name="T58" fmla="+- 0 592 520"/>
                <a:gd name="T59" fmla="*/ 592 h 81"/>
                <a:gd name="T60" fmla="+- 0 2306 2228"/>
                <a:gd name="T61" fmla="*/ T60 w 78"/>
                <a:gd name="T62" fmla="+- 0 592 520"/>
                <a:gd name="T63" fmla="*/ 592 h 81"/>
                <a:gd name="T64" fmla="+- 0 2306 2228"/>
                <a:gd name="T65" fmla="*/ T64 w 78"/>
                <a:gd name="T66" fmla="+- 0 593 520"/>
                <a:gd name="T67" fmla="*/ 593 h 81"/>
                <a:gd name="T68" fmla="+- 0 2291 2228"/>
                <a:gd name="T69" fmla="*/ T68 w 78"/>
                <a:gd name="T70" fmla="+- 0 593 520"/>
                <a:gd name="T71" fmla="*/ 593 h 81"/>
                <a:gd name="T72" fmla="+- 0 2274 2228"/>
                <a:gd name="T73" fmla="*/ T72 w 78"/>
                <a:gd name="T74" fmla="+- 0 600 520"/>
                <a:gd name="T75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</a:cxnLst>
              <a:rect l="0" t="0" r="r" b="b"/>
              <a:pathLst>
                <a:path w="78" h="81">
                  <a:moveTo>
                    <a:pt x="46" y="80"/>
                  </a:moveTo>
                  <a:lnTo>
                    <a:pt x="24" y="80"/>
                  </a:lnTo>
                  <a:lnTo>
                    <a:pt x="10" y="70"/>
                  </a:lnTo>
                  <a:lnTo>
                    <a:pt x="1" y="51"/>
                  </a:lnTo>
                  <a:lnTo>
                    <a:pt x="0" y="23"/>
                  </a:lnTo>
                  <a:lnTo>
                    <a:pt x="15" y="7"/>
                  </a:lnTo>
                  <a:lnTo>
                    <a:pt x="38" y="0"/>
                  </a:lnTo>
                  <a:lnTo>
                    <a:pt x="44" y="0"/>
                  </a:lnTo>
                  <a:lnTo>
                    <a:pt x="58" y="2"/>
                  </a:lnTo>
                  <a:lnTo>
                    <a:pt x="65" y="11"/>
                  </a:lnTo>
                  <a:lnTo>
                    <a:pt x="31" y="11"/>
                  </a:lnTo>
                  <a:lnTo>
                    <a:pt x="14" y="22"/>
                  </a:lnTo>
                  <a:lnTo>
                    <a:pt x="7" y="46"/>
                  </a:lnTo>
                  <a:lnTo>
                    <a:pt x="17" y="65"/>
                  </a:lnTo>
                  <a:lnTo>
                    <a:pt x="38" y="72"/>
                  </a:lnTo>
                  <a:lnTo>
                    <a:pt x="78" y="72"/>
                  </a:lnTo>
                  <a:lnTo>
                    <a:pt x="78" y="73"/>
                  </a:lnTo>
                  <a:lnTo>
                    <a:pt x="63" y="73"/>
                  </a:lnTo>
                  <a:lnTo>
                    <a:pt x="46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2" name="Freeform 4859">
              <a:extLst>
                <a:ext uri="{FF2B5EF4-FFF2-40B4-BE49-F238E27FC236}">
                  <a16:creationId xmlns:a16="http://schemas.microsoft.com/office/drawing/2014/main" id="{9FE8EF23-27B8-5E17-AF9B-71CD64EA0702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535 520"/>
                <a:gd name="T3" fmla="*/ 535 h 81"/>
                <a:gd name="T4" fmla="+- 0 2295 2228"/>
                <a:gd name="T5" fmla="*/ T4 w 78"/>
                <a:gd name="T6" fmla="+- 0 535 520"/>
                <a:gd name="T7" fmla="*/ 535 h 81"/>
                <a:gd name="T8" fmla="+- 0 2295 2228"/>
                <a:gd name="T9" fmla="*/ T8 w 78"/>
                <a:gd name="T10" fmla="+- 0 522 520"/>
                <a:gd name="T11" fmla="*/ 522 h 81"/>
                <a:gd name="T12" fmla="+- 0 2306 2228"/>
                <a:gd name="T13" fmla="*/ T12 w 78"/>
                <a:gd name="T14" fmla="+- 0 522 520"/>
                <a:gd name="T15" fmla="*/ 522 h 81"/>
                <a:gd name="T16" fmla="+- 0 2306 2228"/>
                <a:gd name="T17" fmla="*/ T16 w 78"/>
                <a:gd name="T18" fmla="+- 0 535 520"/>
                <a:gd name="T19" fmla="*/ 535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81">
                  <a:moveTo>
                    <a:pt x="78" y="15"/>
                  </a:moveTo>
                  <a:lnTo>
                    <a:pt x="67" y="15"/>
                  </a:lnTo>
                  <a:lnTo>
                    <a:pt x="67" y="2"/>
                  </a:lnTo>
                  <a:lnTo>
                    <a:pt x="78" y="2"/>
                  </a:lnTo>
                  <a:lnTo>
                    <a:pt x="78" y="1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3" name="Freeform 4858">
              <a:extLst>
                <a:ext uri="{FF2B5EF4-FFF2-40B4-BE49-F238E27FC236}">
                  <a16:creationId xmlns:a16="http://schemas.microsoft.com/office/drawing/2014/main" id="{E8641C1B-D55B-BEFD-A08C-FAC9E6802DBE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592 520"/>
                <a:gd name="T3" fmla="*/ 592 h 81"/>
                <a:gd name="T4" fmla="+- 0 2266 2228"/>
                <a:gd name="T5" fmla="*/ T4 w 78"/>
                <a:gd name="T6" fmla="+- 0 592 520"/>
                <a:gd name="T7" fmla="*/ 592 h 81"/>
                <a:gd name="T8" fmla="+- 0 2276 2228"/>
                <a:gd name="T9" fmla="*/ T8 w 78"/>
                <a:gd name="T10" fmla="+- 0 590 520"/>
                <a:gd name="T11" fmla="*/ 590 h 81"/>
                <a:gd name="T12" fmla="+- 0 2290 2228"/>
                <a:gd name="T13" fmla="*/ T12 w 78"/>
                <a:gd name="T14" fmla="+- 0 577 520"/>
                <a:gd name="T15" fmla="*/ 577 h 81"/>
                <a:gd name="T16" fmla="+- 0 2295 2228"/>
                <a:gd name="T17" fmla="*/ T16 w 78"/>
                <a:gd name="T18" fmla="+- 0 552 520"/>
                <a:gd name="T19" fmla="*/ 552 h 81"/>
                <a:gd name="T20" fmla="+- 0 2282 2228"/>
                <a:gd name="T21" fmla="*/ T20 w 78"/>
                <a:gd name="T22" fmla="+- 0 537 520"/>
                <a:gd name="T23" fmla="*/ 537 h 81"/>
                <a:gd name="T24" fmla="+- 0 2259 2228"/>
                <a:gd name="T25" fmla="*/ T24 w 78"/>
                <a:gd name="T26" fmla="+- 0 531 520"/>
                <a:gd name="T27" fmla="*/ 531 h 81"/>
                <a:gd name="T28" fmla="+- 0 2293 2228"/>
                <a:gd name="T29" fmla="*/ T28 w 78"/>
                <a:gd name="T30" fmla="+- 0 531 520"/>
                <a:gd name="T31" fmla="*/ 531 h 81"/>
                <a:gd name="T32" fmla="+- 0 2295 2228"/>
                <a:gd name="T33" fmla="*/ T32 w 78"/>
                <a:gd name="T34" fmla="+- 0 535 520"/>
                <a:gd name="T35" fmla="*/ 535 h 81"/>
                <a:gd name="T36" fmla="+- 0 2306 2228"/>
                <a:gd name="T37" fmla="*/ T36 w 78"/>
                <a:gd name="T38" fmla="+- 0 535 520"/>
                <a:gd name="T39" fmla="*/ 535 h 81"/>
                <a:gd name="T40" fmla="+- 0 2306 2228"/>
                <a:gd name="T41" fmla="*/ T40 w 78"/>
                <a:gd name="T42" fmla="+- 0 592 520"/>
                <a:gd name="T43" fmla="*/ 592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78" h="81">
                  <a:moveTo>
                    <a:pt x="78" y="72"/>
                  </a:moveTo>
                  <a:lnTo>
                    <a:pt x="38" y="72"/>
                  </a:lnTo>
                  <a:lnTo>
                    <a:pt x="48" y="70"/>
                  </a:lnTo>
                  <a:lnTo>
                    <a:pt x="62" y="57"/>
                  </a:lnTo>
                  <a:lnTo>
                    <a:pt x="67" y="32"/>
                  </a:lnTo>
                  <a:lnTo>
                    <a:pt x="54" y="17"/>
                  </a:lnTo>
                  <a:lnTo>
                    <a:pt x="31" y="11"/>
                  </a:lnTo>
                  <a:lnTo>
                    <a:pt x="65" y="11"/>
                  </a:lnTo>
                  <a:lnTo>
                    <a:pt x="67" y="15"/>
                  </a:lnTo>
                  <a:lnTo>
                    <a:pt x="78" y="15"/>
                  </a:lnTo>
                  <a:lnTo>
                    <a:pt x="78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4" name="Freeform 4857">
              <a:extLst>
                <a:ext uri="{FF2B5EF4-FFF2-40B4-BE49-F238E27FC236}">
                  <a16:creationId xmlns:a16="http://schemas.microsoft.com/office/drawing/2014/main" id="{2687D14F-7C1C-A579-D55B-0D30C3DA70CE}"/>
                </a:ext>
              </a:extLst>
            </xdr:cNvPr>
            <xdr:cNvSpPr>
              <a:spLocks/>
            </xdr:cNvSpPr>
          </xdr:nvSpPr>
          <xdr:spPr bwMode="auto">
            <a:xfrm>
              <a:off x="2228" y="520"/>
              <a:ext cx="78" cy="81"/>
            </a:xfrm>
            <a:custGeom>
              <a:avLst/>
              <a:gdLst>
                <a:gd name="T0" fmla="+- 0 2306 2228"/>
                <a:gd name="T1" fmla="*/ T0 w 78"/>
                <a:gd name="T2" fmla="+- 0 600 520"/>
                <a:gd name="T3" fmla="*/ 600 h 81"/>
                <a:gd name="T4" fmla="+- 0 2295 2228"/>
                <a:gd name="T5" fmla="*/ T4 w 78"/>
                <a:gd name="T6" fmla="+- 0 600 520"/>
                <a:gd name="T7" fmla="*/ 600 h 81"/>
                <a:gd name="T8" fmla="+- 0 2291 2228"/>
                <a:gd name="T9" fmla="*/ T8 w 78"/>
                <a:gd name="T10" fmla="+- 0 593 520"/>
                <a:gd name="T11" fmla="*/ 593 h 81"/>
                <a:gd name="T12" fmla="+- 0 2306 2228"/>
                <a:gd name="T13" fmla="*/ T12 w 78"/>
                <a:gd name="T14" fmla="+- 0 593 520"/>
                <a:gd name="T15" fmla="*/ 593 h 81"/>
                <a:gd name="T16" fmla="+- 0 2306 2228"/>
                <a:gd name="T17" fmla="*/ T16 w 78"/>
                <a:gd name="T18" fmla="+- 0 600 520"/>
                <a:gd name="T19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81">
                  <a:moveTo>
                    <a:pt x="78" y="80"/>
                  </a:moveTo>
                  <a:lnTo>
                    <a:pt x="67" y="80"/>
                  </a:lnTo>
                  <a:lnTo>
                    <a:pt x="63" y="73"/>
                  </a:lnTo>
                  <a:lnTo>
                    <a:pt x="78" y="73"/>
                  </a:lnTo>
                  <a:lnTo>
                    <a:pt x="78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2E8FD141-3382-B821-C35A-4630548A0322}"/>
              </a:ext>
            </a:extLst>
          </xdr:cNvPr>
          <xdr:cNvGrpSpPr>
            <a:grpSpLocks/>
          </xdr:cNvGrpSpPr>
        </xdr:nvGrpSpPr>
        <xdr:grpSpPr bwMode="auto">
          <a:xfrm>
            <a:off x="2328" y="522"/>
            <a:ext cx="69" cy="80"/>
            <a:chOff x="2328" y="522"/>
            <a:chExt cx="69" cy="80"/>
          </a:xfrm>
        </xdr:grpSpPr>
        <xdr:sp macro="" textlink="">
          <xdr:nvSpPr>
            <xdr:cNvPr id="48" name="Freeform 4855">
              <a:extLst>
                <a:ext uri="{FF2B5EF4-FFF2-40B4-BE49-F238E27FC236}">
                  <a16:creationId xmlns:a16="http://schemas.microsoft.com/office/drawing/2014/main" id="{D0C74FE3-1CEF-1096-F1BE-3FFFB5883946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77 2328"/>
                <a:gd name="T1" fmla="*/ T0 w 69"/>
                <a:gd name="T2" fmla="+- 0 602 522"/>
                <a:gd name="T3" fmla="*/ 602 h 80"/>
                <a:gd name="T4" fmla="+- 0 2346 2328"/>
                <a:gd name="T5" fmla="*/ T4 w 69"/>
                <a:gd name="T6" fmla="+- 0 602 522"/>
                <a:gd name="T7" fmla="*/ 602 h 80"/>
                <a:gd name="T8" fmla="+- 0 2338 2328"/>
                <a:gd name="T9" fmla="*/ T8 w 69"/>
                <a:gd name="T10" fmla="+- 0 595 522"/>
                <a:gd name="T11" fmla="*/ 595 h 80"/>
                <a:gd name="T12" fmla="+- 0 2334 2328"/>
                <a:gd name="T13" fmla="*/ T12 w 69"/>
                <a:gd name="T14" fmla="+- 0 591 522"/>
                <a:gd name="T15" fmla="*/ 591 h 80"/>
                <a:gd name="T16" fmla="+- 0 2330 2328"/>
                <a:gd name="T17" fmla="*/ T16 w 69"/>
                <a:gd name="T18" fmla="+- 0 585 522"/>
                <a:gd name="T19" fmla="*/ 585 h 80"/>
                <a:gd name="T20" fmla="+- 0 2328 2328"/>
                <a:gd name="T21" fmla="*/ T20 w 69"/>
                <a:gd name="T22" fmla="+- 0 576 522"/>
                <a:gd name="T23" fmla="*/ 576 h 80"/>
                <a:gd name="T24" fmla="+- 0 2328 2328"/>
                <a:gd name="T25" fmla="*/ T24 w 69"/>
                <a:gd name="T26" fmla="+- 0 522 522"/>
                <a:gd name="T27" fmla="*/ 522 h 80"/>
                <a:gd name="T28" fmla="+- 0 2339 2328"/>
                <a:gd name="T29" fmla="*/ T28 w 69"/>
                <a:gd name="T30" fmla="+- 0 522 522"/>
                <a:gd name="T31" fmla="*/ 522 h 80"/>
                <a:gd name="T32" fmla="+- 0 2339 2328"/>
                <a:gd name="T33" fmla="*/ T32 w 69"/>
                <a:gd name="T34" fmla="+- 0 574 522"/>
                <a:gd name="T35" fmla="*/ 574 h 80"/>
                <a:gd name="T36" fmla="+- 0 2340 2328"/>
                <a:gd name="T37" fmla="*/ T36 w 69"/>
                <a:gd name="T38" fmla="+- 0 581 522"/>
                <a:gd name="T39" fmla="*/ 581 h 80"/>
                <a:gd name="T40" fmla="+- 0 2344 2328"/>
                <a:gd name="T41" fmla="*/ T40 w 69"/>
                <a:gd name="T42" fmla="+- 0 585 522"/>
                <a:gd name="T43" fmla="*/ 585 h 80"/>
                <a:gd name="T44" fmla="+- 0 2348 2328"/>
                <a:gd name="T45" fmla="*/ T44 w 69"/>
                <a:gd name="T46" fmla="+- 0 590 522"/>
                <a:gd name="T47" fmla="*/ 590 h 80"/>
                <a:gd name="T48" fmla="+- 0 2354 2328"/>
                <a:gd name="T49" fmla="*/ T48 w 69"/>
                <a:gd name="T50" fmla="+- 0 592 522"/>
                <a:gd name="T51" fmla="*/ 592 h 80"/>
                <a:gd name="T52" fmla="+- 0 2384 2328"/>
                <a:gd name="T53" fmla="*/ T52 w 69"/>
                <a:gd name="T54" fmla="+- 0 592 522"/>
                <a:gd name="T55" fmla="*/ 592 h 80"/>
                <a:gd name="T56" fmla="+- 0 2383 2328"/>
                <a:gd name="T57" fmla="*/ T56 w 69"/>
                <a:gd name="T58" fmla="+- 0 594 522"/>
                <a:gd name="T59" fmla="*/ 594 h 80"/>
                <a:gd name="T60" fmla="+- 0 2377 2328"/>
                <a:gd name="T61" fmla="*/ T60 w 69"/>
                <a:gd name="T62" fmla="+- 0 602 522"/>
                <a:gd name="T63" fmla="*/ 60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</a:cxnLst>
              <a:rect l="0" t="0" r="r" b="b"/>
              <a:pathLst>
                <a:path w="69" h="80">
                  <a:moveTo>
                    <a:pt x="49" y="80"/>
                  </a:moveTo>
                  <a:lnTo>
                    <a:pt x="18" y="80"/>
                  </a:lnTo>
                  <a:lnTo>
                    <a:pt x="10" y="73"/>
                  </a:lnTo>
                  <a:lnTo>
                    <a:pt x="6" y="69"/>
                  </a:lnTo>
                  <a:lnTo>
                    <a:pt x="2" y="63"/>
                  </a:lnTo>
                  <a:lnTo>
                    <a:pt x="0" y="54"/>
                  </a:lnTo>
                  <a:lnTo>
                    <a:pt x="0" y="0"/>
                  </a:lnTo>
                  <a:lnTo>
                    <a:pt x="11" y="0"/>
                  </a:lnTo>
                  <a:lnTo>
                    <a:pt x="11" y="52"/>
                  </a:lnTo>
                  <a:lnTo>
                    <a:pt x="12" y="59"/>
                  </a:lnTo>
                  <a:lnTo>
                    <a:pt x="16" y="63"/>
                  </a:lnTo>
                  <a:lnTo>
                    <a:pt x="20" y="68"/>
                  </a:lnTo>
                  <a:lnTo>
                    <a:pt x="26" y="70"/>
                  </a:lnTo>
                  <a:lnTo>
                    <a:pt x="56" y="70"/>
                  </a:lnTo>
                  <a:lnTo>
                    <a:pt x="55" y="72"/>
                  </a:lnTo>
                  <a:lnTo>
                    <a:pt x="49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9" name="Freeform 4854">
              <a:extLst>
                <a:ext uri="{FF2B5EF4-FFF2-40B4-BE49-F238E27FC236}">
                  <a16:creationId xmlns:a16="http://schemas.microsoft.com/office/drawing/2014/main" id="{BBC323FA-F951-7DA1-1ADF-5B44D1DDC4D1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84 2328"/>
                <a:gd name="T1" fmla="*/ T0 w 69"/>
                <a:gd name="T2" fmla="+- 0 592 522"/>
                <a:gd name="T3" fmla="*/ 592 h 80"/>
                <a:gd name="T4" fmla="+- 0 2368 2328"/>
                <a:gd name="T5" fmla="*/ T4 w 69"/>
                <a:gd name="T6" fmla="+- 0 592 522"/>
                <a:gd name="T7" fmla="*/ 592 h 80"/>
                <a:gd name="T8" fmla="+- 0 2373 2328"/>
                <a:gd name="T9" fmla="*/ T8 w 69"/>
                <a:gd name="T10" fmla="+- 0 590 522"/>
                <a:gd name="T11" fmla="*/ 590 h 80"/>
                <a:gd name="T12" fmla="+- 0 2377 2328"/>
                <a:gd name="T13" fmla="*/ T12 w 69"/>
                <a:gd name="T14" fmla="+- 0 586 522"/>
                <a:gd name="T15" fmla="*/ 586 h 80"/>
                <a:gd name="T16" fmla="+- 0 2381 2328"/>
                <a:gd name="T17" fmla="*/ T16 w 69"/>
                <a:gd name="T18" fmla="+- 0 582 522"/>
                <a:gd name="T19" fmla="*/ 582 h 80"/>
                <a:gd name="T20" fmla="+- 0 2385 2328"/>
                <a:gd name="T21" fmla="*/ T20 w 69"/>
                <a:gd name="T22" fmla="+- 0 577 522"/>
                <a:gd name="T23" fmla="*/ 577 h 80"/>
                <a:gd name="T24" fmla="+- 0 2385 2328"/>
                <a:gd name="T25" fmla="*/ T24 w 69"/>
                <a:gd name="T26" fmla="+- 0 564 522"/>
                <a:gd name="T27" fmla="*/ 564 h 80"/>
                <a:gd name="T28" fmla="+- 0 2385 2328"/>
                <a:gd name="T29" fmla="*/ T28 w 69"/>
                <a:gd name="T30" fmla="+- 0 522 522"/>
                <a:gd name="T31" fmla="*/ 522 h 80"/>
                <a:gd name="T32" fmla="+- 0 2396 2328"/>
                <a:gd name="T33" fmla="*/ T32 w 69"/>
                <a:gd name="T34" fmla="+- 0 522 522"/>
                <a:gd name="T35" fmla="*/ 522 h 80"/>
                <a:gd name="T36" fmla="+- 0 2396 2328"/>
                <a:gd name="T37" fmla="*/ T36 w 69"/>
                <a:gd name="T38" fmla="+- 0 590 522"/>
                <a:gd name="T39" fmla="*/ 590 h 80"/>
                <a:gd name="T40" fmla="+- 0 2386 2328"/>
                <a:gd name="T41" fmla="*/ T40 w 69"/>
                <a:gd name="T42" fmla="+- 0 590 522"/>
                <a:gd name="T43" fmla="*/ 590 h 80"/>
                <a:gd name="T44" fmla="+- 0 2384 2328"/>
                <a:gd name="T45" fmla="*/ T44 w 69"/>
                <a:gd name="T46" fmla="+- 0 592 522"/>
                <a:gd name="T47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69" h="80">
                  <a:moveTo>
                    <a:pt x="56" y="70"/>
                  </a:moveTo>
                  <a:lnTo>
                    <a:pt x="40" y="70"/>
                  </a:lnTo>
                  <a:lnTo>
                    <a:pt x="45" y="68"/>
                  </a:lnTo>
                  <a:lnTo>
                    <a:pt x="49" y="64"/>
                  </a:lnTo>
                  <a:lnTo>
                    <a:pt x="53" y="60"/>
                  </a:lnTo>
                  <a:lnTo>
                    <a:pt x="57" y="55"/>
                  </a:lnTo>
                  <a:lnTo>
                    <a:pt x="57" y="42"/>
                  </a:lnTo>
                  <a:lnTo>
                    <a:pt x="57" y="0"/>
                  </a:lnTo>
                  <a:lnTo>
                    <a:pt x="68" y="0"/>
                  </a:lnTo>
                  <a:lnTo>
                    <a:pt x="68" y="68"/>
                  </a:lnTo>
                  <a:lnTo>
                    <a:pt x="58" y="68"/>
                  </a:lnTo>
                  <a:lnTo>
                    <a:pt x="56" y="7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50" name="Freeform 4853">
              <a:extLst>
                <a:ext uri="{FF2B5EF4-FFF2-40B4-BE49-F238E27FC236}">
                  <a16:creationId xmlns:a16="http://schemas.microsoft.com/office/drawing/2014/main" id="{2A707159-E0E0-BD6D-E4FA-03D48332FD5D}"/>
                </a:ext>
              </a:extLst>
            </xdr:cNvPr>
            <xdr:cNvSpPr>
              <a:spLocks/>
            </xdr:cNvSpPr>
          </xdr:nvSpPr>
          <xdr:spPr bwMode="auto">
            <a:xfrm>
              <a:off x="2328" y="522"/>
              <a:ext cx="69" cy="80"/>
            </a:xfrm>
            <a:custGeom>
              <a:avLst/>
              <a:gdLst>
                <a:gd name="T0" fmla="+- 0 2396 2328"/>
                <a:gd name="T1" fmla="*/ T0 w 69"/>
                <a:gd name="T2" fmla="+- 0 600 522"/>
                <a:gd name="T3" fmla="*/ 600 h 80"/>
                <a:gd name="T4" fmla="+- 0 2386 2328"/>
                <a:gd name="T5" fmla="*/ T4 w 69"/>
                <a:gd name="T6" fmla="+- 0 600 522"/>
                <a:gd name="T7" fmla="*/ 600 h 80"/>
                <a:gd name="T8" fmla="+- 0 2386 2328"/>
                <a:gd name="T9" fmla="*/ T8 w 69"/>
                <a:gd name="T10" fmla="+- 0 590 522"/>
                <a:gd name="T11" fmla="*/ 590 h 80"/>
                <a:gd name="T12" fmla="+- 0 2396 2328"/>
                <a:gd name="T13" fmla="*/ T12 w 69"/>
                <a:gd name="T14" fmla="+- 0 590 522"/>
                <a:gd name="T15" fmla="*/ 590 h 80"/>
                <a:gd name="T16" fmla="+- 0 2396 2328"/>
                <a:gd name="T17" fmla="*/ T16 w 69"/>
                <a:gd name="T18" fmla="+- 0 600 522"/>
                <a:gd name="T1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69" h="80">
                  <a:moveTo>
                    <a:pt x="68" y="78"/>
                  </a:moveTo>
                  <a:lnTo>
                    <a:pt x="58" y="78"/>
                  </a:lnTo>
                  <a:lnTo>
                    <a:pt x="58" y="68"/>
                  </a:lnTo>
                  <a:lnTo>
                    <a:pt x="68" y="68"/>
                  </a:lnTo>
                  <a:lnTo>
                    <a:pt x="68" y="7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FCD01E4D-9962-B78D-1A58-62C60A77A835}"/>
              </a:ext>
            </a:extLst>
          </xdr:cNvPr>
          <xdr:cNvGrpSpPr>
            <a:grpSpLocks/>
          </xdr:cNvGrpSpPr>
        </xdr:nvGrpSpPr>
        <xdr:grpSpPr bwMode="auto">
          <a:xfrm>
            <a:off x="2411" y="520"/>
            <a:ext cx="79" cy="111"/>
            <a:chOff x="2411" y="520"/>
            <a:chExt cx="79" cy="111"/>
          </a:xfrm>
        </xdr:grpSpPr>
        <xdr:sp macro="" textlink="">
          <xdr:nvSpPr>
            <xdr:cNvPr id="43" name="Freeform 4851">
              <a:extLst>
                <a:ext uri="{FF2B5EF4-FFF2-40B4-BE49-F238E27FC236}">
                  <a16:creationId xmlns:a16="http://schemas.microsoft.com/office/drawing/2014/main" id="{CEC38E8C-75CD-D2D3-2DAF-0CD138283A02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36 2411"/>
                <a:gd name="T1" fmla="*/ T0 w 79"/>
                <a:gd name="T2" fmla="+- 0 600 520"/>
                <a:gd name="T3" fmla="*/ 600 h 111"/>
                <a:gd name="T4" fmla="+- 0 2423 2411"/>
                <a:gd name="T5" fmla="*/ T4 w 79"/>
                <a:gd name="T6" fmla="+- 0 590 520"/>
                <a:gd name="T7" fmla="*/ 590 h 111"/>
                <a:gd name="T8" fmla="+- 0 2414 2411"/>
                <a:gd name="T9" fmla="*/ T8 w 79"/>
                <a:gd name="T10" fmla="+- 0 571 520"/>
                <a:gd name="T11" fmla="*/ 571 h 111"/>
                <a:gd name="T12" fmla="+- 0 2414 2411"/>
                <a:gd name="T13" fmla="*/ T12 w 79"/>
                <a:gd name="T14" fmla="+- 0 541 520"/>
                <a:gd name="T15" fmla="*/ 541 h 111"/>
                <a:gd name="T16" fmla="+- 0 2429 2411"/>
                <a:gd name="T17" fmla="*/ T16 w 79"/>
                <a:gd name="T18" fmla="+- 0 526 520"/>
                <a:gd name="T19" fmla="*/ 526 h 111"/>
                <a:gd name="T20" fmla="+- 0 2449 2411"/>
                <a:gd name="T21" fmla="*/ T20 w 79"/>
                <a:gd name="T22" fmla="+- 0 520 520"/>
                <a:gd name="T23" fmla="*/ 520 h 111"/>
                <a:gd name="T24" fmla="+- 0 2455 2411"/>
                <a:gd name="T25" fmla="*/ T24 w 79"/>
                <a:gd name="T26" fmla="+- 0 520 520"/>
                <a:gd name="T27" fmla="*/ 520 h 111"/>
                <a:gd name="T28" fmla="+- 0 2469 2411"/>
                <a:gd name="T29" fmla="*/ T28 w 79"/>
                <a:gd name="T30" fmla="+- 0 522 520"/>
                <a:gd name="T31" fmla="*/ 522 h 111"/>
                <a:gd name="T32" fmla="+- 0 2475 2411"/>
                <a:gd name="T33" fmla="*/ T32 w 79"/>
                <a:gd name="T34" fmla="+- 0 531 520"/>
                <a:gd name="T35" fmla="*/ 531 h 111"/>
                <a:gd name="T36" fmla="+- 0 2443 2411"/>
                <a:gd name="T37" fmla="*/ T36 w 79"/>
                <a:gd name="T38" fmla="+- 0 531 520"/>
                <a:gd name="T39" fmla="*/ 531 h 111"/>
                <a:gd name="T40" fmla="+- 0 2426 2411"/>
                <a:gd name="T41" fmla="*/ T40 w 79"/>
                <a:gd name="T42" fmla="+- 0 542 520"/>
                <a:gd name="T43" fmla="*/ 542 h 111"/>
                <a:gd name="T44" fmla="+- 0 2420 2411"/>
                <a:gd name="T45" fmla="*/ T44 w 79"/>
                <a:gd name="T46" fmla="+- 0 565 520"/>
                <a:gd name="T47" fmla="*/ 565 h 111"/>
                <a:gd name="T48" fmla="+- 0 2429 2411"/>
                <a:gd name="T49" fmla="*/ T48 w 79"/>
                <a:gd name="T50" fmla="+- 0 584 520"/>
                <a:gd name="T51" fmla="*/ 584 h 111"/>
                <a:gd name="T52" fmla="+- 0 2449 2411"/>
                <a:gd name="T53" fmla="*/ T52 w 79"/>
                <a:gd name="T54" fmla="+- 0 592 520"/>
                <a:gd name="T55" fmla="*/ 592 h 111"/>
                <a:gd name="T56" fmla="+- 0 2474 2411"/>
                <a:gd name="T57" fmla="*/ T56 w 79"/>
                <a:gd name="T58" fmla="+- 0 592 520"/>
                <a:gd name="T59" fmla="*/ 592 h 111"/>
                <a:gd name="T60" fmla="+- 0 2461 2411"/>
                <a:gd name="T61" fmla="*/ T60 w 79"/>
                <a:gd name="T62" fmla="+- 0 599 520"/>
                <a:gd name="T63" fmla="*/ 599 h 111"/>
                <a:gd name="T64" fmla="+- 0 2436 2411"/>
                <a:gd name="T65" fmla="*/ T64 w 79"/>
                <a:gd name="T66" fmla="+- 0 600 520"/>
                <a:gd name="T67" fmla="*/ 600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9" h="111">
                  <a:moveTo>
                    <a:pt x="25" y="80"/>
                  </a:moveTo>
                  <a:lnTo>
                    <a:pt x="12" y="70"/>
                  </a:lnTo>
                  <a:lnTo>
                    <a:pt x="3" y="51"/>
                  </a:lnTo>
                  <a:lnTo>
                    <a:pt x="3" y="21"/>
                  </a:lnTo>
                  <a:lnTo>
                    <a:pt x="18" y="6"/>
                  </a:lnTo>
                  <a:lnTo>
                    <a:pt x="38" y="0"/>
                  </a:lnTo>
                  <a:lnTo>
                    <a:pt x="44" y="0"/>
                  </a:lnTo>
                  <a:lnTo>
                    <a:pt x="58" y="2"/>
                  </a:lnTo>
                  <a:lnTo>
                    <a:pt x="64" y="11"/>
                  </a:lnTo>
                  <a:lnTo>
                    <a:pt x="32" y="11"/>
                  </a:lnTo>
                  <a:lnTo>
                    <a:pt x="15" y="22"/>
                  </a:lnTo>
                  <a:lnTo>
                    <a:pt x="9" y="45"/>
                  </a:lnTo>
                  <a:lnTo>
                    <a:pt x="18" y="64"/>
                  </a:lnTo>
                  <a:lnTo>
                    <a:pt x="38" y="72"/>
                  </a:lnTo>
                  <a:lnTo>
                    <a:pt x="63" y="72"/>
                  </a:lnTo>
                  <a:lnTo>
                    <a:pt x="50" y="79"/>
                  </a:lnTo>
                  <a:lnTo>
                    <a:pt x="25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4" name="Freeform 4850">
              <a:extLst>
                <a:ext uri="{FF2B5EF4-FFF2-40B4-BE49-F238E27FC236}">
                  <a16:creationId xmlns:a16="http://schemas.microsoft.com/office/drawing/2014/main" id="{6E3FC99B-557E-1990-2121-2C76490950AA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89 2411"/>
                <a:gd name="T1" fmla="*/ T0 w 79"/>
                <a:gd name="T2" fmla="+- 0 535 520"/>
                <a:gd name="T3" fmla="*/ 535 h 111"/>
                <a:gd name="T4" fmla="+- 0 2478 2411"/>
                <a:gd name="T5" fmla="*/ T4 w 79"/>
                <a:gd name="T6" fmla="+- 0 535 520"/>
                <a:gd name="T7" fmla="*/ 535 h 111"/>
                <a:gd name="T8" fmla="+- 0 2478 2411"/>
                <a:gd name="T9" fmla="*/ T8 w 79"/>
                <a:gd name="T10" fmla="+- 0 522 520"/>
                <a:gd name="T11" fmla="*/ 522 h 111"/>
                <a:gd name="T12" fmla="+- 0 2489 2411"/>
                <a:gd name="T13" fmla="*/ T12 w 79"/>
                <a:gd name="T14" fmla="+- 0 522 520"/>
                <a:gd name="T15" fmla="*/ 522 h 111"/>
                <a:gd name="T16" fmla="+- 0 2489 2411"/>
                <a:gd name="T17" fmla="*/ T16 w 79"/>
                <a:gd name="T18" fmla="+- 0 535 520"/>
                <a:gd name="T19" fmla="*/ 535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9" h="111">
                  <a:moveTo>
                    <a:pt x="78" y="15"/>
                  </a:moveTo>
                  <a:lnTo>
                    <a:pt x="67" y="15"/>
                  </a:lnTo>
                  <a:lnTo>
                    <a:pt x="67" y="2"/>
                  </a:lnTo>
                  <a:lnTo>
                    <a:pt x="78" y="2"/>
                  </a:lnTo>
                  <a:lnTo>
                    <a:pt x="78" y="1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5" name="Freeform 4849">
              <a:extLst>
                <a:ext uri="{FF2B5EF4-FFF2-40B4-BE49-F238E27FC236}">
                  <a16:creationId xmlns:a16="http://schemas.microsoft.com/office/drawing/2014/main" id="{F54BECB1-38DB-550E-F717-21D17C5551FC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74 2411"/>
                <a:gd name="T1" fmla="*/ T0 w 79"/>
                <a:gd name="T2" fmla="+- 0 592 520"/>
                <a:gd name="T3" fmla="*/ 592 h 111"/>
                <a:gd name="T4" fmla="+- 0 2449 2411"/>
                <a:gd name="T5" fmla="*/ T4 w 79"/>
                <a:gd name="T6" fmla="+- 0 592 520"/>
                <a:gd name="T7" fmla="*/ 592 h 111"/>
                <a:gd name="T8" fmla="+- 0 2460 2411"/>
                <a:gd name="T9" fmla="*/ T8 w 79"/>
                <a:gd name="T10" fmla="+- 0 590 520"/>
                <a:gd name="T11" fmla="*/ 590 h 111"/>
                <a:gd name="T12" fmla="+- 0 2474 2411"/>
                <a:gd name="T13" fmla="*/ T12 w 79"/>
                <a:gd name="T14" fmla="+- 0 576 520"/>
                <a:gd name="T15" fmla="*/ 576 h 111"/>
                <a:gd name="T16" fmla="+- 0 2478 2411"/>
                <a:gd name="T17" fmla="*/ T16 w 79"/>
                <a:gd name="T18" fmla="+- 0 553 520"/>
                <a:gd name="T19" fmla="*/ 553 h 111"/>
                <a:gd name="T20" fmla="+- 0 2466 2411"/>
                <a:gd name="T21" fmla="*/ T20 w 79"/>
                <a:gd name="T22" fmla="+- 0 537 520"/>
                <a:gd name="T23" fmla="*/ 537 h 111"/>
                <a:gd name="T24" fmla="+- 0 2443 2411"/>
                <a:gd name="T25" fmla="*/ T24 w 79"/>
                <a:gd name="T26" fmla="+- 0 531 520"/>
                <a:gd name="T27" fmla="*/ 531 h 111"/>
                <a:gd name="T28" fmla="+- 0 2475 2411"/>
                <a:gd name="T29" fmla="*/ T28 w 79"/>
                <a:gd name="T30" fmla="+- 0 531 520"/>
                <a:gd name="T31" fmla="*/ 531 h 111"/>
                <a:gd name="T32" fmla="+- 0 2478 2411"/>
                <a:gd name="T33" fmla="*/ T32 w 79"/>
                <a:gd name="T34" fmla="+- 0 535 520"/>
                <a:gd name="T35" fmla="*/ 535 h 111"/>
                <a:gd name="T36" fmla="+- 0 2489 2411"/>
                <a:gd name="T37" fmla="*/ T36 w 79"/>
                <a:gd name="T38" fmla="+- 0 535 520"/>
                <a:gd name="T39" fmla="*/ 535 h 111"/>
                <a:gd name="T40" fmla="+- 0 2489 2411"/>
                <a:gd name="T41" fmla="*/ T40 w 79"/>
                <a:gd name="T42" fmla="+- 0 591 520"/>
                <a:gd name="T43" fmla="*/ 591 h 111"/>
                <a:gd name="T44" fmla="+- 0 2476 2411"/>
                <a:gd name="T45" fmla="*/ T44 w 79"/>
                <a:gd name="T46" fmla="+- 0 591 520"/>
                <a:gd name="T47" fmla="*/ 591 h 111"/>
                <a:gd name="T48" fmla="+- 0 2474 2411"/>
                <a:gd name="T49" fmla="*/ T48 w 79"/>
                <a:gd name="T50" fmla="+- 0 592 520"/>
                <a:gd name="T51" fmla="*/ 592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79" h="111">
                  <a:moveTo>
                    <a:pt x="63" y="72"/>
                  </a:moveTo>
                  <a:lnTo>
                    <a:pt x="38" y="72"/>
                  </a:lnTo>
                  <a:lnTo>
                    <a:pt x="49" y="70"/>
                  </a:lnTo>
                  <a:lnTo>
                    <a:pt x="63" y="56"/>
                  </a:lnTo>
                  <a:lnTo>
                    <a:pt x="67" y="33"/>
                  </a:lnTo>
                  <a:lnTo>
                    <a:pt x="55" y="17"/>
                  </a:lnTo>
                  <a:lnTo>
                    <a:pt x="32" y="11"/>
                  </a:lnTo>
                  <a:lnTo>
                    <a:pt x="64" y="11"/>
                  </a:lnTo>
                  <a:lnTo>
                    <a:pt x="67" y="15"/>
                  </a:lnTo>
                  <a:lnTo>
                    <a:pt x="78" y="15"/>
                  </a:lnTo>
                  <a:lnTo>
                    <a:pt x="78" y="71"/>
                  </a:lnTo>
                  <a:lnTo>
                    <a:pt x="65" y="71"/>
                  </a:lnTo>
                  <a:lnTo>
                    <a:pt x="63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6" name="Freeform 4848">
              <a:extLst>
                <a:ext uri="{FF2B5EF4-FFF2-40B4-BE49-F238E27FC236}">
                  <a16:creationId xmlns:a16="http://schemas.microsoft.com/office/drawing/2014/main" id="{C4571E30-F973-9D9E-9670-598ED792BD63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79 2411"/>
                <a:gd name="T1" fmla="*/ T0 w 79"/>
                <a:gd name="T2" fmla="+- 0 621 520"/>
                <a:gd name="T3" fmla="*/ 621 h 111"/>
                <a:gd name="T4" fmla="+- 0 2464 2411"/>
                <a:gd name="T5" fmla="*/ T4 w 79"/>
                <a:gd name="T6" fmla="+- 0 621 520"/>
                <a:gd name="T7" fmla="*/ 621 h 111"/>
                <a:gd name="T8" fmla="+- 0 2478 2411"/>
                <a:gd name="T9" fmla="*/ T8 w 79"/>
                <a:gd name="T10" fmla="+- 0 613 520"/>
                <a:gd name="T11" fmla="*/ 613 h 111"/>
                <a:gd name="T12" fmla="+- 0 2478 2411"/>
                <a:gd name="T13" fmla="*/ T12 w 79"/>
                <a:gd name="T14" fmla="+- 0 592 520"/>
                <a:gd name="T15" fmla="*/ 592 h 111"/>
                <a:gd name="T16" fmla="+- 0 2476 2411"/>
                <a:gd name="T17" fmla="*/ T16 w 79"/>
                <a:gd name="T18" fmla="+- 0 591 520"/>
                <a:gd name="T19" fmla="*/ 591 h 111"/>
                <a:gd name="T20" fmla="+- 0 2489 2411"/>
                <a:gd name="T21" fmla="*/ T20 w 79"/>
                <a:gd name="T22" fmla="+- 0 591 520"/>
                <a:gd name="T23" fmla="*/ 591 h 111"/>
                <a:gd name="T24" fmla="+- 0 2489 2411"/>
                <a:gd name="T25" fmla="*/ T24 w 79"/>
                <a:gd name="T26" fmla="+- 0 607 520"/>
                <a:gd name="T27" fmla="*/ 607 h 111"/>
                <a:gd name="T28" fmla="+- 0 2482 2411"/>
                <a:gd name="T29" fmla="*/ T28 w 79"/>
                <a:gd name="T30" fmla="+- 0 616 520"/>
                <a:gd name="T31" fmla="*/ 616 h 111"/>
                <a:gd name="T32" fmla="+- 0 2479 2411"/>
                <a:gd name="T33" fmla="*/ T32 w 79"/>
                <a:gd name="T34" fmla="+- 0 621 520"/>
                <a:gd name="T35" fmla="*/ 621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79" h="111">
                  <a:moveTo>
                    <a:pt x="68" y="101"/>
                  </a:moveTo>
                  <a:lnTo>
                    <a:pt x="53" y="101"/>
                  </a:lnTo>
                  <a:lnTo>
                    <a:pt x="67" y="93"/>
                  </a:lnTo>
                  <a:lnTo>
                    <a:pt x="67" y="72"/>
                  </a:lnTo>
                  <a:lnTo>
                    <a:pt x="65" y="71"/>
                  </a:lnTo>
                  <a:lnTo>
                    <a:pt x="78" y="71"/>
                  </a:lnTo>
                  <a:lnTo>
                    <a:pt x="78" y="87"/>
                  </a:lnTo>
                  <a:lnTo>
                    <a:pt x="71" y="96"/>
                  </a:lnTo>
                  <a:lnTo>
                    <a:pt x="68" y="10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7" name="Freeform 4847">
              <a:extLst>
                <a:ext uri="{FF2B5EF4-FFF2-40B4-BE49-F238E27FC236}">
                  <a16:creationId xmlns:a16="http://schemas.microsoft.com/office/drawing/2014/main" id="{5DCE7D22-BE6D-799B-48DC-61D37A6B99E5}"/>
                </a:ext>
              </a:extLst>
            </xdr:cNvPr>
            <xdr:cNvSpPr>
              <a:spLocks/>
            </xdr:cNvSpPr>
          </xdr:nvSpPr>
          <xdr:spPr bwMode="auto">
            <a:xfrm>
              <a:off x="2411" y="520"/>
              <a:ext cx="79" cy="111"/>
            </a:xfrm>
            <a:custGeom>
              <a:avLst/>
              <a:gdLst>
                <a:gd name="T0" fmla="+- 0 2453 2411"/>
                <a:gd name="T1" fmla="*/ T0 w 79"/>
                <a:gd name="T2" fmla="+- 0 631 520"/>
                <a:gd name="T3" fmla="*/ 631 h 111"/>
                <a:gd name="T4" fmla="+- 0 2446 2411"/>
                <a:gd name="T5" fmla="*/ T4 w 79"/>
                <a:gd name="T6" fmla="+- 0 630 520"/>
                <a:gd name="T7" fmla="*/ 630 h 111"/>
                <a:gd name="T8" fmla="+- 0 2427 2411"/>
                <a:gd name="T9" fmla="*/ T8 w 79"/>
                <a:gd name="T10" fmla="+- 0 624 520"/>
                <a:gd name="T11" fmla="*/ 624 h 111"/>
                <a:gd name="T12" fmla="+- 0 2411 2411"/>
                <a:gd name="T13" fmla="*/ T12 w 79"/>
                <a:gd name="T14" fmla="+- 0 602 520"/>
                <a:gd name="T15" fmla="*/ 602 h 111"/>
                <a:gd name="T16" fmla="+- 0 2411 2411"/>
                <a:gd name="T17" fmla="*/ T16 w 79"/>
                <a:gd name="T18" fmla="+- 0 601 520"/>
                <a:gd name="T19" fmla="*/ 601 h 111"/>
                <a:gd name="T20" fmla="+- 0 2423 2411"/>
                <a:gd name="T21" fmla="*/ T20 w 79"/>
                <a:gd name="T22" fmla="+- 0 601 520"/>
                <a:gd name="T23" fmla="*/ 601 h 111"/>
                <a:gd name="T24" fmla="+- 0 2423 2411"/>
                <a:gd name="T25" fmla="*/ T24 w 79"/>
                <a:gd name="T26" fmla="+- 0 602 520"/>
                <a:gd name="T27" fmla="*/ 602 h 111"/>
                <a:gd name="T28" fmla="+- 0 2425 2411"/>
                <a:gd name="T29" fmla="*/ T28 w 79"/>
                <a:gd name="T30" fmla="+- 0 607 520"/>
                <a:gd name="T31" fmla="*/ 607 h 111"/>
                <a:gd name="T32" fmla="+- 0 2433 2411"/>
                <a:gd name="T33" fmla="*/ T32 w 79"/>
                <a:gd name="T34" fmla="+- 0 621 520"/>
                <a:gd name="T35" fmla="*/ 621 h 111"/>
                <a:gd name="T36" fmla="+- 0 2479 2411"/>
                <a:gd name="T37" fmla="*/ T36 w 79"/>
                <a:gd name="T38" fmla="+- 0 621 520"/>
                <a:gd name="T39" fmla="*/ 621 h 111"/>
                <a:gd name="T40" fmla="+- 0 2472 2411"/>
                <a:gd name="T41" fmla="*/ T40 w 79"/>
                <a:gd name="T42" fmla="+- 0 630 520"/>
                <a:gd name="T43" fmla="*/ 630 h 111"/>
                <a:gd name="T44" fmla="+- 0 2453 2411"/>
                <a:gd name="T45" fmla="*/ T44 w 79"/>
                <a:gd name="T46" fmla="+- 0 631 520"/>
                <a:gd name="T47" fmla="*/ 631 h 11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</a:cxnLst>
              <a:rect l="0" t="0" r="r" b="b"/>
              <a:pathLst>
                <a:path w="79" h="111">
                  <a:moveTo>
                    <a:pt x="42" y="111"/>
                  </a:moveTo>
                  <a:lnTo>
                    <a:pt x="35" y="110"/>
                  </a:lnTo>
                  <a:lnTo>
                    <a:pt x="16" y="104"/>
                  </a:lnTo>
                  <a:lnTo>
                    <a:pt x="0" y="82"/>
                  </a:lnTo>
                  <a:lnTo>
                    <a:pt x="0" y="81"/>
                  </a:lnTo>
                  <a:lnTo>
                    <a:pt x="12" y="81"/>
                  </a:lnTo>
                  <a:lnTo>
                    <a:pt x="12" y="82"/>
                  </a:lnTo>
                  <a:lnTo>
                    <a:pt x="14" y="87"/>
                  </a:lnTo>
                  <a:lnTo>
                    <a:pt x="22" y="101"/>
                  </a:lnTo>
                  <a:lnTo>
                    <a:pt x="68" y="101"/>
                  </a:lnTo>
                  <a:lnTo>
                    <a:pt x="61" y="110"/>
                  </a:lnTo>
                  <a:lnTo>
                    <a:pt x="42" y="11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31D3DDC9-715D-8CF5-F002-9A97B1CB729C}"/>
              </a:ext>
            </a:extLst>
          </xdr:cNvPr>
          <xdr:cNvGrpSpPr>
            <a:grpSpLocks/>
          </xdr:cNvGrpSpPr>
        </xdr:nvGrpSpPr>
        <xdr:grpSpPr bwMode="auto">
          <a:xfrm>
            <a:off x="2506" y="520"/>
            <a:ext cx="115" cy="81"/>
            <a:chOff x="2506" y="520"/>
            <a:chExt cx="115" cy="81"/>
          </a:xfrm>
        </xdr:grpSpPr>
        <xdr:sp macro="" textlink="">
          <xdr:nvSpPr>
            <xdr:cNvPr id="38" name="Freeform 4845">
              <a:extLst>
                <a:ext uri="{FF2B5EF4-FFF2-40B4-BE49-F238E27FC236}">
                  <a16:creationId xmlns:a16="http://schemas.microsoft.com/office/drawing/2014/main" id="{2C7BFC8A-DE02-ADDE-4803-3373B3A20914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61 2506"/>
                <a:gd name="T1" fmla="*/ T0 w 115"/>
                <a:gd name="T2" fmla="+- 0 530 520"/>
                <a:gd name="T3" fmla="*/ 530 h 81"/>
                <a:gd name="T4" fmla="+- 0 2517 2506"/>
                <a:gd name="T5" fmla="*/ T4 w 115"/>
                <a:gd name="T6" fmla="+- 0 530 520"/>
                <a:gd name="T7" fmla="*/ 530 h 81"/>
                <a:gd name="T8" fmla="+- 0 2522 2506"/>
                <a:gd name="T9" fmla="*/ T8 w 115"/>
                <a:gd name="T10" fmla="+- 0 523 520"/>
                <a:gd name="T11" fmla="*/ 523 h 81"/>
                <a:gd name="T12" fmla="+- 0 2530 2506"/>
                <a:gd name="T13" fmla="*/ T12 w 115"/>
                <a:gd name="T14" fmla="+- 0 520 520"/>
                <a:gd name="T15" fmla="*/ 520 h 81"/>
                <a:gd name="T16" fmla="+- 0 2544 2506"/>
                <a:gd name="T17" fmla="*/ T16 w 115"/>
                <a:gd name="T18" fmla="+- 0 520 520"/>
                <a:gd name="T19" fmla="*/ 520 h 81"/>
                <a:gd name="T20" fmla="+- 0 2557 2506"/>
                <a:gd name="T21" fmla="*/ T20 w 115"/>
                <a:gd name="T22" fmla="+- 0 523 520"/>
                <a:gd name="T23" fmla="*/ 523 h 81"/>
                <a:gd name="T24" fmla="+- 0 2561 2506"/>
                <a:gd name="T25" fmla="*/ T24 w 115"/>
                <a:gd name="T26" fmla="+- 0 530 520"/>
                <a:gd name="T27" fmla="*/ 53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</a:cxnLst>
              <a:rect l="0" t="0" r="r" b="b"/>
              <a:pathLst>
                <a:path w="115" h="81">
                  <a:moveTo>
                    <a:pt x="55" y="10"/>
                  </a:moveTo>
                  <a:lnTo>
                    <a:pt x="11" y="10"/>
                  </a:lnTo>
                  <a:lnTo>
                    <a:pt x="16" y="3"/>
                  </a:lnTo>
                  <a:lnTo>
                    <a:pt x="24" y="0"/>
                  </a:lnTo>
                  <a:lnTo>
                    <a:pt x="38" y="0"/>
                  </a:lnTo>
                  <a:lnTo>
                    <a:pt x="51" y="3"/>
                  </a:lnTo>
                  <a:lnTo>
                    <a:pt x="55" y="1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9" name="Freeform 4844">
              <a:extLst>
                <a:ext uri="{FF2B5EF4-FFF2-40B4-BE49-F238E27FC236}">
                  <a16:creationId xmlns:a16="http://schemas.microsoft.com/office/drawing/2014/main" id="{5B0F8FE2-A9CD-6644-D0C9-8AD0C439B044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75 2506"/>
                <a:gd name="T1" fmla="*/ T0 w 115"/>
                <a:gd name="T2" fmla="+- 0 534 520"/>
                <a:gd name="T3" fmla="*/ 534 h 81"/>
                <a:gd name="T4" fmla="+- 0 2563 2506"/>
                <a:gd name="T5" fmla="*/ T4 w 115"/>
                <a:gd name="T6" fmla="+- 0 534 520"/>
                <a:gd name="T7" fmla="*/ 534 h 81"/>
                <a:gd name="T8" fmla="+- 0 2569 2506"/>
                <a:gd name="T9" fmla="*/ T8 w 115"/>
                <a:gd name="T10" fmla="+- 0 523 520"/>
                <a:gd name="T11" fmla="*/ 523 h 81"/>
                <a:gd name="T12" fmla="+- 0 2582 2506"/>
                <a:gd name="T13" fmla="*/ T12 w 115"/>
                <a:gd name="T14" fmla="+- 0 520 520"/>
                <a:gd name="T15" fmla="*/ 520 h 81"/>
                <a:gd name="T16" fmla="+- 0 2589 2506"/>
                <a:gd name="T17" fmla="*/ T16 w 115"/>
                <a:gd name="T18" fmla="+- 0 520 520"/>
                <a:gd name="T19" fmla="*/ 520 h 81"/>
                <a:gd name="T20" fmla="+- 0 2594 2506"/>
                <a:gd name="T21" fmla="*/ T20 w 115"/>
                <a:gd name="T22" fmla="+- 0 521 520"/>
                <a:gd name="T23" fmla="*/ 521 h 81"/>
                <a:gd name="T24" fmla="+- 0 2612 2506"/>
                <a:gd name="T25" fmla="*/ T24 w 115"/>
                <a:gd name="T26" fmla="+- 0 529 520"/>
                <a:gd name="T27" fmla="*/ 529 h 81"/>
                <a:gd name="T28" fmla="+- 0 2612 2506"/>
                <a:gd name="T29" fmla="*/ T28 w 115"/>
                <a:gd name="T30" fmla="+- 0 530 520"/>
                <a:gd name="T31" fmla="*/ 530 h 81"/>
                <a:gd name="T32" fmla="+- 0 2582 2506"/>
                <a:gd name="T33" fmla="*/ T32 w 115"/>
                <a:gd name="T34" fmla="+- 0 530 520"/>
                <a:gd name="T35" fmla="*/ 530 h 81"/>
                <a:gd name="T36" fmla="+- 0 2576 2506"/>
                <a:gd name="T37" fmla="*/ T36 w 115"/>
                <a:gd name="T38" fmla="+- 0 534 520"/>
                <a:gd name="T39" fmla="*/ 534 h 81"/>
                <a:gd name="T40" fmla="+- 0 2575 2506"/>
                <a:gd name="T41" fmla="*/ T40 w 115"/>
                <a:gd name="T42" fmla="+- 0 534 520"/>
                <a:gd name="T43" fmla="*/ 534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115" h="81">
                  <a:moveTo>
                    <a:pt x="69" y="14"/>
                  </a:moveTo>
                  <a:lnTo>
                    <a:pt x="57" y="14"/>
                  </a:lnTo>
                  <a:lnTo>
                    <a:pt x="63" y="3"/>
                  </a:lnTo>
                  <a:lnTo>
                    <a:pt x="76" y="0"/>
                  </a:lnTo>
                  <a:lnTo>
                    <a:pt x="83" y="0"/>
                  </a:lnTo>
                  <a:lnTo>
                    <a:pt x="88" y="1"/>
                  </a:lnTo>
                  <a:lnTo>
                    <a:pt x="106" y="9"/>
                  </a:lnTo>
                  <a:lnTo>
                    <a:pt x="106" y="10"/>
                  </a:lnTo>
                  <a:lnTo>
                    <a:pt x="76" y="10"/>
                  </a:lnTo>
                  <a:lnTo>
                    <a:pt x="70" y="14"/>
                  </a:lnTo>
                  <a:lnTo>
                    <a:pt x="69" y="14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0" name="Freeform 4843">
              <a:extLst>
                <a:ext uri="{FF2B5EF4-FFF2-40B4-BE49-F238E27FC236}">
                  <a16:creationId xmlns:a16="http://schemas.microsoft.com/office/drawing/2014/main" id="{512B4CFA-E626-EC2D-E33A-17CB25D182CC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17 2506"/>
                <a:gd name="T1" fmla="*/ T0 w 115"/>
                <a:gd name="T2" fmla="+- 0 601 520"/>
                <a:gd name="T3" fmla="*/ 601 h 81"/>
                <a:gd name="T4" fmla="+- 0 2506 2506"/>
                <a:gd name="T5" fmla="*/ T4 w 115"/>
                <a:gd name="T6" fmla="+- 0 601 520"/>
                <a:gd name="T7" fmla="*/ 601 h 81"/>
                <a:gd name="T8" fmla="+- 0 2506 2506"/>
                <a:gd name="T9" fmla="*/ T8 w 115"/>
                <a:gd name="T10" fmla="+- 0 522 520"/>
                <a:gd name="T11" fmla="*/ 522 h 81"/>
                <a:gd name="T12" fmla="+- 0 2517 2506"/>
                <a:gd name="T13" fmla="*/ T12 w 115"/>
                <a:gd name="T14" fmla="+- 0 522 520"/>
                <a:gd name="T15" fmla="*/ 522 h 81"/>
                <a:gd name="T16" fmla="+- 0 2517 2506"/>
                <a:gd name="T17" fmla="*/ T16 w 115"/>
                <a:gd name="T18" fmla="+- 0 530 520"/>
                <a:gd name="T19" fmla="*/ 530 h 81"/>
                <a:gd name="T20" fmla="+- 0 2561 2506"/>
                <a:gd name="T21" fmla="*/ T20 w 115"/>
                <a:gd name="T22" fmla="+- 0 530 520"/>
                <a:gd name="T23" fmla="*/ 530 h 81"/>
                <a:gd name="T24" fmla="+- 0 2561 2506"/>
                <a:gd name="T25" fmla="*/ T24 w 115"/>
                <a:gd name="T26" fmla="+- 0 530 520"/>
                <a:gd name="T27" fmla="*/ 530 h 81"/>
                <a:gd name="T28" fmla="+- 0 2530 2506"/>
                <a:gd name="T29" fmla="*/ T28 w 115"/>
                <a:gd name="T30" fmla="+- 0 530 520"/>
                <a:gd name="T31" fmla="*/ 530 h 81"/>
                <a:gd name="T32" fmla="+- 0 2524 2506"/>
                <a:gd name="T33" fmla="*/ T32 w 115"/>
                <a:gd name="T34" fmla="+- 0 534 520"/>
                <a:gd name="T35" fmla="*/ 534 h 81"/>
                <a:gd name="T36" fmla="+- 0 2520 2506"/>
                <a:gd name="T37" fmla="*/ T36 w 115"/>
                <a:gd name="T38" fmla="+- 0 540 520"/>
                <a:gd name="T39" fmla="*/ 540 h 81"/>
                <a:gd name="T40" fmla="+- 0 2518 2506"/>
                <a:gd name="T41" fmla="*/ T40 w 115"/>
                <a:gd name="T42" fmla="+- 0 543 520"/>
                <a:gd name="T43" fmla="*/ 543 h 81"/>
                <a:gd name="T44" fmla="+- 0 2517 2506"/>
                <a:gd name="T45" fmla="*/ T44 w 115"/>
                <a:gd name="T46" fmla="+- 0 547 520"/>
                <a:gd name="T47" fmla="*/ 547 h 81"/>
                <a:gd name="T48" fmla="+- 0 2517 2506"/>
                <a:gd name="T49" fmla="*/ T48 w 115"/>
                <a:gd name="T50" fmla="+- 0 601 520"/>
                <a:gd name="T51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115" h="81">
                  <a:moveTo>
                    <a:pt x="11" y="81"/>
                  </a:moveTo>
                  <a:lnTo>
                    <a:pt x="0" y="81"/>
                  </a:lnTo>
                  <a:lnTo>
                    <a:pt x="0" y="2"/>
                  </a:lnTo>
                  <a:lnTo>
                    <a:pt x="11" y="2"/>
                  </a:lnTo>
                  <a:lnTo>
                    <a:pt x="11" y="10"/>
                  </a:lnTo>
                  <a:lnTo>
                    <a:pt x="55" y="10"/>
                  </a:lnTo>
                  <a:lnTo>
                    <a:pt x="24" y="10"/>
                  </a:lnTo>
                  <a:lnTo>
                    <a:pt x="18" y="14"/>
                  </a:lnTo>
                  <a:lnTo>
                    <a:pt x="14" y="20"/>
                  </a:lnTo>
                  <a:lnTo>
                    <a:pt x="12" y="23"/>
                  </a:lnTo>
                  <a:lnTo>
                    <a:pt x="11" y="27"/>
                  </a:lnTo>
                  <a:lnTo>
                    <a:pt x="11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1" name="Freeform 4842">
              <a:extLst>
                <a:ext uri="{FF2B5EF4-FFF2-40B4-BE49-F238E27FC236}">
                  <a16:creationId xmlns:a16="http://schemas.microsoft.com/office/drawing/2014/main" id="{1CAAB7BC-A35B-DF05-8671-7407A22D5957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569 2506"/>
                <a:gd name="T1" fmla="*/ T0 w 115"/>
                <a:gd name="T2" fmla="+- 0 601 520"/>
                <a:gd name="T3" fmla="*/ 601 h 81"/>
                <a:gd name="T4" fmla="+- 0 2558 2506"/>
                <a:gd name="T5" fmla="*/ T4 w 115"/>
                <a:gd name="T6" fmla="+- 0 601 520"/>
                <a:gd name="T7" fmla="*/ 601 h 81"/>
                <a:gd name="T8" fmla="+- 0 2558 2506"/>
                <a:gd name="T9" fmla="*/ T8 w 115"/>
                <a:gd name="T10" fmla="+- 0 547 520"/>
                <a:gd name="T11" fmla="*/ 547 h 81"/>
                <a:gd name="T12" fmla="+- 0 2556 2506"/>
                <a:gd name="T13" fmla="*/ T12 w 115"/>
                <a:gd name="T14" fmla="+- 0 543 520"/>
                <a:gd name="T15" fmla="*/ 543 h 81"/>
                <a:gd name="T16" fmla="+- 0 2554 2506"/>
                <a:gd name="T17" fmla="*/ T16 w 115"/>
                <a:gd name="T18" fmla="+- 0 540 520"/>
                <a:gd name="T19" fmla="*/ 540 h 81"/>
                <a:gd name="T20" fmla="+- 0 2551 2506"/>
                <a:gd name="T21" fmla="*/ T20 w 115"/>
                <a:gd name="T22" fmla="+- 0 534 520"/>
                <a:gd name="T23" fmla="*/ 534 h 81"/>
                <a:gd name="T24" fmla="+- 0 2545 2506"/>
                <a:gd name="T25" fmla="*/ T24 w 115"/>
                <a:gd name="T26" fmla="+- 0 530 520"/>
                <a:gd name="T27" fmla="*/ 530 h 81"/>
                <a:gd name="T28" fmla="+- 0 2561 2506"/>
                <a:gd name="T29" fmla="*/ T28 w 115"/>
                <a:gd name="T30" fmla="+- 0 530 520"/>
                <a:gd name="T31" fmla="*/ 530 h 81"/>
                <a:gd name="T32" fmla="+- 0 2563 2506"/>
                <a:gd name="T33" fmla="*/ T32 w 115"/>
                <a:gd name="T34" fmla="+- 0 534 520"/>
                <a:gd name="T35" fmla="*/ 534 h 81"/>
                <a:gd name="T36" fmla="+- 0 2575 2506"/>
                <a:gd name="T37" fmla="*/ T36 w 115"/>
                <a:gd name="T38" fmla="+- 0 534 520"/>
                <a:gd name="T39" fmla="*/ 534 h 81"/>
                <a:gd name="T40" fmla="+- 0 2572 2506"/>
                <a:gd name="T41" fmla="*/ T40 w 115"/>
                <a:gd name="T42" fmla="+- 0 540 520"/>
                <a:gd name="T43" fmla="*/ 540 h 81"/>
                <a:gd name="T44" fmla="+- 0 2570 2506"/>
                <a:gd name="T45" fmla="*/ T44 w 115"/>
                <a:gd name="T46" fmla="+- 0 543 520"/>
                <a:gd name="T47" fmla="*/ 543 h 81"/>
                <a:gd name="T48" fmla="+- 0 2569 2506"/>
                <a:gd name="T49" fmla="*/ T48 w 115"/>
                <a:gd name="T50" fmla="+- 0 547 520"/>
                <a:gd name="T51" fmla="*/ 547 h 81"/>
                <a:gd name="T52" fmla="+- 0 2569 2506"/>
                <a:gd name="T53" fmla="*/ T52 w 115"/>
                <a:gd name="T54" fmla="+- 0 601 520"/>
                <a:gd name="T55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</a:cxnLst>
              <a:rect l="0" t="0" r="r" b="b"/>
              <a:pathLst>
                <a:path w="115" h="81">
                  <a:moveTo>
                    <a:pt x="63" y="81"/>
                  </a:moveTo>
                  <a:lnTo>
                    <a:pt x="52" y="81"/>
                  </a:lnTo>
                  <a:lnTo>
                    <a:pt x="52" y="27"/>
                  </a:lnTo>
                  <a:lnTo>
                    <a:pt x="50" y="23"/>
                  </a:lnTo>
                  <a:lnTo>
                    <a:pt x="48" y="20"/>
                  </a:lnTo>
                  <a:lnTo>
                    <a:pt x="45" y="14"/>
                  </a:lnTo>
                  <a:lnTo>
                    <a:pt x="39" y="10"/>
                  </a:lnTo>
                  <a:lnTo>
                    <a:pt x="55" y="10"/>
                  </a:lnTo>
                  <a:lnTo>
                    <a:pt x="57" y="14"/>
                  </a:lnTo>
                  <a:lnTo>
                    <a:pt x="69" y="14"/>
                  </a:lnTo>
                  <a:lnTo>
                    <a:pt x="66" y="20"/>
                  </a:lnTo>
                  <a:lnTo>
                    <a:pt x="64" y="23"/>
                  </a:lnTo>
                  <a:lnTo>
                    <a:pt x="63" y="27"/>
                  </a:lnTo>
                  <a:lnTo>
                    <a:pt x="63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2" name="Freeform 4841">
              <a:extLst>
                <a:ext uri="{FF2B5EF4-FFF2-40B4-BE49-F238E27FC236}">
                  <a16:creationId xmlns:a16="http://schemas.microsoft.com/office/drawing/2014/main" id="{DDF5DB4B-F7BC-5E25-9496-088C37D374A1}"/>
                </a:ext>
              </a:extLst>
            </xdr:cNvPr>
            <xdr:cNvSpPr>
              <a:spLocks/>
            </xdr:cNvSpPr>
          </xdr:nvSpPr>
          <xdr:spPr bwMode="auto">
            <a:xfrm>
              <a:off x="2506" y="520"/>
              <a:ext cx="115" cy="81"/>
            </a:xfrm>
            <a:custGeom>
              <a:avLst/>
              <a:gdLst>
                <a:gd name="T0" fmla="+- 0 2620 2506"/>
                <a:gd name="T1" fmla="*/ T0 w 115"/>
                <a:gd name="T2" fmla="+- 0 601 520"/>
                <a:gd name="T3" fmla="*/ 601 h 81"/>
                <a:gd name="T4" fmla="+- 0 2609 2506"/>
                <a:gd name="T5" fmla="*/ T4 w 115"/>
                <a:gd name="T6" fmla="+- 0 601 520"/>
                <a:gd name="T7" fmla="*/ 601 h 81"/>
                <a:gd name="T8" fmla="+- 0 2609 2506"/>
                <a:gd name="T9" fmla="*/ T8 w 115"/>
                <a:gd name="T10" fmla="+- 0 547 520"/>
                <a:gd name="T11" fmla="*/ 547 h 81"/>
                <a:gd name="T12" fmla="+- 0 2608 2506"/>
                <a:gd name="T13" fmla="*/ T12 w 115"/>
                <a:gd name="T14" fmla="+- 0 543 520"/>
                <a:gd name="T15" fmla="*/ 543 h 81"/>
                <a:gd name="T16" fmla="+- 0 2606 2506"/>
                <a:gd name="T17" fmla="*/ T16 w 115"/>
                <a:gd name="T18" fmla="+- 0 540 520"/>
                <a:gd name="T19" fmla="*/ 540 h 81"/>
                <a:gd name="T20" fmla="+- 0 2603 2506"/>
                <a:gd name="T21" fmla="*/ T20 w 115"/>
                <a:gd name="T22" fmla="+- 0 534 520"/>
                <a:gd name="T23" fmla="*/ 534 h 81"/>
                <a:gd name="T24" fmla="+- 0 2596 2506"/>
                <a:gd name="T25" fmla="*/ T24 w 115"/>
                <a:gd name="T26" fmla="+- 0 530 520"/>
                <a:gd name="T27" fmla="*/ 530 h 81"/>
                <a:gd name="T28" fmla="+- 0 2612 2506"/>
                <a:gd name="T29" fmla="*/ T28 w 115"/>
                <a:gd name="T30" fmla="+- 0 530 520"/>
                <a:gd name="T31" fmla="*/ 530 h 81"/>
                <a:gd name="T32" fmla="+- 0 2620 2506"/>
                <a:gd name="T33" fmla="*/ T32 w 115"/>
                <a:gd name="T34" fmla="+- 0 554 520"/>
                <a:gd name="T35" fmla="*/ 554 h 81"/>
                <a:gd name="T36" fmla="+- 0 2620 2506"/>
                <a:gd name="T37" fmla="*/ T36 w 115"/>
                <a:gd name="T38" fmla="+- 0 601 520"/>
                <a:gd name="T39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115" h="81">
                  <a:moveTo>
                    <a:pt x="114" y="81"/>
                  </a:moveTo>
                  <a:lnTo>
                    <a:pt x="103" y="81"/>
                  </a:lnTo>
                  <a:lnTo>
                    <a:pt x="103" y="27"/>
                  </a:lnTo>
                  <a:lnTo>
                    <a:pt x="102" y="23"/>
                  </a:lnTo>
                  <a:lnTo>
                    <a:pt x="100" y="20"/>
                  </a:lnTo>
                  <a:lnTo>
                    <a:pt x="97" y="14"/>
                  </a:lnTo>
                  <a:lnTo>
                    <a:pt x="90" y="10"/>
                  </a:lnTo>
                  <a:lnTo>
                    <a:pt x="106" y="10"/>
                  </a:lnTo>
                  <a:lnTo>
                    <a:pt x="114" y="34"/>
                  </a:lnTo>
                  <a:lnTo>
                    <a:pt x="114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5" name="Group 14">
            <a:extLst>
              <a:ext uri="{FF2B5EF4-FFF2-40B4-BE49-F238E27FC236}">
                <a16:creationId xmlns:a16="http://schemas.microsoft.com/office/drawing/2014/main" id="{7C6A0CCE-4663-44F0-51FD-D8CAF09EF900}"/>
              </a:ext>
            </a:extLst>
          </xdr:cNvPr>
          <xdr:cNvGrpSpPr>
            <a:grpSpLocks/>
          </xdr:cNvGrpSpPr>
        </xdr:nvGrpSpPr>
        <xdr:grpSpPr bwMode="auto">
          <a:xfrm>
            <a:off x="2638" y="520"/>
            <a:ext cx="78" cy="80"/>
            <a:chOff x="2638" y="520"/>
            <a:chExt cx="78" cy="80"/>
          </a:xfrm>
        </xdr:grpSpPr>
        <xdr:sp macro="" textlink="">
          <xdr:nvSpPr>
            <xdr:cNvPr id="35" name="Freeform 4839">
              <a:extLst>
                <a:ext uri="{FF2B5EF4-FFF2-40B4-BE49-F238E27FC236}">
                  <a16:creationId xmlns:a16="http://schemas.microsoft.com/office/drawing/2014/main" id="{B396DF4D-E8A7-8A06-B52B-DF24DF13F983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661 2638"/>
                <a:gd name="T1" fmla="*/ T0 w 78"/>
                <a:gd name="T2" fmla="+- 0 600 520"/>
                <a:gd name="T3" fmla="*/ 600 h 80"/>
                <a:gd name="T4" fmla="+- 0 2647 2638"/>
                <a:gd name="T5" fmla="*/ T4 w 78"/>
                <a:gd name="T6" fmla="+- 0 590 520"/>
                <a:gd name="T7" fmla="*/ 590 h 80"/>
                <a:gd name="T8" fmla="+- 0 2639 2638"/>
                <a:gd name="T9" fmla="*/ T8 w 78"/>
                <a:gd name="T10" fmla="+- 0 571 520"/>
                <a:gd name="T11" fmla="*/ 571 h 80"/>
                <a:gd name="T12" fmla="+- 0 2638 2638"/>
                <a:gd name="T13" fmla="*/ T12 w 78"/>
                <a:gd name="T14" fmla="+- 0 542 520"/>
                <a:gd name="T15" fmla="*/ 542 h 80"/>
                <a:gd name="T16" fmla="+- 0 2653 2638"/>
                <a:gd name="T17" fmla="*/ T16 w 78"/>
                <a:gd name="T18" fmla="+- 0 527 520"/>
                <a:gd name="T19" fmla="*/ 527 h 80"/>
                <a:gd name="T20" fmla="+- 0 2674 2638"/>
                <a:gd name="T21" fmla="*/ T20 w 78"/>
                <a:gd name="T22" fmla="+- 0 520 520"/>
                <a:gd name="T23" fmla="*/ 520 h 80"/>
                <a:gd name="T24" fmla="+- 0 2696 2638"/>
                <a:gd name="T25" fmla="*/ T24 w 78"/>
                <a:gd name="T26" fmla="+- 0 527 520"/>
                <a:gd name="T27" fmla="*/ 527 h 80"/>
                <a:gd name="T28" fmla="+- 0 2699 2638"/>
                <a:gd name="T29" fmla="*/ T28 w 78"/>
                <a:gd name="T30" fmla="+- 0 530 520"/>
                <a:gd name="T31" fmla="*/ 530 h 80"/>
                <a:gd name="T32" fmla="+- 0 2661 2638"/>
                <a:gd name="T33" fmla="*/ T32 w 78"/>
                <a:gd name="T34" fmla="+- 0 530 520"/>
                <a:gd name="T35" fmla="*/ 530 h 80"/>
                <a:gd name="T36" fmla="+- 0 2648 2638"/>
                <a:gd name="T37" fmla="*/ T36 w 78"/>
                <a:gd name="T38" fmla="+- 0 539 520"/>
                <a:gd name="T39" fmla="*/ 539 h 80"/>
                <a:gd name="T40" fmla="+- 0 2645 2638"/>
                <a:gd name="T41" fmla="*/ T40 w 78"/>
                <a:gd name="T42" fmla="+- 0 556 520"/>
                <a:gd name="T43" fmla="*/ 556 h 80"/>
                <a:gd name="T44" fmla="+- 0 2715 2638"/>
                <a:gd name="T45" fmla="*/ T44 w 78"/>
                <a:gd name="T46" fmla="+- 0 556 520"/>
                <a:gd name="T47" fmla="*/ 556 h 80"/>
                <a:gd name="T48" fmla="+- 0 2715 2638"/>
                <a:gd name="T49" fmla="*/ T48 w 78"/>
                <a:gd name="T50" fmla="+- 0 565 520"/>
                <a:gd name="T51" fmla="*/ 565 h 80"/>
                <a:gd name="T52" fmla="+- 0 2714 2638"/>
                <a:gd name="T53" fmla="*/ T52 w 78"/>
                <a:gd name="T54" fmla="+- 0 565 520"/>
                <a:gd name="T55" fmla="*/ 565 h 80"/>
                <a:gd name="T56" fmla="+- 0 2645 2638"/>
                <a:gd name="T57" fmla="*/ T56 w 78"/>
                <a:gd name="T58" fmla="+- 0 565 520"/>
                <a:gd name="T59" fmla="*/ 565 h 80"/>
                <a:gd name="T60" fmla="+- 0 2646 2638"/>
                <a:gd name="T61" fmla="*/ T60 w 78"/>
                <a:gd name="T62" fmla="+- 0 580 520"/>
                <a:gd name="T63" fmla="*/ 580 h 80"/>
                <a:gd name="T64" fmla="+- 0 2659 2638"/>
                <a:gd name="T65" fmla="*/ T64 w 78"/>
                <a:gd name="T66" fmla="+- 0 592 520"/>
                <a:gd name="T67" fmla="*/ 592 h 80"/>
                <a:gd name="T68" fmla="+- 0 2697 2638"/>
                <a:gd name="T69" fmla="*/ T68 w 78"/>
                <a:gd name="T70" fmla="+- 0 592 520"/>
                <a:gd name="T71" fmla="*/ 592 h 80"/>
                <a:gd name="T72" fmla="+- 0 2687 2638"/>
                <a:gd name="T73" fmla="*/ T72 w 78"/>
                <a:gd name="T74" fmla="+- 0 598 520"/>
                <a:gd name="T75" fmla="*/ 598 h 80"/>
                <a:gd name="T76" fmla="+- 0 2661 2638"/>
                <a:gd name="T77" fmla="*/ T76 w 78"/>
                <a:gd name="T78" fmla="+- 0 600 520"/>
                <a:gd name="T7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8" h="80">
                  <a:moveTo>
                    <a:pt x="23" y="80"/>
                  </a:moveTo>
                  <a:lnTo>
                    <a:pt x="9" y="70"/>
                  </a:lnTo>
                  <a:lnTo>
                    <a:pt x="1" y="51"/>
                  </a:lnTo>
                  <a:lnTo>
                    <a:pt x="0" y="22"/>
                  </a:lnTo>
                  <a:lnTo>
                    <a:pt x="15" y="7"/>
                  </a:lnTo>
                  <a:lnTo>
                    <a:pt x="36" y="0"/>
                  </a:lnTo>
                  <a:lnTo>
                    <a:pt x="58" y="7"/>
                  </a:lnTo>
                  <a:lnTo>
                    <a:pt x="61" y="10"/>
                  </a:lnTo>
                  <a:lnTo>
                    <a:pt x="23" y="10"/>
                  </a:lnTo>
                  <a:lnTo>
                    <a:pt x="10" y="19"/>
                  </a:lnTo>
                  <a:lnTo>
                    <a:pt x="7" y="36"/>
                  </a:lnTo>
                  <a:lnTo>
                    <a:pt x="77" y="36"/>
                  </a:lnTo>
                  <a:lnTo>
                    <a:pt x="77" y="45"/>
                  </a:lnTo>
                  <a:lnTo>
                    <a:pt x="76" y="45"/>
                  </a:lnTo>
                  <a:lnTo>
                    <a:pt x="7" y="45"/>
                  </a:lnTo>
                  <a:lnTo>
                    <a:pt x="8" y="60"/>
                  </a:lnTo>
                  <a:lnTo>
                    <a:pt x="21" y="72"/>
                  </a:lnTo>
                  <a:lnTo>
                    <a:pt x="59" y="72"/>
                  </a:lnTo>
                  <a:lnTo>
                    <a:pt x="49" y="78"/>
                  </a:lnTo>
                  <a:lnTo>
                    <a:pt x="23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6" name="Freeform 4838">
              <a:extLst>
                <a:ext uri="{FF2B5EF4-FFF2-40B4-BE49-F238E27FC236}">
                  <a16:creationId xmlns:a16="http://schemas.microsoft.com/office/drawing/2014/main" id="{9F9DDA95-912F-8CB8-2216-C9465E6E8EF4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715 2638"/>
                <a:gd name="T1" fmla="*/ T0 w 78"/>
                <a:gd name="T2" fmla="+- 0 556 520"/>
                <a:gd name="T3" fmla="*/ 556 h 80"/>
                <a:gd name="T4" fmla="+- 0 2703 2638"/>
                <a:gd name="T5" fmla="*/ T4 w 78"/>
                <a:gd name="T6" fmla="+- 0 556 520"/>
                <a:gd name="T7" fmla="*/ 556 h 80"/>
                <a:gd name="T8" fmla="+- 0 2700 2638"/>
                <a:gd name="T9" fmla="*/ T8 w 78"/>
                <a:gd name="T10" fmla="+- 0 538 520"/>
                <a:gd name="T11" fmla="*/ 538 h 80"/>
                <a:gd name="T12" fmla="+- 0 2686 2638"/>
                <a:gd name="T13" fmla="*/ T12 w 78"/>
                <a:gd name="T14" fmla="+- 0 530 520"/>
                <a:gd name="T15" fmla="*/ 530 h 80"/>
                <a:gd name="T16" fmla="+- 0 2699 2638"/>
                <a:gd name="T17" fmla="*/ T16 w 78"/>
                <a:gd name="T18" fmla="+- 0 530 520"/>
                <a:gd name="T19" fmla="*/ 530 h 80"/>
                <a:gd name="T20" fmla="+- 0 2709 2638"/>
                <a:gd name="T21" fmla="*/ T20 w 78"/>
                <a:gd name="T22" fmla="+- 0 540 520"/>
                <a:gd name="T23" fmla="*/ 540 h 80"/>
                <a:gd name="T24" fmla="+- 0 2713 2638"/>
                <a:gd name="T25" fmla="*/ T24 w 78"/>
                <a:gd name="T26" fmla="+- 0 547 520"/>
                <a:gd name="T27" fmla="*/ 547 h 80"/>
                <a:gd name="T28" fmla="+- 0 2715 2638"/>
                <a:gd name="T29" fmla="*/ T28 w 78"/>
                <a:gd name="T30" fmla="+- 0 556 520"/>
                <a:gd name="T31" fmla="*/ 556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77" y="36"/>
                  </a:moveTo>
                  <a:lnTo>
                    <a:pt x="65" y="36"/>
                  </a:lnTo>
                  <a:lnTo>
                    <a:pt x="62" y="18"/>
                  </a:lnTo>
                  <a:lnTo>
                    <a:pt x="48" y="10"/>
                  </a:lnTo>
                  <a:lnTo>
                    <a:pt x="61" y="10"/>
                  </a:lnTo>
                  <a:lnTo>
                    <a:pt x="71" y="20"/>
                  </a:lnTo>
                  <a:lnTo>
                    <a:pt x="75" y="27"/>
                  </a:lnTo>
                  <a:lnTo>
                    <a:pt x="77" y="3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7" name="Freeform 4837">
              <a:extLst>
                <a:ext uri="{FF2B5EF4-FFF2-40B4-BE49-F238E27FC236}">
                  <a16:creationId xmlns:a16="http://schemas.microsoft.com/office/drawing/2014/main" id="{61A0618D-0CB3-709F-B65E-F0BF17D3E0FF}"/>
                </a:ext>
              </a:extLst>
            </xdr:cNvPr>
            <xdr:cNvSpPr>
              <a:spLocks/>
            </xdr:cNvSpPr>
          </xdr:nvSpPr>
          <xdr:spPr bwMode="auto">
            <a:xfrm>
              <a:off x="2638" y="520"/>
              <a:ext cx="78" cy="80"/>
            </a:xfrm>
            <a:custGeom>
              <a:avLst/>
              <a:gdLst>
                <a:gd name="T0" fmla="+- 0 2697 2638"/>
                <a:gd name="T1" fmla="*/ T0 w 78"/>
                <a:gd name="T2" fmla="+- 0 592 520"/>
                <a:gd name="T3" fmla="*/ 592 h 80"/>
                <a:gd name="T4" fmla="+- 0 2674 2638"/>
                <a:gd name="T5" fmla="*/ T4 w 78"/>
                <a:gd name="T6" fmla="+- 0 592 520"/>
                <a:gd name="T7" fmla="*/ 592 h 80"/>
                <a:gd name="T8" fmla="+- 0 2689 2638"/>
                <a:gd name="T9" fmla="*/ T8 w 78"/>
                <a:gd name="T10" fmla="+- 0 592 520"/>
                <a:gd name="T11" fmla="*/ 592 h 80"/>
                <a:gd name="T12" fmla="+- 0 2698 2638"/>
                <a:gd name="T13" fmla="*/ T12 w 78"/>
                <a:gd name="T14" fmla="+- 0 582 520"/>
                <a:gd name="T15" fmla="*/ 582 h 80"/>
                <a:gd name="T16" fmla="+- 0 2701 2638"/>
                <a:gd name="T17" fmla="*/ T16 w 78"/>
                <a:gd name="T18" fmla="+- 0 574 520"/>
                <a:gd name="T19" fmla="*/ 574 h 80"/>
                <a:gd name="T20" fmla="+- 0 2713 2638"/>
                <a:gd name="T21" fmla="*/ T20 w 78"/>
                <a:gd name="T22" fmla="+- 0 574 520"/>
                <a:gd name="T23" fmla="*/ 574 h 80"/>
                <a:gd name="T24" fmla="+- 0 2704 2638"/>
                <a:gd name="T25" fmla="*/ T24 w 78"/>
                <a:gd name="T26" fmla="+- 0 589 520"/>
                <a:gd name="T27" fmla="*/ 589 h 80"/>
                <a:gd name="T28" fmla="+- 0 2697 2638"/>
                <a:gd name="T29" fmla="*/ T28 w 78"/>
                <a:gd name="T30" fmla="+- 0 592 520"/>
                <a:gd name="T31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59" y="72"/>
                  </a:moveTo>
                  <a:lnTo>
                    <a:pt x="36" y="72"/>
                  </a:lnTo>
                  <a:lnTo>
                    <a:pt x="51" y="72"/>
                  </a:lnTo>
                  <a:lnTo>
                    <a:pt x="60" y="62"/>
                  </a:lnTo>
                  <a:lnTo>
                    <a:pt x="63" y="54"/>
                  </a:lnTo>
                  <a:lnTo>
                    <a:pt x="75" y="54"/>
                  </a:lnTo>
                  <a:lnTo>
                    <a:pt x="66" y="69"/>
                  </a:lnTo>
                  <a:lnTo>
                    <a:pt x="59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CA98E344-F0F4-09F6-8617-98BB298F5EB3}"/>
              </a:ext>
            </a:extLst>
          </xdr:cNvPr>
          <xdr:cNvGrpSpPr>
            <a:grpSpLocks/>
          </xdr:cNvGrpSpPr>
        </xdr:nvGrpSpPr>
        <xdr:grpSpPr bwMode="auto">
          <a:xfrm>
            <a:off x="2729" y="520"/>
            <a:ext cx="69" cy="81"/>
            <a:chOff x="2729" y="520"/>
            <a:chExt cx="69" cy="81"/>
          </a:xfrm>
        </xdr:grpSpPr>
        <xdr:sp macro="" textlink="">
          <xdr:nvSpPr>
            <xdr:cNvPr id="32" name="Freeform 4835">
              <a:extLst>
                <a:ext uri="{FF2B5EF4-FFF2-40B4-BE49-F238E27FC236}">
                  <a16:creationId xmlns:a16="http://schemas.microsoft.com/office/drawing/2014/main" id="{CDF0CC89-DBBB-3F3A-E9CB-4CB8E7BAFBAA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53 2729"/>
                <a:gd name="T1" fmla="*/ T0 w 69"/>
                <a:gd name="T2" fmla="+- 0 531 520"/>
                <a:gd name="T3" fmla="*/ 531 h 81"/>
                <a:gd name="T4" fmla="+- 0 2740 2729"/>
                <a:gd name="T5" fmla="*/ T4 w 69"/>
                <a:gd name="T6" fmla="+- 0 531 520"/>
                <a:gd name="T7" fmla="*/ 531 h 81"/>
                <a:gd name="T8" fmla="+- 0 2744 2729"/>
                <a:gd name="T9" fmla="*/ T8 w 69"/>
                <a:gd name="T10" fmla="+- 0 526 520"/>
                <a:gd name="T11" fmla="*/ 526 h 81"/>
                <a:gd name="T12" fmla="+- 0 2752 2729"/>
                <a:gd name="T13" fmla="*/ T12 w 69"/>
                <a:gd name="T14" fmla="+- 0 520 520"/>
                <a:gd name="T15" fmla="*/ 520 h 81"/>
                <a:gd name="T16" fmla="+- 0 2774 2729"/>
                <a:gd name="T17" fmla="*/ T16 w 69"/>
                <a:gd name="T18" fmla="+- 0 520 520"/>
                <a:gd name="T19" fmla="*/ 520 h 81"/>
                <a:gd name="T20" fmla="+- 0 2782 2729"/>
                <a:gd name="T21" fmla="*/ T20 w 69"/>
                <a:gd name="T22" fmla="+- 0 523 520"/>
                <a:gd name="T23" fmla="*/ 523 h 81"/>
                <a:gd name="T24" fmla="+- 0 2789 2729"/>
                <a:gd name="T25" fmla="*/ T24 w 69"/>
                <a:gd name="T26" fmla="+- 0 530 520"/>
                <a:gd name="T27" fmla="*/ 530 h 81"/>
                <a:gd name="T28" fmla="+- 0 2761 2729"/>
                <a:gd name="T29" fmla="*/ T28 w 69"/>
                <a:gd name="T30" fmla="+- 0 530 520"/>
                <a:gd name="T31" fmla="*/ 530 h 81"/>
                <a:gd name="T32" fmla="+- 0 2753 2729"/>
                <a:gd name="T33" fmla="*/ T32 w 69"/>
                <a:gd name="T34" fmla="+- 0 531 520"/>
                <a:gd name="T35" fmla="*/ 531 h 81"/>
                <a:gd name="T36" fmla="+- 0 2753 2729"/>
                <a:gd name="T37" fmla="*/ T36 w 69"/>
                <a:gd name="T38" fmla="+- 0 531 520"/>
                <a:gd name="T39" fmla="*/ 53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9" h="81">
                  <a:moveTo>
                    <a:pt x="24" y="11"/>
                  </a:moveTo>
                  <a:lnTo>
                    <a:pt x="11" y="11"/>
                  </a:lnTo>
                  <a:lnTo>
                    <a:pt x="15" y="6"/>
                  </a:lnTo>
                  <a:lnTo>
                    <a:pt x="23" y="0"/>
                  </a:lnTo>
                  <a:lnTo>
                    <a:pt x="45" y="0"/>
                  </a:lnTo>
                  <a:lnTo>
                    <a:pt x="53" y="3"/>
                  </a:lnTo>
                  <a:lnTo>
                    <a:pt x="60" y="10"/>
                  </a:lnTo>
                  <a:lnTo>
                    <a:pt x="32" y="10"/>
                  </a:lnTo>
                  <a:lnTo>
                    <a:pt x="24" y="1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3" name="Freeform 4834">
              <a:extLst>
                <a:ext uri="{FF2B5EF4-FFF2-40B4-BE49-F238E27FC236}">
                  <a16:creationId xmlns:a16="http://schemas.microsoft.com/office/drawing/2014/main" id="{3C76F6B0-CC56-4A60-5325-79186BE8574B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40 2729"/>
                <a:gd name="T1" fmla="*/ T0 w 69"/>
                <a:gd name="T2" fmla="+- 0 601 520"/>
                <a:gd name="T3" fmla="*/ 601 h 81"/>
                <a:gd name="T4" fmla="+- 0 2729 2729"/>
                <a:gd name="T5" fmla="*/ T4 w 69"/>
                <a:gd name="T6" fmla="+- 0 601 520"/>
                <a:gd name="T7" fmla="*/ 601 h 81"/>
                <a:gd name="T8" fmla="+- 0 2729 2729"/>
                <a:gd name="T9" fmla="*/ T8 w 69"/>
                <a:gd name="T10" fmla="+- 0 522 520"/>
                <a:gd name="T11" fmla="*/ 522 h 81"/>
                <a:gd name="T12" fmla="+- 0 2740 2729"/>
                <a:gd name="T13" fmla="*/ T12 w 69"/>
                <a:gd name="T14" fmla="+- 0 522 520"/>
                <a:gd name="T15" fmla="*/ 522 h 81"/>
                <a:gd name="T16" fmla="+- 0 2740 2729"/>
                <a:gd name="T17" fmla="*/ T16 w 69"/>
                <a:gd name="T18" fmla="+- 0 531 520"/>
                <a:gd name="T19" fmla="*/ 531 h 81"/>
                <a:gd name="T20" fmla="+- 0 2753 2729"/>
                <a:gd name="T21" fmla="*/ T20 w 69"/>
                <a:gd name="T22" fmla="+- 0 531 520"/>
                <a:gd name="T23" fmla="*/ 531 h 81"/>
                <a:gd name="T24" fmla="+- 0 2747 2729"/>
                <a:gd name="T25" fmla="*/ T24 w 69"/>
                <a:gd name="T26" fmla="+- 0 537 520"/>
                <a:gd name="T27" fmla="*/ 537 h 81"/>
                <a:gd name="T28" fmla="+- 0 2743 2729"/>
                <a:gd name="T29" fmla="*/ T28 w 69"/>
                <a:gd name="T30" fmla="+- 0 541 520"/>
                <a:gd name="T31" fmla="*/ 541 h 81"/>
                <a:gd name="T32" fmla="+- 0 2740 2729"/>
                <a:gd name="T33" fmla="*/ T32 w 69"/>
                <a:gd name="T34" fmla="+- 0 549 520"/>
                <a:gd name="T35" fmla="*/ 549 h 81"/>
                <a:gd name="T36" fmla="+- 0 2740 2729"/>
                <a:gd name="T37" fmla="*/ T36 w 69"/>
                <a:gd name="T38" fmla="+- 0 558 520"/>
                <a:gd name="T39" fmla="*/ 558 h 81"/>
                <a:gd name="T40" fmla="+- 0 2740 2729"/>
                <a:gd name="T41" fmla="*/ T40 w 69"/>
                <a:gd name="T42" fmla="+- 0 601 520"/>
                <a:gd name="T43" fmla="*/ 601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</a:cxnLst>
              <a:rect l="0" t="0" r="r" b="b"/>
              <a:pathLst>
                <a:path w="69" h="81">
                  <a:moveTo>
                    <a:pt x="11" y="81"/>
                  </a:moveTo>
                  <a:lnTo>
                    <a:pt x="0" y="81"/>
                  </a:lnTo>
                  <a:lnTo>
                    <a:pt x="0" y="2"/>
                  </a:lnTo>
                  <a:lnTo>
                    <a:pt x="11" y="2"/>
                  </a:lnTo>
                  <a:lnTo>
                    <a:pt x="11" y="11"/>
                  </a:lnTo>
                  <a:lnTo>
                    <a:pt x="24" y="11"/>
                  </a:lnTo>
                  <a:lnTo>
                    <a:pt x="18" y="17"/>
                  </a:lnTo>
                  <a:lnTo>
                    <a:pt x="14" y="21"/>
                  </a:lnTo>
                  <a:lnTo>
                    <a:pt x="11" y="29"/>
                  </a:lnTo>
                  <a:lnTo>
                    <a:pt x="11" y="38"/>
                  </a:lnTo>
                  <a:lnTo>
                    <a:pt x="11" y="81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4" name="Freeform 4833">
              <a:extLst>
                <a:ext uri="{FF2B5EF4-FFF2-40B4-BE49-F238E27FC236}">
                  <a16:creationId xmlns:a16="http://schemas.microsoft.com/office/drawing/2014/main" id="{B59FE8E9-F37B-EF0C-62D7-25CD356E6A1E}"/>
                </a:ext>
              </a:extLst>
            </xdr:cNvPr>
            <xdr:cNvSpPr>
              <a:spLocks/>
            </xdr:cNvSpPr>
          </xdr:nvSpPr>
          <xdr:spPr bwMode="auto">
            <a:xfrm>
              <a:off x="2729" y="520"/>
              <a:ext cx="69" cy="81"/>
            </a:xfrm>
            <a:custGeom>
              <a:avLst/>
              <a:gdLst>
                <a:gd name="T0" fmla="+- 0 2798 2729"/>
                <a:gd name="T1" fmla="*/ T0 w 69"/>
                <a:gd name="T2" fmla="+- 0 600 520"/>
                <a:gd name="T3" fmla="*/ 600 h 81"/>
                <a:gd name="T4" fmla="+- 0 2787 2729"/>
                <a:gd name="T5" fmla="*/ T4 w 69"/>
                <a:gd name="T6" fmla="+- 0 600 520"/>
                <a:gd name="T7" fmla="*/ 600 h 81"/>
                <a:gd name="T8" fmla="+- 0 2787 2729"/>
                <a:gd name="T9" fmla="*/ T8 w 69"/>
                <a:gd name="T10" fmla="+- 0 549 520"/>
                <a:gd name="T11" fmla="*/ 549 h 81"/>
                <a:gd name="T12" fmla="+- 0 2784 2729"/>
                <a:gd name="T13" fmla="*/ T12 w 69"/>
                <a:gd name="T14" fmla="+- 0 541 520"/>
                <a:gd name="T15" fmla="*/ 541 h 81"/>
                <a:gd name="T16" fmla="+- 0 2774 2729"/>
                <a:gd name="T17" fmla="*/ T16 w 69"/>
                <a:gd name="T18" fmla="+- 0 531 520"/>
                <a:gd name="T19" fmla="*/ 531 h 81"/>
                <a:gd name="T20" fmla="+- 0 2766 2729"/>
                <a:gd name="T21" fmla="*/ T20 w 69"/>
                <a:gd name="T22" fmla="+- 0 530 520"/>
                <a:gd name="T23" fmla="*/ 530 h 81"/>
                <a:gd name="T24" fmla="+- 0 2789 2729"/>
                <a:gd name="T25" fmla="*/ T24 w 69"/>
                <a:gd name="T26" fmla="+- 0 530 520"/>
                <a:gd name="T27" fmla="*/ 530 h 81"/>
                <a:gd name="T28" fmla="+- 0 2795 2729"/>
                <a:gd name="T29" fmla="*/ T28 w 69"/>
                <a:gd name="T30" fmla="+- 0 536 520"/>
                <a:gd name="T31" fmla="*/ 536 h 81"/>
                <a:gd name="T32" fmla="+- 0 2798 2729"/>
                <a:gd name="T33" fmla="*/ T32 w 69"/>
                <a:gd name="T34" fmla="+- 0 546 520"/>
                <a:gd name="T35" fmla="*/ 546 h 81"/>
                <a:gd name="T36" fmla="+- 0 2798 2729"/>
                <a:gd name="T37" fmla="*/ T36 w 69"/>
                <a:gd name="T38" fmla="+- 0 600 520"/>
                <a:gd name="T39" fmla="*/ 600 h 81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</a:cxnLst>
              <a:rect l="0" t="0" r="r" b="b"/>
              <a:pathLst>
                <a:path w="69" h="81">
                  <a:moveTo>
                    <a:pt x="69" y="80"/>
                  </a:moveTo>
                  <a:lnTo>
                    <a:pt x="58" y="80"/>
                  </a:lnTo>
                  <a:lnTo>
                    <a:pt x="58" y="29"/>
                  </a:lnTo>
                  <a:lnTo>
                    <a:pt x="55" y="21"/>
                  </a:lnTo>
                  <a:lnTo>
                    <a:pt x="45" y="11"/>
                  </a:lnTo>
                  <a:lnTo>
                    <a:pt x="37" y="10"/>
                  </a:lnTo>
                  <a:lnTo>
                    <a:pt x="60" y="10"/>
                  </a:lnTo>
                  <a:lnTo>
                    <a:pt x="66" y="16"/>
                  </a:lnTo>
                  <a:lnTo>
                    <a:pt x="69" y="26"/>
                  </a:lnTo>
                  <a:lnTo>
                    <a:pt x="69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36FC9ACB-D4AC-451A-D6DC-67D3C74CCE13}"/>
              </a:ext>
            </a:extLst>
          </xdr:cNvPr>
          <xdr:cNvGrpSpPr>
            <a:grpSpLocks/>
          </xdr:cNvGrpSpPr>
        </xdr:nvGrpSpPr>
        <xdr:grpSpPr bwMode="auto">
          <a:xfrm>
            <a:off x="2810" y="495"/>
            <a:ext cx="46" cy="106"/>
            <a:chOff x="2810" y="495"/>
            <a:chExt cx="46" cy="106"/>
          </a:xfrm>
        </xdr:grpSpPr>
        <xdr:sp macro="" textlink="">
          <xdr:nvSpPr>
            <xdr:cNvPr id="29" name="Freeform 4831">
              <a:extLst>
                <a:ext uri="{FF2B5EF4-FFF2-40B4-BE49-F238E27FC236}">
                  <a16:creationId xmlns:a16="http://schemas.microsoft.com/office/drawing/2014/main" id="{820D8A16-5641-BB7F-50D9-18AFF972E702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37 2810"/>
                <a:gd name="T1" fmla="*/ T0 w 46"/>
                <a:gd name="T2" fmla="+- 0 522 495"/>
                <a:gd name="T3" fmla="*/ 522 h 106"/>
                <a:gd name="T4" fmla="+- 0 2826 2810"/>
                <a:gd name="T5" fmla="*/ T4 w 46"/>
                <a:gd name="T6" fmla="+- 0 522 495"/>
                <a:gd name="T7" fmla="*/ 522 h 106"/>
                <a:gd name="T8" fmla="+- 0 2826 2810"/>
                <a:gd name="T9" fmla="*/ T8 w 46"/>
                <a:gd name="T10" fmla="+- 0 495 495"/>
                <a:gd name="T11" fmla="*/ 495 h 106"/>
                <a:gd name="T12" fmla="+- 0 2837 2810"/>
                <a:gd name="T13" fmla="*/ T12 w 46"/>
                <a:gd name="T14" fmla="+- 0 495 495"/>
                <a:gd name="T15" fmla="*/ 495 h 106"/>
                <a:gd name="T16" fmla="+- 0 2837 2810"/>
                <a:gd name="T17" fmla="*/ T16 w 46"/>
                <a:gd name="T18" fmla="+- 0 522 495"/>
                <a:gd name="T19" fmla="*/ 52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27" y="27"/>
                  </a:moveTo>
                  <a:lnTo>
                    <a:pt x="16" y="27"/>
                  </a:lnTo>
                  <a:lnTo>
                    <a:pt x="16" y="0"/>
                  </a:lnTo>
                  <a:lnTo>
                    <a:pt x="27" y="0"/>
                  </a:lnTo>
                  <a:lnTo>
                    <a:pt x="27" y="2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" name="Freeform 4830">
              <a:extLst>
                <a:ext uri="{FF2B5EF4-FFF2-40B4-BE49-F238E27FC236}">
                  <a16:creationId xmlns:a16="http://schemas.microsoft.com/office/drawing/2014/main" id="{39551DCE-5892-549C-2AFA-8B03AC5E2983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56 2810"/>
                <a:gd name="T1" fmla="*/ T0 w 46"/>
                <a:gd name="T2" fmla="+- 0 532 495"/>
                <a:gd name="T3" fmla="*/ 532 h 106"/>
                <a:gd name="T4" fmla="+- 0 2810 2810"/>
                <a:gd name="T5" fmla="*/ T4 w 46"/>
                <a:gd name="T6" fmla="+- 0 532 495"/>
                <a:gd name="T7" fmla="*/ 532 h 106"/>
                <a:gd name="T8" fmla="+- 0 2810 2810"/>
                <a:gd name="T9" fmla="*/ T8 w 46"/>
                <a:gd name="T10" fmla="+- 0 522 495"/>
                <a:gd name="T11" fmla="*/ 522 h 106"/>
                <a:gd name="T12" fmla="+- 0 2856 2810"/>
                <a:gd name="T13" fmla="*/ T12 w 46"/>
                <a:gd name="T14" fmla="+- 0 522 495"/>
                <a:gd name="T15" fmla="*/ 522 h 106"/>
                <a:gd name="T16" fmla="+- 0 2856 2810"/>
                <a:gd name="T17" fmla="*/ T16 w 46"/>
                <a:gd name="T18" fmla="+- 0 532 495"/>
                <a:gd name="T19" fmla="*/ 53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46" y="37"/>
                  </a:moveTo>
                  <a:lnTo>
                    <a:pt x="0" y="37"/>
                  </a:lnTo>
                  <a:lnTo>
                    <a:pt x="0" y="27"/>
                  </a:lnTo>
                  <a:lnTo>
                    <a:pt x="46" y="27"/>
                  </a:lnTo>
                  <a:lnTo>
                    <a:pt x="46" y="3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1" name="Freeform 4829">
              <a:extLst>
                <a:ext uri="{FF2B5EF4-FFF2-40B4-BE49-F238E27FC236}">
                  <a16:creationId xmlns:a16="http://schemas.microsoft.com/office/drawing/2014/main" id="{46FF1AB3-F7F1-3863-AB31-1F15DAE7FF79}"/>
                </a:ext>
              </a:extLst>
            </xdr:cNvPr>
            <xdr:cNvSpPr>
              <a:spLocks/>
            </xdr:cNvSpPr>
          </xdr:nvSpPr>
          <xdr:spPr bwMode="auto">
            <a:xfrm>
              <a:off x="2810" y="495"/>
              <a:ext cx="46" cy="106"/>
            </a:xfrm>
            <a:custGeom>
              <a:avLst/>
              <a:gdLst>
                <a:gd name="T0" fmla="+- 0 2837 2810"/>
                <a:gd name="T1" fmla="*/ T0 w 46"/>
                <a:gd name="T2" fmla="+- 0 601 495"/>
                <a:gd name="T3" fmla="*/ 601 h 106"/>
                <a:gd name="T4" fmla="+- 0 2826 2810"/>
                <a:gd name="T5" fmla="*/ T4 w 46"/>
                <a:gd name="T6" fmla="+- 0 601 495"/>
                <a:gd name="T7" fmla="*/ 601 h 106"/>
                <a:gd name="T8" fmla="+- 0 2826 2810"/>
                <a:gd name="T9" fmla="*/ T8 w 46"/>
                <a:gd name="T10" fmla="+- 0 532 495"/>
                <a:gd name="T11" fmla="*/ 532 h 106"/>
                <a:gd name="T12" fmla="+- 0 2837 2810"/>
                <a:gd name="T13" fmla="*/ T12 w 46"/>
                <a:gd name="T14" fmla="+- 0 532 495"/>
                <a:gd name="T15" fmla="*/ 532 h 106"/>
                <a:gd name="T16" fmla="+- 0 2837 2810"/>
                <a:gd name="T17" fmla="*/ T16 w 46"/>
                <a:gd name="T18" fmla="+- 0 601 495"/>
                <a:gd name="T19" fmla="*/ 601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46" h="106">
                  <a:moveTo>
                    <a:pt x="27" y="106"/>
                  </a:moveTo>
                  <a:lnTo>
                    <a:pt x="16" y="106"/>
                  </a:lnTo>
                  <a:lnTo>
                    <a:pt x="16" y="37"/>
                  </a:lnTo>
                  <a:lnTo>
                    <a:pt x="27" y="37"/>
                  </a:lnTo>
                  <a:lnTo>
                    <a:pt x="27" y="106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61BD4C70-2C97-DEC8-CBF2-08500D0718DC}"/>
              </a:ext>
            </a:extLst>
          </xdr:cNvPr>
          <xdr:cNvGrpSpPr>
            <a:grpSpLocks/>
          </xdr:cNvGrpSpPr>
        </xdr:nvGrpSpPr>
        <xdr:grpSpPr bwMode="auto">
          <a:xfrm>
            <a:off x="2867" y="520"/>
            <a:ext cx="78" cy="80"/>
            <a:chOff x="2867" y="520"/>
            <a:chExt cx="78" cy="80"/>
          </a:xfrm>
        </xdr:grpSpPr>
        <xdr:sp macro="" textlink="">
          <xdr:nvSpPr>
            <xdr:cNvPr id="26" name="Freeform 4827">
              <a:extLst>
                <a:ext uri="{FF2B5EF4-FFF2-40B4-BE49-F238E27FC236}">
                  <a16:creationId xmlns:a16="http://schemas.microsoft.com/office/drawing/2014/main" id="{17E4991B-59D0-306F-65A5-5BB7EDBDAE93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890 2867"/>
                <a:gd name="T1" fmla="*/ T0 w 78"/>
                <a:gd name="T2" fmla="+- 0 600 520"/>
                <a:gd name="T3" fmla="*/ 600 h 80"/>
                <a:gd name="T4" fmla="+- 0 2876 2867"/>
                <a:gd name="T5" fmla="*/ T4 w 78"/>
                <a:gd name="T6" fmla="+- 0 590 520"/>
                <a:gd name="T7" fmla="*/ 590 h 80"/>
                <a:gd name="T8" fmla="+- 0 2867 2867"/>
                <a:gd name="T9" fmla="*/ T8 w 78"/>
                <a:gd name="T10" fmla="+- 0 571 520"/>
                <a:gd name="T11" fmla="*/ 571 h 80"/>
                <a:gd name="T12" fmla="+- 0 2867 2867"/>
                <a:gd name="T13" fmla="*/ T12 w 78"/>
                <a:gd name="T14" fmla="+- 0 542 520"/>
                <a:gd name="T15" fmla="*/ 542 h 80"/>
                <a:gd name="T16" fmla="+- 0 2881 2867"/>
                <a:gd name="T17" fmla="*/ T16 w 78"/>
                <a:gd name="T18" fmla="+- 0 527 520"/>
                <a:gd name="T19" fmla="*/ 527 h 80"/>
                <a:gd name="T20" fmla="+- 0 2902 2867"/>
                <a:gd name="T21" fmla="*/ T20 w 78"/>
                <a:gd name="T22" fmla="+- 0 520 520"/>
                <a:gd name="T23" fmla="*/ 520 h 80"/>
                <a:gd name="T24" fmla="+- 0 2924 2867"/>
                <a:gd name="T25" fmla="*/ T24 w 78"/>
                <a:gd name="T26" fmla="+- 0 527 520"/>
                <a:gd name="T27" fmla="*/ 527 h 80"/>
                <a:gd name="T28" fmla="+- 0 2928 2867"/>
                <a:gd name="T29" fmla="*/ T28 w 78"/>
                <a:gd name="T30" fmla="+- 0 530 520"/>
                <a:gd name="T31" fmla="*/ 530 h 80"/>
                <a:gd name="T32" fmla="+- 0 2890 2867"/>
                <a:gd name="T33" fmla="*/ T32 w 78"/>
                <a:gd name="T34" fmla="+- 0 530 520"/>
                <a:gd name="T35" fmla="*/ 530 h 80"/>
                <a:gd name="T36" fmla="+- 0 2876 2867"/>
                <a:gd name="T37" fmla="*/ T36 w 78"/>
                <a:gd name="T38" fmla="+- 0 539 520"/>
                <a:gd name="T39" fmla="*/ 539 h 80"/>
                <a:gd name="T40" fmla="+- 0 2873 2867"/>
                <a:gd name="T41" fmla="*/ T40 w 78"/>
                <a:gd name="T42" fmla="+- 0 555 520"/>
                <a:gd name="T43" fmla="*/ 555 h 80"/>
                <a:gd name="T44" fmla="+- 0 2944 2867"/>
                <a:gd name="T45" fmla="*/ T44 w 78"/>
                <a:gd name="T46" fmla="+- 0 555 520"/>
                <a:gd name="T47" fmla="*/ 555 h 80"/>
                <a:gd name="T48" fmla="+- 0 2943 2867"/>
                <a:gd name="T49" fmla="*/ T48 w 78"/>
                <a:gd name="T50" fmla="+- 0 565 520"/>
                <a:gd name="T51" fmla="*/ 565 h 80"/>
                <a:gd name="T52" fmla="+- 0 2943 2867"/>
                <a:gd name="T53" fmla="*/ T52 w 78"/>
                <a:gd name="T54" fmla="+- 0 565 520"/>
                <a:gd name="T55" fmla="*/ 565 h 80"/>
                <a:gd name="T56" fmla="+- 0 2873 2867"/>
                <a:gd name="T57" fmla="*/ T56 w 78"/>
                <a:gd name="T58" fmla="+- 0 565 520"/>
                <a:gd name="T59" fmla="*/ 565 h 80"/>
                <a:gd name="T60" fmla="+- 0 2874 2867"/>
                <a:gd name="T61" fmla="*/ T60 w 78"/>
                <a:gd name="T62" fmla="+- 0 580 520"/>
                <a:gd name="T63" fmla="*/ 580 h 80"/>
                <a:gd name="T64" fmla="+- 0 2888 2867"/>
                <a:gd name="T65" fmla="*/ T64 w 78"/>
                <a:gd name="T66" fmla="+- 0 592 520"/>
                <a:gd name="T67" fmla="*/ 592 h 80"/>
                <a:gd name="T68" fmla="+- 0 2926 2867"/>
                <a:gd name="T69" fmla="*/ T68 w 78"/>
                <a:gd name="T70" fmla="+- 0 592 520"/>
                <a:gd name="T71" fmla="*/ 592 h 80"/>
                <a:gd name="T72" fmla="+- 0 2915 2867"/>
                <a:gd name="T73" fmla="*/ T72 w 78"/>
                <a:gd name="T74" fmla="+- 0 598 520"/>
                <a:gd name="T75" fmla="*/ 598 h 80"/>
                <a:gd name="T76" fmla="+- 0 2890 2867"/>
                <a:gd name="T77" fmla="*/ T76 w 78"/>
                <a:gd name="T78" fmla="+- 0 600 520"/>
                <a:gd name="T79" fmla="*/ 600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  <a:cxn ang="0">
                  <a:pos x="T69" y="T71"/>
                </a:cxn>
                <a:cxn ang="0">
                  <a:pos x="T73" y="T75"/>
                </a:cxn>
                <a:cxn ang="0">
                  <a:pos x="T77" y="T79"/>
                </a:cxn>
              </a:cxnLst>
              <a:rect l="0" t="0" r="r" b="b"/>
              <a:pathLst>
                <a:path w="78" h="80">
                  <a:moveTo>
                    <a:pt x="23" y="80"/>
                  </a:moveTo>
                  <a:lnTo>
                    <a:pt x="9" y="70"/>
                  </a:lnTo>
                  <a:lnTo>
                    <a:pt x="0" y="51"/>
                  </a:lnTo>
                  <a:lnTo>
                    <a:pt x="0" y="22"/>
                  </a:lnTo>
                  <a:lnTo>
                    <a:pt x="14" y="7"/>
                  </a:lnTo>
                  <a:lnTo>
                    <a:pt x="35" y="0"/>
                  </a:lnTo>
                  <a:lnTo>
                    <a:pt x="57" y="7"/>
                  </a:lnTo>
                  <a:lnTo>
                    <a:pt x="61" y="10"/>
                  </a:lnTo>
                  <a:lnTo>
                    <a:pt x="23" y="10"/>
                  </a:lnTo>
                  <a:lnTo>
                    <a:pt x="9" y="19"/>
                  </a:lnTo>
                  <a:lnTo>
                    <a:pt x="6" y="35"/>
                  </a:lnTo>
                  <a:lnTo>
                    <a:pt x="77" y="35"/>
                  </a:lnTo>
                  <a:lnTo>
                    <a:pt x="76" y="45"/>
                  </a:lnTo>
                  <a:lnTo>
                    <a:pt x="6" y="45"/>
                  </a:lnTo>
                  <a:lnTo>
                    <a:pt x="7" y="60"/>
                  </a:lnTo>
                  <a:lnTo>
                    <a:pt x="21" y="72"/>
                  </a:lnTo>
                  <a:lnTo>
                    <a:pt x="59" y="72"/>
                  </a:lnTo>
                  <a:lnTo>
                    <a:pt x="48" y="78"/>
                  </a:lnTo>
                  <a:lnTo>
                    <a:pt x="23" y="8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7" name="Freeform 4826">
              <a:extLst>
                <a:ext uri="{FF2B5EF4-FFF2-40B4-BE49-F238E27FC236}">
                  <a16:creationId xmlns:a16="http://schemas.microsoft.com/office/drawing/2014/main" id="{7CB78549-3EA7-443B-60EE-8E049B858293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944 2867"/>
                <a:gd name="T1" fmla="*/ T0 w 78"/>
                <a:gd name="T2" fmla="+- 0 555 520"/>
                <a:gd name="T3" fmla="*/ 555 h 80"/>
                <a:gd name="T4" fmla="+- 0 2932 2867"/>
                <a:gd name="T5" fmla="*/ T4 w 78"/>
                <a:gd name="T6" fmla="+- 0 555 520"/>
                <a:gd name="T7" fmla="*/ 555 h 80"/>
                <a:gd name="T8" fmla="+- 0 2929 2867"/>
                <a:gd name="T9" fmla="*/ T8 w 78"/>
                <a:gd name="T10" fmla="+- 0 538 520"/>
                <a:gd name="T11" fmla="*/ 538 h 80"/>
                <a:gd name="T12" fmla="+- 0 2914 2867"/>
                <a:gd name="T13" fmla="*/ T12 w 78"/>
                <a:gd name="T14" fmla="+- 0 530 520"/>
                <a:gd name="T15" fmla="*/ 530 h 80"/>
                <a:gd name="T16" fmla="+- 0 2928 2867"/>
                <a:gd name="T17" fmla="*/ T16 w 78"/>
                <a:gd name="T18" fmla="+- 0 530 520"/>
                <a:gd name="T19" fmla="*/ 530 h 80"/>
                <a:gd name="T20" fmla="+- 0 2937 2867"/>
                <a:gd name="T21" fmla="*/ T20 w 78"/>
                <a:gd name="T22" fmla="+- 0 540 520"/>
                <a:gd name="T23" fmla="*/ 540 h 80"/>
                <a:gd name="T24" fmla="+- 0 2942 2867"/>
                <a:gd name="T25" fmla="*/ T24 w 78"/>
                <a:gd name="T26" fmla="+- 0 547 520"/>
                <a:gd name="T27" fmla="*/ 547 h 80"/>
                <a:gd name="T28" fmla="+- 0 2944 2867"/>
                <a:gd name="T29" fmla="*/ T28 w 78"/>
                <a:gd name="T30" fmla="+- 0 555 520"/>
                <a:gd name="T31" fmla="*/ 555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77" y="35"/>
                  </a:moveTo>
                  <a:lnTo>
                    <a:pt x="65" y="35"/>
                  </a:lnTo>
                  <a:lnTo>
                    <a:pt x="62" y="18"/>
                  </a:lnTo>
                  <a:lnTo>
                    <a:pt x="47" y="10"/>
                  </a:lnTo>
                  <a:lnTo>
                    <a:pt x="61" y="10"/>
                  </a:lnTo>
                  <a:lnTo>
                    <a:pt x="70" y="20"/>
                  </a:lnTo>
                  <a:lnTo>
                    <a:pt x="75" y="27"/>
                  </a:lnTo>
                  <a:lnTo>
                    <a:pt x="77" y="3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8" name="Freeform 4825">
              <a:extLst>
                <a:ext uri="{FF2B5EF4-FFF2-40B4-BE49-F238E27FC236}">
                  <a16:creationId xmlns:a16="http://schemas.microsoft.com/office/drawing/2014/main" id="{A342DF3D-D431-0AF1-D187-3F52F88C9FAA}"/>
                </a:ext>
              </a:extLst>
            </xdr:cNvPr>
            <xdr:cNvSpPr>
              <a:spLocks/>
            </xdr:cNvSpPr>
          </xdr:nvSpPr>
          <xdr:spPr bwMode="auto">
            <a:xfrm>
              <a:off x="2867" y="520"/>
              <a:ext cx="78" cy="80"/>
            </a:xfrm>
            <a:custGeom>
              <a:avLst/>
              <a:gdLst>
                <a:gd name="T0" fmla="+- 0 2926 2867"/>
                <a:gd name="T1" fmla="*/ T0 w 78"/>
                <a:gd name="T2" fmla="+- 0 592 520"/>
                <a:gd name="T3" fmla="*/ 592 h 80"/>
                <a:gd name="T4" fmla="+- 0 2902 2867"/>
                <a:gd name="T5" fmla="*/ T4 w 78"/>
                <a:gd name="T6" fmla="+- 0 592 520"/>
                <a:gd name="T7" fmla="*/ 592 h 80"/>
                <a:gd name="T8" fmla="+- 0 2918 2867"/>
                <a:gd name="T9" fmla="*/ T8 w 78"/>
                <a:gd name="T10" fmla="+- 0 592 520"/>
                <a:gd name="T11" fmla="*/ 592 h 80"/>
                <a:gd name="T12" fmla="+- 0 2926 2867"/>
                <a:gd name="T13" fmla="*/ T12 w 78"/>
                <a:gd name="T14" fmla="+- 0 582 520"/>
                <a:gd name="T15" fmla="*/ 582 h 80"/>
                <a:gd name="T16" fmla="+- 0 2930 2867"/>
                <a:gd name="T17" fmla="*/ T16 w 78"/>
                <a:gd name="T18" fmla="+- 0 574 520"/>
                <a:gd name="T19" fmla="*/ 574 h 80"/>
                <a:gd name="T20" fmla="+- 0 2941 2867"/>
                <a:gd name="T21" fmla="*/ T20 w 78"/>
                <a:gd name="T22" fmla="+- 0 574 520"/>
                <a:gd name="T23" fmla="*/ 574 h 80"/>
                <a:gd name="T24" fmla="+- 0 2932 2867"/>
                <a:gd name="T25" fmla="*/ T24 w 78"/>
                <a:gd name="T26" fmla="+- 0 589 520"/>
                <a:gd name="T27" fmla="*/ 589 h 80"/>
                <a:gd name="T28" fmla="+- 0 2926 2867"/>
                <a:gd name="T29" fmla="*/ T28 w 78"/>
                <a:gd name="T30" fmla="+- 0 592 520"/>
                <a:gd name="T31" fmla="*/ 592 h 80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</a:cxnLst>
              <a:rect l="0" t="0" r="r" b="b"/>
              <a:pathLst>
                <a:path w="78" h="80">
                  <a:moveTo>
                    <a:pt x="59" y="72"/>
                  </a:moveTo>
                  <a:lnTo>
                    <a:pt x="35" y="72"/>
                  </a:lnTo>
                  <a:lnTo>
                    <a:pt x="51" y="72"/>
                  </a:lnTo>
                  <a:lnTo>
                    <a:pt x="59" y="62"/>
                  </a:lnTo>
                  <a:lnTo>
                    <a:pt x="63" y="54"/>
                  </a:lnTo>
                  <a:lnTo>
                    <a:pt x="74" y="54"/>
                  </a:lnTo>
                  <a:lnTo>
                    <a:pt x="65" y="69"/>
                  </a:lnTo>
                  <a:lnTo>
                    <a:pt x="59" y="72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3D48C309-197B-0CB3-5357-1B0368196675}"/>
              </a:ext>
            </a:extLst>
          </xdr:cNvPr>
          <xdr:cNvGrpSpPr>
            <a:grpSpLocks/>
          </xdr:cNvGrpSpPr>
        </xdr:nvGrpSpPr>
        <xdr:grpSpPr bwMode="auto">
          <a:xfrm>
            <a:off x="2958" y="495"/>
            <a:ext cx="78" cy="106"/>
            <a:chOff x="2958" y="495"/>
            <a:chExt cx="78" cy="106"/>
          </a:xfrm>
        </xdr:grpSpPr>
        <xdr:sp macro="" textlink="">
          <xdr:nvSpPr>
            <xdr:cNvPr id="22" name="Freeform 4823">
              <a:extLst>
                <a:ext uri="{FF2B5EF4-FFF2-40B4-BE49-F238E27FC236}">
                  <a16:creationId xmlns:a16="http://schemas.microsoft.com/office/drawing/2014/main" id="{9DCA0C0B-7F7D-B881-9F60-0D5F93C60950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36 2958"/>
                <a:gd name="T1" fmla="*/ T0 w 78"/>
                <a:gd name="T2" fmla="+- 0 535 495"/>
                <a:gd name="T3" fmla="*/ 535 h 106"/>
                <a:gd name="T4" fmla="+- 0 3025 2958"/>
                <a:gd name="T5" fmla="*/ T4 w 78"/>
                <a:gd name="T6" fmla="+- 0 535 495"/>
                <a:gd name="T7" fmla="*/ 535 h 106"/>
                <a:gd name="T8" fmla="+- 0 3025 2958"/>
                <a:gd name="T9" fmla="*/ T8 w 78"/>
                <a:gd name="T10" fmla="+- 0 495 495"/>
                <a:gd name="T11" fmla="*/ 495 h 106"/>
                <a:gd name="T12" fmla="+- 0 3036 2958"/>
                <a:gd name="T13" fmla="*/ T12 w 78"/>
                <a:gd name="T14" fmla="+- 0 495 495"/>
                <a:gd name="T15" fmla="*/ 495 h 106"/>
                <a:gd name="T16" fmla="+- 0 3036 2958"/>
                <a:gd name="T17" fmla="*/ T16 w 78"/>
                <a:gd name="T18" fmla="+- 0 535 495"/>
                <a:gd name="T19" fmla="*/ 535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106">
                  <a:moveTo>
                    <a:pt x="78" y="40"/>
                  </a:moveTo>
                  <a:lnTo>
                    <a:pt x="67" y="40"/>
                  </a:lnTo>
                  <a:lnTo>
                    <a:pt x="67" y="0"/>
                  </a:lnTo>
                  <a:lnTo>
                    <a:pt x="78" y="0"/>
                  </a:lnTo>
                  <a:lnTo>
                    <a:pt x="78" y="40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3" name="Freeform 4822">
              <a:extLst>
                <a:ext uri="{FF2B5EF4-FFF2-40B4-BE49-F238E27FC236}">
                  <a16:creationId xmlns:a16="http://schemas.microsoft.com/office/drawing/2014/main" id="{4E3D1370-3C0D-C3B7-6413-C7693E0D3931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2982 2958"/>
                <a:gd name="T1" fmla="*/ T0 w 78"/>
                <a:gd name="T2" fmla="+- 0 600 495"/>
                <a:gd name="T3" fmla="*/ 600 h 106"/>
                <a:gd name="T4" fmla="+- 0 2968 2958"/>
                <a:gd name="T5" fmla="*/ T4 w 78"/>
                <a:gd name="T6" fmla="+- 0 590 495"/>
                <a:gd name="T7" fmla="*/ 590 h 106"/>
                <a:gd name="T8" fmla="+- 0 2959 2958"/>
                <a:gd name="T9" fmla="*/ T8 w 78"/>
                <a:gd name="T10" fmla="+- 0 571 495"/>
                <a:gd name="T11" fmla="*/ 571 h 106"/>
                <a:gd name="T12" fmla="+- 0 2958 2958"/>
                <a:gd name="T13" fmla="*/ T12 w 78"/>
                <a:gd name="T14" fmla="+- 0 543 495"/>
                <a:gd name="T15" fmla="*/ 543 h 106"/>
                <a:gd name="T16" fmla="+- 0 2973 2958"/>
                <a:gd name="T17" fmla="*/ T16 w 78"/>
                <a:gd name="T18" fmla="+- 0 527 495"/>
                <a:gd name="T19" fmla="*/ 527 h 106"/>
                <a:gd name="T20" fmla="+- 0 2996 2958"/>
                <a:gd name="T21" fmla="*/ T20 w 78"/>
                <a:gd name="T22" fmla="+- 0 520 495"/>
                <a:gd name="T23" fmla="*/ 520 h 106"/>
                <a:gd name="T24" fmla="+- 0 3000 2958"/>
                <a:gd name="T25" fmla="*/ T24 w 78"/>
                <a:gd name="T26" fmla="+- 0 520 495"/>
                <a:gd name="T27" fmla="*/ 520 h 106"/>
                <a:gd name="T28" fmla="+- 0 3016 2958"/>
                <a:gd name="T29" fmla="*/ T28 w 78"/>
                <a:gd name="T30" fmla="+- 0 521 495"/>
                <a:gd name="T31" fmla="*/ 521 h 106"/>
                <a:gd name="T32" fmla="+- 0 3023 2958"/>
                <a:gd name="T33" fmla="*/ T32 w 78"/>
                <a:gd name="T34" fmla="+- 0 531 495"/>
                <a:gd name="T35" fmla="*/ 531 h 106"/>
                <a:gd name="T36" fmla="+- 0 2989 2958"/>
                <a:gd name="T37" fmla="*/ T36 w 78"/>
                <a:gd name="T38" fmla="+- 0 531 495"/>
                <a:gd name="T39" fmla="*/ 531 h 106"/>
                <a:gd name="T40" fmla="+- 0 2972 2958"/>
                <a:gd name="T41" fmla="*/ T40 w 78"/>
                <a:gd name="T42" fmla="+- 0 542 495"/>
                <a:gd name="T43" fmla="*/ 542 h 106"/>
                <a:gd name="T44" fmla="+- 0 2965 2958"/>
                <a:gd name="T45" fmla="*/ T44 w 78"/>
                <a:gd name="T46" fmla="+- 0 566 495"/>
                <a:gd name="T47" fmla="*/ 566 h 106"/>
                <a:gd name="T48" fmla="+- 0 2975 2958"/>
                <a:gd name="T49" fmla="*/ T48 w 78"/>
                <a:gd name="T50" fmla="+- 0 585 495"/>
                <a:gd name="T51" fmla="*/ 585 h 106"/>
                <a:gd name="T52" fmla="+- 0 2996 2958"/>
                <a:gd name="T53" fmla="*/ T52 w 78"/>
                <a:gd name="T54" fmla="+- 0 592 495"/>
                <a:gd name="T55" fmla="*/ 592 h 106"/>
                <a:gd name="T56" fmla="+- 0 3021 2958"/>
                <a:gd name="T57" fmla="*/ T56 w 78"/>
                <a:gd name="T58" fmla="+- 0 592 495"/>
                <a:gd name="T59" fmla="*/ 592 h 106"/>
                <a:gd name="T60" fmla="+- 0 3007 2958"/>
                <a:gd name="T61" fmla="*/ T60 w 78"/>
                <a:gd name="T62" fmla="+- 0 599 495"/>
                <a:gd name="T63" fmla="*/ 599 h 106"/>
                <a:gd name="T64" fmla="+- 0 2982 2958"/>
                <a:gd name="T65" fmla="*/ T64 w 78"/>
                <a:gd name="T66" fmla="+- 0 600 495"/>
                <a:gd name="T67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  <a:cxn ang="0">
                  <a:pos x="T53" y="T55"/>
                </a:cxn>
                <a:cxn ang="0">
                  <a:pos x="T57" y="T59"/>
                </a:cxn>
                <a:cxn ang="0">
                  <a:pos x="T61" y="T63"/>
                </a:cxn>
                <a:cxn ang="0">
                  <a:pos x="T65" y="T67"/>
                </a:cxn>
              </a:cxnLst>
              <a:rect l="0" t="0" r="r" b="b"/>
              <a:pathLst>
                <a:path w="78" h="106">
                  <a:moveTo>
                    <a:pt x="24" y="105"/>
                  </a:moveTo>
                  <a:lnTo>
                    <a:pt x="10" y="95"/>
                  </a:lnTo>
                  <a:lnTo>
                    <a:pt x="1" y="76"/>
                  </a:lnTo>
                  <a:lnTo>
                    <a:pt x="0" y="48"/>
                  </a:lnTo>
                  <a:lnTo>
                    <a:pt x="15" y="32"/>
                  </a:lnTo>
                  <a:lnTo>
                    <a:pt x="38" y="25"/>
                  </a:lnTo>
                  <a:lnTo>
                    <a:pt x="42" y="25"/>
                  </a:lnTo>
                  <a:lnTo>
                    <a:pt x="58" y="26"/>
                  </a:lnTo>
                  <a:lnTo>
                    <a:pt x="65" y="36"/>
                  </a:lnTo>
                  <a:lnTo>
                    <a:pt x="31" y="36"/>
                  </a:lnTo>
                  <a:lnTo>
                    <a:pt x="14" y="47"/>
                  </a:lnTo>
                  <a:lnTo>
                    <a:pt x="7" y="71"/>
                  </a:lnTo>
                  <a:lnTo>
                    <a:pt x="17" y="90"/>
                  </a:lnTo>
                  <a:lnTo>
                    <a:pt x="38" y="97"/>
                  </a:lnTo>
                  <a:lnTo>
                    <a:pt x="63" y="97"/>
                  </a:lnTo>
                  <a:lnTo>
                    <a:pt x="49" y="104"/>
                  </a:lnTo>
                  <a:lnTo>
                    <a:pt x="24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4" name="Freeform 4821">
              <a:extLst>
                <a:ext uri="{FF2B5EF4-FFF2-40B4-BE49-F238E27FC236}">
                  <a16:creationId xmlns:a16="http://schemas.microsoft.com/office/drawing/2014/main" id="{C2D8749C-961C-B474-9387-815AC13DCC6E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21 2958"/>
                <a:gd name="T1" fmla="*/ T0 w 78"/>
                <a:gd name="T2" fmla="+- 0 592 495"/>
                <a:gd name="T3" fmla="*/ 592 h 106"/>
                <a:gd name="T4" fmla="+- 0 2996 2958"/>
                <a:gd name="T5" fmla="*/ T4 w 78"/>
                <a:gd name="T6" fmla="+- 0 592 495"/>
                <a:gd name="T7" fmla="*/ 592 h 106"/>
                <a:gd name="T8" fmla="+- 0 3006 2958"/>
                <a:gd name="T9" fmla="*/ T8 w 78"/>
                <a:gd name="T10" fmla="+- 0 590 495"/>
                <a:gd name="T11" fmla="*/ 590 h 106"/>
                <a:gd name="T12" fmla="+- 0 3020 2958"/>
                <a:gd name="T13" fmla="*/ T12 w 78"/>
                <a:gd name="T14" fmla="+- 0 578 495"/>
                <a:gd name="T15" fmla="*/ 578 h 106"/>
                <a:gd name="T16" fmla="+- 0 3025 2958"/>
                <a:gd name="T17" fmla="*/ T16 w 78"/>
                <a:gd name="T18" fmla="+- 0 552 495"/>
                <a:gd name="T19" fmla="*/ 552 h 106"/>
                <a:gd name="T20" fmla="+- 0 3013 2958"/>
                <a:gd name="T21" fmla="*/ T20 w 78"/>
                <a:gd name="T22" fmla="+- 0 537 495"/>
                <a:gd name="T23" fmla="*/ 537 h 106"/>
                <a:gd name="T24" fmla="+- 0 2989 2958"/>
                <a:gd name="T25" fmla="*/ T24 w 78"/>
                <a:gd name="T26" fmla="+- 0 531 495"/>
                <a:gd name="T27" fmla="*/ 531 h 106"/>
                <a:gd name="T28" fmla="+- 0 3023 2958"/>
                <a:gd name="T29" fmla="*/ T28 w 78"/>
                <a:gd name="T30" fmla="+- 0 531 495"/>
                <a:gd name="T31" fmla="*/ 531 h 106"/>
                <a:gd name="T32" fmla="+- 0 3025 2958"/>
                <a:gd name="T33" fmla="*/ T32 w 78"/>
                <a:gd name="T34" fmla="+- 0 535 495"/>
                <a:gd name="T35" fmla="*/ 535 h 106"/>
                <a:gd name="T36" fmla="+- 0 3036 2958"/>
                <a:gd name="T37" fmla="*/ T36 w 78"/>
                <a:gd name="T38" fmla="+- 0 535 495"/>
                <a:gd name="T39" fmla="*/ 535 h 106"/>
                <a:gd name="T40" fmla="+- 0 3036 2958"/>
                <a:gd name="T41" fmla="*/ T40 w 78"/>
                <a:gd name="T42" fmla="+- 0 592 495"/>
                <a:gd name="T43" fmla="*/ 592 h 106"/>
                <a:gd name="T44" fmla="+- 0 3022 2958"/>
                <a:gd name="T45" fmla="*/ T44 w 78"/>
                <a:gd name="T46" fmla="+- 0 592 495"/>
                <a:gd name="T47" fmla="*/ 592 h 106"/>
                <a:gd name="T48" fmla="+- 0 3021 2958"/>
                <a:gd name="T49" fmla="*/ T48 w 78"/>
                <a:gd name="T50" fmla="+- 0 592 495"/>
                <a:gd name="T51" fmla="*/ 592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  <a:cxn ang="0">
                  <a:pos x="T37" y="T39"/>
                </a:cxn>
                <a:cxn ang="0">
                  <a:pos x="T41" y="T43"/>
                </a:cxn>
                <a:cxn ang="0">
                  <a:pos x="T45" y="T47"/>
                </a:cxn>
                <a:cxn ang="0">
                  <a:pos x="T49" y="T51"/>
                </a:cxn>
              </a:cxnLst>
              <a:rect l="0" t="0" r="r" b="b"/>
              <a:pathLst>
                <a:path w="78" h="106">
                  <a:moveTo>
                    <a:pt x="63" y="97"/>
                  </a:moveTo>
                  <a:lnTo>
                    <a:pt x="38" y="97"/>
                  </a:lnTo>
                  <a:lnTo>
                    <a:pt x="48" y="95"/>
                  </a:lnTo>
                  <a:lnTo>
                    <a:pt x="62" y="83"/>
                  </a:lnTo>
                  <a:lnTo>
                    <a:pt x="67" y="57"/>
                  </a:lnTo>
                  <a:lnTo>
                    <a:pt x="55" y="42"/>
                  </a:lnTo>
                  <a:lnTo>
                    <a:pt x="31" y="36"/>
                  </a:lnTo>
                  <a:lnTo>
                    <a:pt x="65" y="36"/>
                  </a:lnTo>
                  <a:lnTo>
                    <a:pt x="67" y="40"/>
                  </a:lnTo>
                  <a:lnTo>
                    <a:pt x="78" y="40"/>
                  </a:lnTo>
                  <a:lnTo>
                    <a:pt x="78" y="97"/>
                  </a:lnTo>
                  <a:lnTo>
                    <a:pt x="64" y="97"/>
                  </a:lnTo>
                  <a:lnTo>
                    <a:pt x="63" y="97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25" name="Freeform 4820">
              <a:extLst>
                <a:ext uri="{FF2B5EF4-FFF2-40B4-BE49-F238E27FC236}">
                  <a16:creationId xmlns:a16="http://schemas.microsoft.com/office/drawing/2014/main" id="{31E5EF5C-E063-9FDE-05A1-3F2730FE8834}"/>
                </a:ext>
              </a:extLst>
            </xdr:cNvPr>
            <xdr:cNvSpPr>
              <a:spLocks/>
            </xdr:cNvSpPr>
          </xdr:nvSpPr>
          <xdr:spPr bwMode="auto">
            <a:xfrm>
              <a:off x="2958" y="495"/>
              <a:ext cx="78" cy="106"/>
            </a:xfrm>
            <a:custGeom>
              <a:avLst/>
              <a:gdLst>
                <a:gd name="T0" fmla="+- 0 3036 2958"/>
                <a:gd name="T1" fmla="*/ T0 w 78"/>
                <a:gd name="T2" fmla="+- 0 600 495"/>
                <a:gd name="T3" fmla="*/ 600 h 106"/>
                <a:gd name="T4" fmla="+- 0 3025 2958"/>
                <a:gd name="T5" fmla="*/ T4 w 78"/>
                <a:gd name="T6" fmla="+- 0 600 495"/>
                <a:gd name="T7" fmla="*/ 600 h 106"/>
                <a:gd name="T8" fmla="+- 0 3022 2958"/>
                <a:gd name="T9" fmla="*/ T8 w 78"/>
                <a:gd name="T10" fmla="+- 0 592 495"/>
                <a:gd name="T11" fmla="*/ 592 h 106"/>
                <a:gd name="T12" fmla="+- 0 3036 2958"/>
                <a:gd name="T13" fmla="*/ T12 w 78"/>
                <a:gd name="T14" fmla="+- 0 592 495"/>
                <a:gd name="T15" fmla="*/ 592 h 106"/>
                <a:gd name="T16" fmla="+- 0 3036 2958"/>
                <a:gd name="T17" fmla="*/ T16 w 78"/>
                <a:gd name="T18" fmla="+- 0 600 495"/>
                <a:gd name="T19" fmla="*/ 600 h 106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</a:cxnLst>
              <a:rect l="0" t="0" r="r" b="b"/>
              <a:pathLst>
                <a:path w="78" h="106">
                  <a:moveTo>
                    <a:pt x="78" y="105"/>
                  </a:moveTo>
                  <a:lnTo>
                    <a:pt x="67" y="105"/>
                  </a:lnTo>
                  <a:lnTo>
                    <a:pt x="64" y="97"/>
                  </a:lnTo>
                  <a:lnTo>
                    <a:pt x="78" y="97"/>
                  </a:lnTo>
                  <a:lnTo>
                    <a:pt x="78" y="105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E3CB6BC3-8EED-AB52-EAC9-52794A483357}"/>
              </a:ext>
            </a:extLst>
          </xdr:cNvPr>
          <xdr:cNvGrpSpPr>
            <a:grpSpLocks/>
          </xdr:cNvGrpSpPr>
        </xdr:nvGrpSpPr>
        <xdr:grpSpPr bwMode="auto">
          <a:xfrm>
            <a:off x="2174" y="575"/>
            <a:ext cx="28" cy="28"/>
            <a:chOff x="2174" y="575"/>
            <a:chExt cx="28" cy="28"/>
          </a:xfrm>
        </xdr:grpSpPr>
        <xdr:sp macro="" textlink="">
          <xdr:nvSpPr>
            <xdr:cNvPr id="21" name="Freeform 4818">
              <a:extLst>
                <a:ext uri="{FF2B5EF4-FFF2-40B4-BE49-F238E27FC236}">
                  <a16:creationId xmlns:a16="http://schemas.microsoft.com/office/drawing/2014/main" id="{587F4DCE-080A-CCDF-9A66-CAE42C2ECE5F}"/>
                </a:ext>
              </a:extLst>
            </xdr:cNvPr>
            <xdr:cNvSpPr>
              <a:spLocks/>
            </xdr:cNvSpPr>
          </xdr:nvSpPr>
          <xdr:spPr bwMode="auto">
            <a:xfrm>
              <a:off x="2174" y="575"/>
              <a:ext cx="28" cy="28"/>
            </a:xfrm>
            <a:custGeom>
              <a:avLst/>
              <a:gdLst>
                <a:gd name="T0" fmla="+- 0 2195 2174"/>
                <a:gd name="T1" fmla="*/ T0 w 28"/>
                <a:gd name="T2" fmla="+- 0 603 575"/>
                <a:gd name="T3" fmla="*/ 603 h 28"/>
                <a:gd name="T4" fmla="+- 0 2180 2174"/>
                <a:gd name="T5" fmla="*/ T4 w 28"/>
                <a:gd name="T6" fmla="+- 0 603 575"/>
                <a:gd name="T7" fmla="*/ 603 h 28"/>
                <a:gd name="T8" fmla="+- 0 2174 2174"/>
                <a:gd name="T9" fmla="*/ T8 w 28"/>
                <a:gd name="T10" fmla="+- 0 596 575"/>
                <a:gd name="T11" fmla="*/ 596 h 28"/>
                <a:gd name="T12" fmla="+- 0 2174 2174"/>
                <a:gd name="T13" fmla="*/ T12 w 28"/>
                <a:gd name="T14" fmla="+- 0 581 575"/>
                <a:gd name="T15" fmla="*/ 581 h 28"/>
                <a:gd name="T16" fmla="+- 0 2180 2174"/>
                <a:gd name="T17" fmla="*/ T16 w 28"/>
                <a:gd name="T18" fmla="+- 0 575 575"/>
                <a:gd name="T19" fmla="*/ 575 h 28"/>
                <a:gd name="T20" fmla="+- 0 2195 2174"/>
                <a:gd name="T21" fmla="*/ T20 w 28"/>
                <a:gd name="T22" fmla="+- 0 575 575"/>
                <a:gd name="T23" fmla="*/ 575 h 28"/>
                <a:gd name="T24" fmla="+- 0 2201 2174"/>
                <a:gd name="T25" fmla="*/ T24 w 28"/>
                <a:gd name="T26" fmla="+- 0 581 575"/>
                <a:gd name="T27" fmla="*/ 581 h 28"/>
                <a:gd name="T28" fmla="+- 0 2201 2174"/>
                <a:gd name="T29" fmla="*/ T28 w 28"/>
                <a:gd name="T30" fmla="+- 0 596 575"/>
                <a:gd name="T31" fmla="*/ 596 h 28"/>
                <a:gd name="T32" fmla="+- 0 2195 2174"/>
                <a:gd name="T33" fmla="*/ T32 w 28"/>
                <a:gd name="T34" fmla="+- 0 603 575"/>
                <a:gd name="T35" fmla="*/ 603 h 28"/>
              </a:gdLst>
              <a:ahLst/>
              <a:cxnLst>
                <a:cxn ang="0">
                  <a:pos x="T1" y="T3"/>
                </a:cxn>
                <a:cxn ang="0">
                  <a:pos x="T5" y="T7"/>
                </a:cxn>
                <a:cxn ang="0">
                  <a:pos x="T9" y="T11"/>
                </a:cxn>
                <a:cxn ang="0">
                  <a:pos x="T13" y="T15"/>
                </a:cxn>
                <a:cxn ang="0">
                  <a:pos x="T17" y="T19"/>
                </a:cxn>
                <a:cxn ang="0">
                  <a:pos x="T21" y="T23"/>
                </a:cxn>
                <a:cxn ang="0">
                  <a:pos x="T25" y="T27"/>
                </a:cxn>
                <a:cxn ang="0">
                  <a:pos x="T29" y="T31"/>
                </a:cxn>
                <a:cxn ang="0">
                  <a:pos x="T33" y="T35"/>
                </a:cxn>
              </a:cxnLst>
              <a:rect l="0" t="0" r="r" b="b"/>
              <a:pathLst>
                <a:path w="28" h="28">
                  <a:moveTo>
                    <a:pt x="21" y="28"/>
                  </a:moveTo>
                  <a:lnTo>
                    <a:pt x="6" y="28"/>
                  </a:lnTo>
                  <a:lnTo>
                    <a:pt x="0" y="21"/>
                  </a:lnTo>
                  <a:lnTo>
                    <a:pt x="0" y="6"/>
                  </a:lnTo>
                  <a:lnTo>
                    <a:pt x="6" y="0"/>
                  </a:lnTo>
                  <a:lnTo>
                    <a:pt x="21" y="0"/>
                  </a:lnTo>
                  <a:lnTo>
                    <a:pt x="27" y="6"/>
                  </a:lnTo>
                  <a:lnTo>
                    <a:pt x="27" y="21"/>
                  </a:lnTo>
                  <a:lnTo>
                    <a:pt x="21" y="28"/>
                  </a:lnTo>
                  <a:close/>
                </a:path>
              </a:pathLst>
            </a:custGeom>
            <a:solidFill>
              <a:srgbClr val="001E40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  <xdr:twoCellAnchor>
    <xdr:from>
      <xdr:col>8</xdr:col>
      <xdr:colOff>414617</xdr:colOff>
      <xdr:row>27</xdr:row>
      <xdr:rowOff>67235</xdr:rowOff>
    </xdr:from>
    <xdr:to>
      <xdr:col>18</xdr:col>
      <xdr:colOff>376883</xdr:colOff>
      <xdr:row>57</xdr:row>
      <xdr:rowOff>3807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7F5C86E3-9B23-47DB-AD5B-E51B591D6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42</xdr:col>
      <xdr:colOff>162012</xdr:colOff>
      <xdr:row>58</xdr:row>
      <xdr:rowOff>132485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BE06042A-E7A3-6DFA-A24F-3C8E6C89214B}"/>
            </a:ext>
          </a:extLst>
        </xdr:cNvPr>
        <xdr:cNvSpPr/>
      </xdr:nvSpPr>
      <xdr:spPr>
        <a:xfrm>
          <a:off x="0" y="0"/>
          <a:ext cx="26841537" cy="1118148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567632</xdr:colOff>
      <xdr:row>28</xdr:row>
      <xdr:rowOff>152400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E0A99E17-67CD-49EB-B1D1-626A21925B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749232" cy="51954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39</xdr:col>
      <xdr:colOff>503236</xdr:colOff>
      <xdr:row>285</xdr:row>
      <xdr:rowOff>155575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C612B3A-BD78-4C91-9499-4249B8C68427}"/>
            </a:ext>
          </a:extLst>
        </xdr:cNvPr>
        <xdr:cNvSpPr/>
      </xdr:nvSpPr>
      <xdr:spPr>
        <a:xfrm>
          <a:off x="0" y="0"/>
          <a:ext cx="24029986" cy="547338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552450</xdr:colOff>
      <xdr:row>27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9CFBBB-191B-4F0F-9495-B9E2A698F1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86400" cy="5486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828D5-4A1D-4916-AD74-982D4181D328}">
  <sheetPr>
    <tabColor rgb="FF0070C0"/>
  </sheetPr>
  <dimension ref="B3:X115"/>
  <sheetViews>
    <sheetView tabSelected="1" zoomScaleNormal="100" workbookViewId="0">
      <selection activeCell="G15" sqref="G15"/>
    </sheetView>
  </sheetViews>
  <sheetFormatPr defaultColWidth="8.7109375" defaultRowHeight="15"/>
  <cols>
    <col min="1" max="1" width="8.7109375" style="2"/>
    <col min="2" max="2" width="45" style="2" bestFit="1" customWidth="1"/>
    <col min="3" max="3" width="12.85546875" style="2" bestFit="1" customWidth="1"/>
    <col min="4" max="5" width="8.7109375" style="2"/>
    <col min="6" max="6" width="18.140625" style="2" customWidth="1"/>
    <col min="7" max="16384" width="8.7109375" style="2"/>
  </cols>
  <sheetData>
    <row r="3" spans="2:10">
      <c r="H3" s="59"/>
      <c r="I3" s="60"/>
      <c r="J3" s="61"/>
    </row>
    <row r="4" spans="2:10">
      <c r="H4" s="19"/>
      <c r="J4" s="62"/>
    </row>
    <row r="5" spans="2:10">
      <c r="H5" s="19"/>
      <c r="J5" s="62"/>
    </row>
    <row r="6" spans="2:10">
      <c r="H6" s="19"/>
      <c r="J6" s="62"/>
    </row>
    <row r="7" spans="2:10">
      <c r="H7" s="19"/>
      <c r="J7" s="62"/>
    </row>
    <row r="8" spans="2:10">
      <c r="H8" s="63"/>
      <c r="I8" s="64" t="s">
        <v>849</v>
      </c>
      <c r="J8" s="65"/>
    </row>
    <row r="10" spans="2:10" ht="17.100000000000001" customHeight="1">
      <c r="B10" s="6" t="s">
        <v>0</v>
      </c>
    </row>
    <row r="11" spans="2:10" ht="5.0999999999999996" customHeight="1"/>
    <row r="12" spans="2:10" ht="15.75">
      <c r="B12" s="111" t="s">
        <v>1</v>
      </c>
      <c r="C12" s="111" t="s">
        <v>2</v>
      </c>
      <c r="D12" s="111" t="s">
        <v>3</v>
      </c>
      <c r="E12" s="111" t="s">
        <v>4</v>
      </c>
      <c r="H12" s="20"/>
      <c r="I12" s="20"/>
    </row>
    <row r="13" spans="2:10">
      <c r="B13" s="88" t="s">
        <v>5</v>
      </c>
      <c r="C13" s="88" t="s">
        <v>6</v>
      </c>
      <c r="D13" s="85">
        <v>90</v>
      </c>
      <c r="E13" s="88" t="s">
        <v>7</v>
      </c>
    </row>
    <row r="14" spans="2:10">
      <c r="B14" s="88" t="s">
        <v>8</v>
      </c>
      <c r="C14" s="88" t="s">
        <v>9</v>
      </c>
      <c r="D14" s="85">
        <v>264</v>
      </c>
      <c r="E14" s="88" t="s">
        <v>7</v>
      </c>
    </row>
    <row r="15" spans="2:10">
      <c r="B15" s="88" t="str">
        <f>IF(D13&gt;(190/SQRT(2)),"Select high mains configuration (1 = FB, 2 = HB)",IF(AND(D13&lt;=(190/SQRT(2)),D14*SQRT(2)&gt;245),"Selected configuration: universal mains range","Select low mains configuration (1 = FB, 2 = HB)"))</f>
        <v>Selected configuration: universal mains range</v>
      </c>
      <c r="C15" s="88" t="s">
        <v>10</v>
      </c>
      <c r="D15" s="85">
        <v>1</v>
      </c>
      <c r="E15" s="88" t="str">
        <f>"-"</f>
        <v>-</v>
      </c>
    </row>
    <row r="16" spans="2:10">
      <c r="B16" s="88" t="s">
        <v>11</v>
      </c>
      <c r="C16" s="88" t="s">
        <v>12</v>
      </c>
      <c r="D16" s="85">
        <v>50</v>
      </c>
      <c r="E16" s="88" t="s">
        <v>13</v>
      </c>
    </row>
    <row r="17" spans="2:6">
      <c r="B17" s="88" t="s">
        <v>14</v>
      </c>
      <c r="C17" s="88" t="s">
        <v>15</v>
      </c>
      <c r="D17" s="85">
        <v>47</v>
      </c>
      <c r="E17" s="88" t="s">
        <v>13</v>
      </c>
    </row>
    <row r="18" spans="2:6">
      <c r="B18" s="21"/>
      <c r="C18" s="66"/>
      <c r="D18" s="66"/>
      <c r="E18" s="66"/>
    </row>
    <row r="19" spans="2:6" ht="15.75">
      <c r="B19" s="111" t="s">
        <v>1</v>
      </c>
      <c r="C19" s="111" t="s">
        <v>2</v>
      </c>
      <c r="D19" s="111" t="s">
        <v>3</v>
      </c>
      <c r="E19" s="111" t="s">
        <v>4</v>
      </c>
      <c r="F19" s="111" t="s">
        <v>16</v>
      </c>
    </row>
    <row r="20" spans="2:6">
      <c r="B20" s="88" t="s">
        <v>17</v>
      </c>
      <c r="C20" s="88" t="s">
        <v>18</v>
      </c>
      <c r="D20" s="106" t="str">
        <f>IF('Design Spec'!D80=0,IF(2*D13&gt;IF(165&gt;D14/2,165,D14/2),_xlfn.CONCAT(IF(165&gt;D14/2,165,_xlfn.FLOOR.MATH(D14/2)),"-",2*D13),2*D13),D13)</f>
        <v>165-180</v>
      </c>
      <c r="E20" s="88" t="s">
        <v>7</v>
      </c>
      <c r="F20" s="85">
        <v>173.24116140000001</v>
      </c>
    </row>
    <row r="21" spans="2:6">
      <c r="B21" s="21"/>
      <c r="C21" s="66"/>
      <c r="D21" s="66"/>
      <c r="E21" s="66"/>
    </row>
    <row r="22" spans="2:6" ht="15.75">
      <c r="B22" s="111" t="s">
        <v>1</v>
      </c>
      <c r="C22" s="111" t="s">
        <v>2</v>
      </c>
      <c r="D22" s="111" t="s">
        <v>3</v>
      </c>
      <c r="E22" s="111" t="s">
        <v>4</v>
      </c>
    </row>
    <row r="23" spans="2:6">
      <c r="B23" s="88" t="s">
        <v>19</v>
      </c>
      <c r="C23" s="88" t="s">
        <v>20</v>
      </c>
      <c r="D23" s="85">
        <v>25</v>
      </c>
      <c r="E23" s="88" t="s">
        <v>21</v>
      </c>
    </row>
    <row r="24" spans="2:6">
      <c r="B24" s="106" t="s">
        <v>22</v>
      </c>
      <c r="C24" s="106" t="s">
        <v>23</v>
      </c>
      <c r="D24" s="85">
        <v>16</v>
      </c>
      <c r="E24" s="106" t="s">
        <v>21</v>
      </c>
    </row>
    <row r="25" spans="2:6">
      <c r="B25" s="88" t="s">
        <v>24</v>
      </c>
      <c r="C25" s="88" t="s">
        <v>25</v>
      </c>
      <c r="D25" s="85">
        <v>10</v>
      </c>
      <c r="E25" s="88" t="s">
        <v>26</v>
      </c>
    </row>
    <row r="26" spans="2:6">
      <c r="B26" s="106" t="s">
        <v>27</v>
      </c>
      <c r="C26" s="106" t="s">
        <v>28</v>
      </c>
      <c r="D26" s="85">
        <v>10</v>
      </c>
      <c r="E26" s="106" t="s">
        <v>29</v>
      </c>
    </row>
    <row r="27" spans="2:6">
      <c r="B27" s="88" t="s">
        <v>30</v>
      </c>
      <c r="C27" s="88" t="s">
        <v>31</v>
      </c>
      <c r="D27" s="85">
        <v>657.5</v>
      </c>
      <c r="E27" s="88" t="s">
        <v>32</v>
      </c>
    </row>
    <row r="28" spans="2:6">
      <c r="B28" s="88" t="s">
        <v>33</v>
      </c>
      <c r="C28" s="88" t="s">
        <v>34</v>
      </c>
      <c r="D28" s="85">
        <v>98</v>
      </c>
      <c r="E28" s="88" t="s">
        <v>26</v>
      </c>
    </row>
    <row r="29" spans="2:6">
      <c r="B29" s="88" t="s">
        <v>35</v>
      </c>
      <c r="C29" s="88" t="s">
        <v>36</v>
      </c>
      <c r="D29" s="85">
        <v>25</v>
      </c>
      <c r="E29" s="88" t="s">
        <v>37</v>
      </c>
    </row>
    <row r="30" spans="2:6">
      <c r="B30" s="93"/>
      <c r="C30" s="93"/>
      <c r="D30" s="93"/>
      <c r="E30" s="93"/>
    </row>
    <row r="31" spans="2:6" ht="15.75">
      <c r="B31" s="111" t="s">
        <v>38</v>
      </c>
      <c r="C31" s="111" t="s">
        <v>2</v>
      </c>
      <c r="D31" s="111" t="s">
        <v>3</v>
      </c>
      <c r="E31" s="111" t="s">
        <v>4</v>
      </c>
    </row>
    <row r="32" spans="2:6">
      <c r="B32" s="88" t="s">
        <v>39</v>
      </c>
      <c r="C32" s="88" t="s">
        <v>40</v>
      </c>
      <c r="D32" s="106">
        <f>OutCap_Sel_DB!V4</f>
        <v>50</v>
      </c>
      <c r="E32" s="88" t="s">
        <v>21</v>
      </c>
      <c r="F32" s="2" t="str">
        <f>IF(D32="","No solution found, increase max height","")</f>
        <v/>
      </c>
    </row>
    <row r="33" spans="2:5">
      <c r="B33" s="88" t="s">
        <v>41</v>
      </c>
      <c r="C33" s="88" t="s">
        <v>42</v>
      </c>
      <c r="D33" s="106">
        <f>OutCap_Sel_DB!W4</f>
        <v>4700</v>
      </c>
      <c r="E33" s="88" t="s">
        <v>43</v>
      </c>
    </row>
    <row r="34" spans="2:5">
      <c r="B34" s="88" t="s">
        <v>44</v>
      </c>
      <c r="C34" s="88" t="s">
        <v>45</v>
      </c>
      <c r="D34" s="106">
        <f>OutCap_Sel_DB!Z4</f>
        <v>8.4656884623348583E-2</v>
      </c>
      <c r="E34" s="96" t="s">
        <v>46</v>
      </c>
    </row>
    <row r="35" spans="2:5">
      <c r="B35" s="88" t="s">
        <v>47</v>
      </c>
      <c r="C35" s="88" t="s">
        <v>48</v>
      </c>
      <c r="D35" s="106">
        <f>OutCap_Sel_DB!X4</f>
        <v>30</v>
      </c>
      <c r="E35" s="88" t="s">
        <v>37</v>
      </c>
    </row>
    <row r="36" spans="2:5">
      <c r="B36" s="88" t="s">
        <v>49</v>
      </c>
      <c r="C36" s="88" t="s">
        <v>36</v>
      </c>
      <c r="D36" s="106">
        <f>OutCap_Sel_DB!Y4</f>
        <v>25</v>
      </c>
      <c r="E36" s="88" t="s">
        <v>37</v>
      </c>
    </row>
    <row r="37" spans="2:5">
      <c r="B37" s="88" t="s">
        <v>50</v>
      </c>
      <c r="C37" s="88" t="s">
        <v>51</v>
      </c>
      <c r="D37" s="106">
        <f>OutCap_Sel_DB!AA4</f>
        <v>8</v>
      </c>
      <c r="E37" s="88" t="s">
        <v>52</v>
      </c>
    </row>
    <row r="38" spans="2:5" ht="17.25">
      <c r="B38" s="88" t="s">
        <v>53</v>
      </c>
      <c r="C38" s="88" t="s">
        <v>54</v>
      </c>
      <c r="D38" s="139">
        <f>OutCap_Sel_DB!U4</f>
        <v>141.37166941154069</v>
      </c>
      <c r="E38" s="88" t="s">
        <v>55</v>
      </c>
    </row>
    <row r="39" spans="2:5">
      <c r="B39" s="93"/>
      <c r="C39" s="93"/>
      <c r="D39" s="93"/>
      <c r="E39" s="93"/>
    </row>
    <row r="40" spans="2:5" ht="15.75">
      <c r="B40" s="111" t="s">
        <v>1</v>
      </c>
      <c r="C40" s="111" t="s">
        <v>2</v>
      </c>
      <c r="D40" s="111" t="s">
        <v>3</v>
      </c>
      <c r="E40" s="111" t="s">
        <v>4</v>
      </c>
    </row>
    <row r="41" spans="2:5">
      <c r="B41" s="88" t="s">
        <v>56</v>
      </c>
      <c r="C41" s="88" t="s">
        <v>57</v>
      </c>
      <c r="D41" s="85">
        <v>150</v>
      </c>
      <c r="E41" s="88" t="s">
        <v>58</v>
      </c>
    </row>
    <row r="42" spans="2:5">
      <c r="B42" s="88" t="s">
        <v>59</v>
      </c>
      <c r="C42" s="88" t="s">
        <v>60</v>
      </c>
      <c r="D42" s="85">
        <v>50</v>
      </c>
      <c r="E42" s="88" t="s">
        <v>58</v>
      </c>
    </row>
    <row r="43" spans="2:5">
      <c r="B43" s="88" t="s">
        <v>61</v>
      </c>
      <c r="C43" s="88" t="s">
        <v>62</v>
      </c>
      <c r="D43" s="88">
        <f>1.5*D41</f>
        <v>225</v>
      </c>
      <c r="E43" s="88" t="s">
        <v>58</v>
      </c>
    </row>
    <row r="44" spans="2:5">
      <c r="B44" s="93"/>
      <c r="C44" s="93"/>
      <c r="D44" s="93"/>
      <c r="E44" s="93"/>
    </row>
    <row r="45" spans="2:5" ht="15.75">
      <c r="B45" s="111" t="s">
        <v>1</v>
      </c>
      <c r="C45" s="111" t="s">
        <v>2</v>
      </c>
      <c r="D45" s="111" t="s">
        <v>3</v>
      </c>
      <c r="E45" s="111" t="s">
        <v>4</v>
      </c>
    </row>
    <row r="46" spans="2:5">
      <c r="B46" s="88" t="s">
        <v>63</v>
      </c>
      <c r="C46" s="88" t="s">
        <v>64</v>
      </c>
      <c r="D46" s="85">
        <v>800</v>
      </c>
      <c r="E46" s="88" t="s">
        <v>65</v>
      </c>
    </row>
    <row r="47" spans="2:5">
      <c r="B47" s="88" t="s">
        <v>66</v>
      </c>
      <c r="C47" s="88" t="s">
        <v>67</v>
      </c>
      <c r="D47" s="85">
        <v>220</v>
      </c>
      <c r="E47" s="88" t="s">
        <v>68</v>
      </c>
    </row>
    <row r="48" spans="2:5">
      <c r="B48" s="88" t="s">
        <v>69</v>
      </c>
      <c r="C48" s="88" t="s">
        <v>70</v>
      </c>
      <c r="D48" s="85">
        <v>2</v>
      </c>
      <c r="E48" s="88" t="s">
        <v>71</v>
      </c>
    </row>
    <row r="49" spans="2:13">
      <c r="B49" s="88" t="s">
        <v>72</v>
      </c>
      <c r="C49" s="88" t="s">
        <v>73</v>
      </c>
      <c r="D49" s="85">
        <v>0.15</v>
      </c>
      <c r="E49" s="96" t="s">
        <v>46</v>
      </c>
    </row>
    <row r="51" spans="2:13" ht="15.75">
      <c r="B51" s="111" t="s">
        <v>1</v>
      </c>
      <c r="C51" s="111" t="s">
        <v>2</v>
      </c>
      <c r="D51" s="111" t="s">
        <v>3</v>
      </c>
      <c r="E51" s="111" t="s">
        <v>4</v>
      </c>
    </row>
    <row r="52" spans="2:13">
      <c r="B52" s="88" t="s">
        <v>74</v>
      </c>
      <c r="C52" s="88" t="s">
        <v>75</v>
      </c>
      <c r="D52" s="85">
        <v>0.08</v>
      </c>
      <c r="E52" s="88" t="s">
        <v>21</v>
      </c>
    </row>
    <row r="53" spans="2:13">
      <c r="B53" s="106" t="s">
        <v>76</v>
      </c>
      <c r="C53" s="106" t="s">
        <v>77</v>
      </c>
      <c r="D53" s="85">
        <v>0.04</v>
      </c>
      <c r="E53" s="106" t="s">
        <v>46</v>
      </c>
    </row>
    <row r="55" spans="2:13" ht="18">
      <c r="B55" s="6" t="s">
        <v>78</v>
      </c>
    </row>
    <row r="56" spans="2:13" ht="3.6" customHeight="1">
      <c r="B56" s="6"/>
    </row>
    <row r="57" spans="2:13" ht="15.75">
      <c r="B57" s="111" t="s">
        <v>1</v>
      </c>
      <c r="C57" s="111" t="s">
        <v>2</v>
      </c>
      <c r="D57" s="111" t="s">
        <v>3</v>
      </c>
      <c r="E57" s="111" t="s">
        <v>4</v>
      </c>
    </row>
    <row r="58" spans="2:13">
      <c r="B58" s="88" t="s">
        <v>79</v>
      </c>
      <c r="C58" s="88" t="s">
        <v>80</v>
      </c>
      <c r="D58" s="85">
        <v>0</v>
      </c>
      <c r="E58" s="88" t="s">
        <v>21</v>
      </c>
    </row>
    <row r="59" spans="2:13">
      <c r="B59" s="88" t="s">
        <v>81</v>
      </c>
      <c r="C59" s="88" t="s">
        <v>10</v>
      </c>
      <c r="D59" s="85">
        <v>1</v>
      </c>
      <c r="E59" s="88" t="str">
        <f>"-"</f>
        <v>-</v>
      </c>
    </row>
    <row r="61" spans="2:13" ht="18">
      <c r="B61" s="125" t="s">
        <v>82</v>
      </c>
      <c r="C61" s="126"/>
      <c r="D61" s="126"/>
      <c r="E61" s="127"/>
      <c r="F61" s="125" t="s">
        <v>83</v>
      </c>
      <c r="G61" s="126"/>
      <c r="H61" s="126"/>
      <c r="I61" s="126"/>
      <c r="J61" s="126"/>
      <c r="K61" s="126"/>
      <c r="L61" s="126"/>
      <c r="M61" s="127"/>
    </row>
    <row r="62" spans="2:13">
      <c r="B62" s="19"/>
      <c r="E62" s="62"/>
      <c r="F62" s="19"/>
      <c r="M62" s="62"/>
    </row>
    <row r="63" spans="2:13">
      <c r="B63" s="19"/>
      <c r="E63" s="62"/>
      <c r="F63" s="19"/>
      <c r="M63" s="62"/>
    </row>
    <row r="64" spans="2:13">
      <c r="B64" s="19"/>
      <c r="E64" s="62"/>
      <c r="F64" s="19"/>
      <c r="M64" s="62"/>
    </row>
    <row r="65" spans="2:24">
      <c r="B65" s="19"/>
      <c r="E65" s="62"/>
      <c r="F65" s="19"/>
      <c r="M65" s="62"/>
    </row>
    <row r="66" spans="2:24">
      <c r="B66" s="19"/>
      <c r="E66" s="62"/>
      <c r="F66" s="19"/>
      <c r="M66" s="62"/>
    </row>
    <row r="67" spans="2:24">
      <c r="B67" s="19"/>
      <c r="E67" s="62"/>
      <c r="F67" s="19"/>
      <c r="M67" s="62"/>
    </row>
    <row r="68" spans="2:24">
      <c r="B68" s="19"/>
      <c r="E68" s="62"/>
      <c r="F68" s="19"/>
      <c r="M68" s="62"/>
    </row>
    <row r="69" spans="2:24">
      <c r="B69" s="19"/>
      <c r="E69" s="62"/>
      <c r="F69" s="19"/>
      <c r="M69" s="62"/>
    </row>
    <row r="70" spans="2:24">
      <c r="B70" s="19"/>
      <c r="E70" s="62"/>
      <c r="F70" s="19"/>
      <c r="M70" s="62"/>
    </row>
    <row r="71" spans="2:24">
      <c r="B71" s="19"/>
      <c r="E71" s="62"/>
      <c r="F71" s="19"/>
      <c r="M71" s="62"/>
    </row>
    <row r="72" spans="2:24">
      <c r="B72" s="19"/>
      <c r="E72" s="62"/>
      <c r="F72" s="19"/>
      <c r="M72" s="62"/>
    </row>
    <row r="73" spans="2:24">
      <c r="B73" s="19"/>
      <c r="E73" s="62"/>
      <c r="F73" s="19"/>
      <c r="M73" s="62"/>
    </row>
    <row r="74" spans="2:24">
      <c r="B74" s="63"/>
      <c r="C74" s="64"/>
      <c r="D74" s="64"/>
      <c r="E74" s="65"/>
      <c r="F74" s="63"/>
      <c r="G74" s="64"/>
      <c r="H74" s="64"/>
      <c r="I74" s="64"/>
      <c r="J74" s="64"/>
      <c r="K74" s="64"/>
      <c r="L74" s="64"/>
      <c r="M74" s="65"/>
    </row>
    <row r="75" spans="2:24" ht="15.75" thickBot="1"/>
    <row r="76" spans="2:24">
      <c r="B76" s="123" t="s">
        <v>84</v>
      </c>
      <c r="C76" s="124"/>
      <c r="D76" s="124"/>
      <c r="E76" s="124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</row>
    <row r="77" spans="2:24">
      <c r="B77" s="68" t="s">
        <v>1</v>
      </c>
      <c r="C77" s="69" t="s">
        <v>2</v>
      </c>
      <c r="D77" s="69" t="s">
        <v>3</v>
      </c>
      <c r="E77" s="69" t="s">
        <v>4</v>
      </c>
      <c r="H77" s="20"/>
      <c r="I77" s="20"/>
      <c r="X77" s="12"/>
    </row>
    <row r="78" spans="2:24">
      <c r="B78" s="70" t="s">
        <v>85</v>
      </c>
      <c r="C78" s="71" t="s">
        <v>6</v>
      </c>
      <c r="D78" s="71">
        <f>'Design Spec'!D13</f>
        <v>90</v>
      </c>
      <c r="E78" s="71" t="s">
        <v>7</v>
      </c>
      <c r="X78" s="12"/>
    </row>
    <row r="79" spans="2:24">
      <c r="B79" s="70" t="s">
        <v>8</v>
      </c>
      <c r="C79" s="71" t="s">
        <v>9</v>
      </c>
      <c r="D79" s="71">
        <f>IF(D80=0,'Design Spec'!D14,IF(D80=1,'Design Spec'!D14*2,IF(D80=2,'Design Spec'!D14,IF(D80=3,'Design Spec'!D14*2,'Design Spec'!D14))))</f>
        <v>264</v>
      </c>
      <c r="E79" s="71" t="s">
        <v>7</v>
      </c>
      <c r="X79" s="12"/>
    </row>
    <row r="80" spans="2:24">
      <c r="B80" s="70" t="str">
        <f>IF(D78&gt;(190/SQRT(2)),"Select high mains configuration (1 = FB, 2 = HB)",IF(AND(D78&lt;=(190/SQRT(2)),D79*SQRT(2)&gt;245),"Universal range configuration","Select low mains configuration (1 = FB, 2 = HB)"))</f>
        <v>Universal range configuration</v>
      </c>
      <c r="C80" s="71"/>
      <c r="D80" s="71">
        <f>IF(D78&lt;=(190/SQRT(2)),IF('Design Spec'!D14*SQRT(2)&gt;245,0,'Design Spec'!D15),'Design Spec'!D15+2)</f>
        <v>0</v>
      </c>
      <c r="E80" s="71"/>
      <c r="X80" s="12"/>
    </row>
    <row r="81" spans="2:24">
      <c r="B81" s="11"/>
      <c r="C81" s="20"/>
      <c r="D81" s="20"/>
      <c r="E81" s="20"/>
      <c r="I81" s="2">
        <v>0</v>
      </c>
      <c r="J81" s="2" t="s">
        <v>86</v>
      </c>
      <c r="X81" s="12"/>
    </row>
    <row r="82" spans="2:24">
      <c r="B82" s="68" t="s">
        <v>1</v>
      </c>
      <c r="C82" s="69" t="s">
        <v>2</v>
      </c>
      <c r="D82" s="69" t="s">
        <v>3</v>
      </c>
      <c r="E82" s="69" t="s">
        <v>4</v>
      </c>
      <c r="I82" s="2">
        <v>1</v>
      </c>
      <c r="J82" s="2" t="s">
        <v>87</v>
      </c>
      <c r="X82" s="12"/>
    </row>
    <row r="83" spans="2:24">
      <c r="B83" s="70" t="s">
        <v>17</v>
      </c>
      <c r="C83" s="71" t="s">
        <v>18</v>
      </c>
      <c r="D83" s="71">
        <f>IF(D80=0,'Design Spec'!F20,IF(D80=1,'Design Spec'!F20*2,IF(D80=2,'Design Spec'!F20,IF(D80=3,'Design Spec'!F20*2,'Design Spec'!F20))))</f>
        <v>173.24116140000001</v>
      </c>
      <c r="E83" s="71" t="s">
        <v>7</v>
      </c>
      <c r="I83" s="2">
        <v>2</v>
      </c>
      <c r="J83" s="2" t="s">
        <v>88</v>
      </c>
      <c r="X83" s="12"/>
    </row>
    <row r="84" spans="2:24">
      <c r="B84" s="11"/>
      <c r="I84" s="2">
        <v>3</v>
      </c>
      <c r="J84" s="2" t="s">
        <v>89</v>
      </c>
      <c r="X84" s="12"/>
    </row>
    <row r="85" spans="2:24">
      <c r="B85" s="68" t="s">
        <v>1</v>
      </c>
      <c r="C85" s="69" t="s">
        <v>2</v>
      </c>
      <c r="D85" s="69" t="s">
        <v>3</v>
      </c>
      <c r="E85" s="69" t="s">
        <v>4</v>
      </c>
      <c r="I85" s="2">
        <v>4</v>
      </c>
      <c r="J85" s="2" t="s">
        <v>90</v>
      </c>
      <c r="X85" s="12"/>
    </row>
    <row r="86" spans="2:24">
      <c r="B86" s="70" t="s">
        <v>91</v>
      </c>
      <c r="C86" s="71" t="s">
        <v>92</v>
      </c>
      <c r="D86" s="71">
        <v>225</v>
      </c>
      <c r="E86" s="71" t="s">
        <v>7</v>
      </c>
      <c r="X86" s="12"/>
    </row>
    <row r="87" spans="2:24">
      <c r="B87" s="70" t="s">
        <v>93</v>
      </c>
      <c r="C87" s="71" t="s">
        <v>94</v>
      </c>
      <c r="D87" s="71">
        <f>IF(D80=0,D86,IF(D80=1,D86,IF(D80=2,D86/2,IF(D80=3,D86*2,D86))))</f>
        <v>225</v>
      </c>
      <c r="E87" s="71" t="s">
        <v>7</v>
      </c>
      <c r="X87" s="12"/>
    </row>
    <row r="88" spans="2:24">
      <c r="B88" s="70" t="s">
        <v>95</v>
      </c>
      <c r="C88" s="71"/>
      <c r="D88" s="72">
        <v>5</v>
      </c>
      <c r="E88" s="71" t="s">
        <v>26</v>
      </c>
      <c r="X88" s="12"/>
    </row>
    <row r="89" spans="2:24">
      <c r="B89" s="70" t="s">
        <v>96</v>
      </c>
      <c r="C89" s="71" t="s">
        <v>97</v>
      </c>
      <c r="D89" s="71">
        <f>D87*(1-D88/100)</f>
        <v>213.75</v>
      </c>
      <c r="E89" s="71" t="s">
        <v>7</v>
      </c>
      <c r="X89" s="12"/>
    </row>
    <row r="90" spans="2:24">
      <c r="B90" s="70" t="s">
        <v>11</v>
      </c>
      <c r="C90" s="71" t="s">
        <v>12</v>
      </c>
      <c r="D90" s="71">
        <f>'Design Spec'!D16</f>
        <v>50</v>
      </c>
      <c r="E90" s="71" t="s">
        <v>13</v>
      </c>
      <c r="X90" s="12"/>
    </row>
    <row r="91" spans="2:24">
      <c r="B91" s="70" t="s">
        <v>14</v>
      </c>
      <c r="C91" s="71" t="s">
        <v>15</v>
      </c>
      <c r="D91" s="71">
        <f>'Design Spec'!D17</f>
        <v>47</v>
      </c>
      <c r="E91" s="71" t="s">
        <v>13</v>
      </c>
      <c r="X91" s="12"/>
    </row>
    <row r="92" spans="2:24">
      <c r="B92" s="70" t="s">
        <v>98</v>
      </c>
      <c r="C92" s="71" t="s">
        <v>36</v>
      </c>
      <c r="D92" s="71">
        <f>D29</f>
        <v>25</v>
      </c>
      <c r="E92" s="71" t="s">
        <v>37</v>
      </c>
      <c r="X92" s="12"/>
    </row>
    <row r="93" spans="2:24">
      <c r="B93" s="11"/>
      <c r="C93" s="20"/>
      <c r="D93" s="20"/>
      <c r="E93" s="20"/>
      <c r="X93" s="12"/>
    </row>
    <row r="94" spans="2:24">
      <c r="B94" s="68" t="s">
        <v>1</v>
      </c>
      <c r="C94" s="69" t="s">
        <v>2</v>
      </c>
      <c r="D94" s="69" t="s">
        <v>3</v>
      </c>
      <c r="E94" s="69" t="s">
        <v>4</v>
      </c>
      <c r="X94" s="12"/>
    </row>
    <row r="95" spans="2:24">
      <c r="B95" s="70" t="s">
        <v>19</v>
      </c>
      <c r="C95" s="71" t="s">
        <v>20</v>
      </c>
      <c r="D95" s="71">
        <f>'Design Spec'!D23</f>
        <v>25</v>
      </c>
      <c r="E95" s="71" t="s">
        <v>21</v>
      </c>
      <c r="X95" s="12"/>
    </row>
    <row r="96" spans="2:24">
      <c r="B96" s="70" t="str">
        <f>'Design Spec'!B24</f>
        <v>Minimum admitted voltage (for hold up req)</v>
      </c>
      <c r="C96" s="71" t="str">
        <f>'Design Spec'!C24</f>
        <v>Vo_min_adm</v>
      </c>
      <c r="D96" s="71">
        <f>'Design Spec'!D24</f>
        <v>16</v>
      </c>
      <c r="E96" s="71" t="str">
        <f>'Design Spec'!E24</f>
        <v>V</v>
      </c>
      <c r="X96" s="12"/>
    </row>
    <row r="97" spans="2:24">
      <c r="B97" s="70" t="s">
        <v>99</v>
      </c>
      <c r="C97" s="71" t="s">
        <v>100</v>
      </c>
      <c r="D97" s="71">
        <f>'Design Spec'!D25</f>
        <v>10</v>
      </c>
      <c r="E97" s="71" t="s">
        <v>26</v>
      </c>
      <c r="X97" s="12"/>
    </row>
    <row r="98" spans="2:24">
      <c r="B98" s="70" t="s">
        <v>30</v>
      </c>
      <c r="C98" s="71" t="s">
        <v>31</v>
      </c>
      <c r="D98" s="71">
        <f>'Design Spec'!D27</f>
        <v>657.5</v>
      </c>
      <c r="E98" s="71" t="s">
        <v>32</v>
      </c>
      <c r="X98" s="12"/>
    </row>
    <row r="99" spans="2:24">
      <c r="B99" s="70" t="s">
        <v>33</v>
      </c>
      <c r="C99" s="73" t="s">
        <v>34</v>
      </c>
      <c r="D99" s="71">
        <f>'Design Spec'!D28</f>
        <v>98</v>
      </c>
      <c r="E99" s="71" t="s">
        <v>26</v>
      </c>
      <c r="X99" s="12"/>
    </row>
    <row r="100" spans="2:24">
      <c r="B100" s="70"/>
      <c r="C100" s="73"/>
      <c r="D100" s="71"/>
      <c r="E100" s="71"/>
      <c r="X100" s="12"/>
    </row>
    <row r="101" spans="2:24">
      <c r="B101" s="74"/>
      <c r="C101" s="67"/>
      <c r="D101" s="3"/>
      <c r="E101" s="3"/>
      <c r="X101" s="12"/>
    </row>
    <row r="102" spans="2:24">
      <c r="B102" s="70" t="s">
        <v>56</v>
      </c>
      <c r="C102" s="71" t="s">
        <v>57</v>
      </c>
      <c r="D102" s="71">
        <f>'Design Spec'!D41</f>
        <v>150</v>
      </c>
      <c r="E102" s="71" t="s">
        <v>58</v>
      </c>
      <c r="X102" s="12"/>
    </row>
    <row r="103" spans="2:24">
      <c r="B103" s="70" t="s">
        <v>59</v>
      </c>
      <c r="C103" s="71" t="s">
        <v>60</v>
      </c>
      <c r="D103" s="71">
        <f>'Design Spec'!D42</f>
        <v>50</v>
      </c>
      <c r="E103" s="71" t="s">
        <v>58</v>
      </c>
    </row>
    <row r="104" spans="2:24">
      <c r="B104" s="70" t="s">
        <v>101</v>
      </c>
      <c r="C104" s="71" t="s">
        <v>62</v>
      </c>
      <c r="D104" s="71">
        <f>'Design Spec'!D43</f>
        <v>225</v>
      </c>
      <c r="E104" s="71" t="s">
        <v>58</v>
      </c>
      <c r="X104" s="12"/>
    </row>
    <row r="105" spans="2:24">
      <c r="B105" s="74"/>
      <c r="C105" s="3"/>
      <c r="D105" s="3"/>
      <c r="E105" s="3"/>
      <c r="X105" s="12"/>
    </row>
    <row r="106" spans="2:24">
      <c r="B106" s="70" t="s">
        <v>79</v>
      </c>
      <c r="C106" s="71" t="s">
        <v>80</v>
      </c>
      <c r="D106" s="71">
        <f>'Design Spec'!D58</f>
        <v>0</v>
      </c>
      <c r="E106" s="71" t="s">
        <v>21</v>
      </c>
      <c r="X106" s="12"/>
    </row>
    <row r="107" spans="2:24">
      <c r="B107" s="70" t="s">
        <v>81</v>
      </c>
      <c r="C107" s="71"/>
      <c r="D107" s="71">
        <f>'Design Spec'!D59</f>
        <v>1</v>
      </c>
      <c r="E107" s="71"/>
      <c r="X107" s="12"/>
    </row>
    <row r="108" spans="2:24">
      <c r="B108" s="70" t="s">
        <v>74</v>
      </c>
      <c r="C108" s="71" t="s">
        <v>75</v>
      </c>
      <c r="D108" s="71">
        <f>'Design Spec'!D52</f>
        <v>0.08</v>
      </c>
      <c r="E108" s="71" t="s">
        <v>21</v>
      </c>
      <c r="X108" s="12"/>
    </row>
    <row r="109" spans="2:24">
      <c r="B109" s="70" t="str">
        <f>'Design Spec'!B53</f>
        <v>Dynamic Resistance (1 diode)</v>
      </c>
      <c r="C109" s="71" t="str">
        <f>'Design Spec'!C53</f>
        <v>Rd</v>
      </c>
      <c r="D109" s="71">
        <f>'Design Spec'!D53</f>
        <v>0.04</v>
      </c>
      <c r="E109" s="71" t="str">
        <f>'Design Spec'!E53</f>
        <v>Ω</v>
      </c>
      <c r="X109" s="12"/>
    </row>
    <row r="110" spans="2:24">
      <c r="B110" s="74"/>
      <c r="C110" s="3"/>
      <c r="D110" s="3"/>
      <c r="E110" s="3"/>
      <c r="X110" s="12"/>
    </row>
    <row r="111" spans="2:24">
      <c r="B111" s="70" t="s">
        <v>102</v>
      </c>
      <c r="C111" s="71" t="s">
        <v>64</v>
      </c>
      <c r="D111" s="71">
        <f>'Design Spec'!D46</f>
        <v>800</v>
      </c>
      <c r="E111" s="71" t="s">
        <v>65</v>
      </c>
      <c r="X111" s="12"/>
    </row>
    <row r="112" spans="2:24">
      <c r="B112" s="70" t="s">
        <v>66</v>
      </c>
      <c r="C112" s="71" t="s">
        <v>67</v>
      </c>
      <c r="D112" s="71">
        <f>'Design Spec'!D47</f>
        <v>220</v>
      </c>
      <c r="E112" s="71" t="s">
        <v>68</v>
      </c>
      <c r="X112" s="12"/>
    </row>
    <row r="113" spans="2:24">
      <c r="B113" s="70" t="s">
        <v>103</v>
      </c>
      <c r="C113" s="71" t="s">
        <v>70</v>
      </c>
      <c r="D113" s="71">
        <f>'Design Spec'!D48</f>
        <v>2</v>
      </c>
      <c r="E113" s="71" t="s">
        <v>71</v>
      </c>
      <c r="X113" s="12"/>
    </row>
    <row r="114" spans="2:24">
      <c r="B114" s="70" t="s">
        <v>72</v>
      </c>
      <c r="C114" s="71" t="s">
        <v>73</v>
      </c>
      <c r="D114" s="71">
        <f>'Design Spec'!D49</f>
        <v>0.15</v>
      </c>
      <c r="E114" s="73" t="s">
        <v>46</v>
      </c>
      <c r="X114" s="12"/>
    </row>
    <row r="115" spans="2:24" ht="15.75" thickBot="1">
      <c r="B115" s="13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5"/>
    </row>
  </sheetData>
  <conditionalFormatting sqref="C15:E15">
    <cfRule type="expression" dxfId="16" priority="1">
      <formula>IF($B$15="Selected configuration: universal mains range", TRUE,FALSE)</formula>
    </cfRule>
  </conditionalFormatting>
  <conditionalFormatting sqref="D15">
    <cfRule type="cellIs" dxfId="15" priority="3" operator="notBetween">
      <formula>1</formula>
      <formula>2</formula>
    </cfRule>
  </conditionalFormatting>
  <conditionalFormatting sqref="D59">
    <cfRule type="cellIs" dxfId="14" priority="2" operator="notBetween">
      <formula>1</formula>
      <formula>2</formula>
    </cfRule>
  </conditionalFormatting>
  <pageMargins left="0.7" right="0.7" top="0.75" bottom="0.75" header="0.3" footer="0.3"/>
  <pageSetup paperSize="9" orientation="portrait" r:id="rId1"/>
  <customProperties>
    <customPr name="Ibp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F9089-02E3-4035-9522-511C13EFC1E6}">
  <sheetPr>
    <tabColor rgb="FF00B0F0"/>
  </sheetPr>
  <dimension ref="B4:E20"/>
  <sheetViews>
    <sheetView zoomScaleNormal="100" workbookViewId="0">
      <selection activeCell="L17" sqref="L17"/>
    </sheetView>
  </sheetViews>
  <sheetFormatPr defaultColWidth="8.7109375" defaultRowHeight="15"/>
  <cols>
    <col min="1" max="1" width="8.7109375" style="2"/>
    <col min="2" max="2" width="37.5703125" style="2" bestFit="1" customWidth="1"/>
    <col min="3" max="3" width="9.85546875" style="2" bestFit="1" customWidth="1"/>
    <col min="4" max="4" width="8.42578125" style="2" bestFit="1" customWidth="1"/>
    <col min="5" max="16384" width="8.7109375" style="2"/>
  </cols>
  <sheetData>
    <row r="4" spans="2:5" ht="18">
      <c r="B4" s="6" t="s">
        <v>104</v>
      </c>
    </row>
    <row r="5" spans="2:5" ht="6" customHeight="1"/>
    <row r="6" spans="2:5" ht="15.75">
      <c r="B6" s="111" t="s">
        <v>1</v>
      </c>
      <c r="C6" s="111" t="s">
        <v>2</v>
      </c>
      <c r="D6" s="111" t="s">
        <v>3</v>
      </c>
      <c r="E6" s="111" t="s">
        <v>4</v>
      </c>
    </row>
    <row r="7" spans="2:5">
      <c r="B7" s="88" t="s">
        <v>105</v>
      </c>
      <c r="C7" s="88" t="s">
        <v>106</v>
      </c>
      <c r="D7" s="92">
        <f>'Design Spec'!D98/'Design Spec'!D95</f>
        <v>26.3</v>
      </c>
      <c r="E7" s="88" t="s">
        <v>107</v>
      </c>
    </row>
    <row r="8" spans="2:5">
      <c r="B8" s="88" t="s">
        <v>108</v>
      </c>
      <c r="C8" s="88" t="s">
        <v>109</v>
      </c>
      <c r="D8" s="92">
        <f>'Design Spec'!D95/('Design Spec'!D95+'Design Spec'!D106*'Design Spec'!D107)*100</f>
        <v>100</v>
      </c>
      <c r="E8" s="88" t="s">
        <v>26</v>
      </c>
    </row>
    <row r="9" spans="2:5">
      <c r="B9" s="88" t="s">
        <v>110</v>
      </c>
      <c r="C9" s="88" t="s">
        <v>111</v>
      </c>
      <c r="D9" s="92">
        <f>'Design Spec'!D98/'Preliminary Calculation'!D8*100</f>
        <v>657.5</v>
      </c>
      <c r="E9" s="88" t="s">
        <v>32</v>
      </c>
    </row>
    <row r="10" spans="2:5">
      <c r="B10" s="88" t="s">
        <v>112</v>
      </c>
      <c r="C10" s="88" t="s">
        <v>113</v>
      </c>
      <c r="D10" s="92">
        <f>'Design Spec'!D98/('Preliminary Calculation'!D8/100*'Design Spec'!D99/100)</f>
        <v>670.91836734693879</v>
      </c>
      <c r="E10" s="88" t="s">
        <v>32</v>
      </c>
    </row>
    <row r="11" spans="2:5">
      <c r="B11" s="88" t="s">
        <v>114</v>
      </c>
      <c r="C11" s="88" t="s">
        <v>115</v>
      </c>
      <c r="D11" s="92">
        <f>D10/'Design Spec'!D78</f>
        <v>7.454648526077098</v>
      </c>
      <c r="E11" s="88" t="s">
        <v>107</v>
      </c>
    </row>
    <row r="12" spans="2:5">
      <c r="B12" s="88" t="s">
        <v>116</v>
      </c>
      <c r="C12" s="88" t="s">
        <v>117</v>
      </c>
      <c r="D12" s="107">
        <f>('Design Spec'!D98)*((1-'Preliminary Calculation'!D8/100)/('Preliminary Calculation'!D8/100))</f>
        <v>0</v>
      </c>
      <c r="E12" s="88" t="s">
        <v>32</v>
      </c>
    </row>
    <row r="13" spans="2:5">
      <c r="B13" s="88" t="s">
        <v>118</v>
      </c>
      <c r="C13" s="88" t="s">
        <v>119</v>
      </c>
      <c r="D13" s="108">
        <f>(D9)*((1-('Design Spec'!D99/100))/('Design Spec'!D99/100))</f>
        <v>13.418367346938789</v>
      </c>
      <c r="E13" s="88" t="s">
        <v>32</v>
      </c>
    </row>
    <row r="14" spans="2:5">
      <c r="B14" s="88" t="s">
        <v>120</v>
      </c>
      <c r="C14" s="88" t="s">
        <v>121</v>
      </c>
      <c r="D14" s="109">
        <f>2*((D11*SQRT(2))*2/PI()*'Design Spec'!D108)+2*('Design Spec'!D109*(D11^2))</f>
        <v>5.5195894436664732</v>
      </c>
      <c r="E14" s="88" t="s">
        <v>32</v>
      </c>
    </row>
    <row r="15" spans="2:5">
      <c r="B15" s="88" t="s">
        <v>122</v>
      </c>
      <c r="C15" s="88" t="s">
        <v>123</v>
      </c>
      <c r="D15" s="110">
        <f>'Design Spec'!D114*D11^2</f>
        <v>8.3357676971015167</v>
      </c>
      <c r="E15" s="88" t="s">
        <v>32</v>
      </c>
    </row>
    <row r="16" spans="2:5">
      <c r="B16" s="100" t="s">
        <v>124</v>
      </c>
      <c r="C16" s="100" t="s">
        <v>125</v>
      </c>
      <c r="D16" s="101">
        <f>D15+D14+D13+D12</f>
        <v>27.273724487706779</v>
      </c>
      <c r="E16" s="100" t="s">
        <v>32</v>
      </c>
    </row>
    <row r="17" spans="2:5">
      <c r="B17" s="100" t="s">
        <v>126</v>
      </c>
      <c r="C17" s="100" t="s">
        <v>127</v>
      </c>
      <c r="D17" s="101">
        <f>('Design Spec'!D98)/('Design Spec'!D98+('Preliminary Calculation'!D13+'Preliminary Calculation'!D12))*100</f>
        <v>98</v>
      </c>
      <c r="E17" s="100" t="s">
        <v>26</v>
      </c>
    </row>
    <row r="18" spans="2:5">
      <c r="B18" s="88" t="s">
        <v>128</v>
      </c>
      <c r="C18" s="88" t="s">
        <v>129</v>
      </c>
      <c r="D18" s="92">
        <f>D10/(D10+(D15+D14))*100</f>
        <v>97.976651754397636</v>
      </c>
      <c r="E18" s="88" t="s">
        <v>26</v>
      </c>
    </row>
    <row r="19" spans="2:5">
      <c r="B19" s="88" t="s">
        <v>130</v>
      </c>
      <c r="C19" s="88" t="s">
        <v>131</v>
      </c>
      <c r="D19" s="92">
        <f>D17*D18/100</f>
        <v>96.017118719309693</v>
      </c>
      <c r="E19" s="88" t="s">
        <v>26</v>
      </c>
    </row>
    <row r="20" spans="2:5">
      <c r="B20" s="88" t="s">
        <v>132</v>
      </c>
      <c r="C20" s="88" t="s">
        <v>133</v>
      </c>
      <c r="D20" s="92">
        <f>'Design Spec'!D98/D19*100</f>
        <v>684.77372448770666</v>
      </c>
      <c r="E20" s="88" t="s">
        <v>32</v>
      </c>
    </row>
  </sheetData>
  <pageMargins left="0.7" right="0.7" top="0.75" bottom="0.75" header="0.3" footer="0.3"/>
  <customProperties>
    <customPr name="IbpWorksheetKeyString_GUID" r:id="rId1"/>
  </customPropertie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A6716-15C1-46E3-A07A-8B289B5B6602}">
  <sheetPr>
    <tabColor rgb="FF00B0F0"/>
  </sheetPr>
  <dimension ref="B4:G68"/>
  <sheetViews>
    <sheetView topLeftCell="A30" zoomScale="130" zoomScaleNormal="130" workbookViewId="0">
      <selection activeCell="F47" sqref="F47"/>
    </sheetView>
  </sheetViews>
  <sheetFormatPr defaultColWidth="8.7109375" defaultRowHeight="14.25"/>
  <cols>
    <col min="1" max="1" width="8.7109375" style="21"/>
    <col min="2" max="2" width="42.42578125" style="21" bestFit="1" customWidth="1"/>
    <col min="3" max="3" width="24.140625" style="21" customWidth="1"/>
    <col min="4" max="4" width="11.85546875" style="21" bestFit="1" customWidth="1"/>
    <col min="5" max="5" width="12.5703125" style="21" customWidth="1"/>
    <col min="6" max="6" width="18.5703125" style="21" customWidth="1"/>
    <col min="7" max="7" width="14.42578125" style="21" bestFit="1" customWidth="1"/>
    <col min="8" max="16384" width="8.7109375" style="21"/>
  </cols>
  <sheetData>
    <row r="4" spans="2:7" ht="18">
      <c r="B4" s="6" t="s">
        <v>134</v>
      </c>
    </row>
    <row r="6" spans="2:7" ht="18">
      <c r="B6" s="6" t="s">
        <v>135</v>
      </c>
      <c r="C6" s="66"/>
    </row>
    <row r="7" spans="2:7" ht="5.45" customHeight="1">
      <c r="B7" s="66"/>
      <c r="C7" s="66"/>
    </row>
    <row r="8" spans="2:7" ht="15.75">
      <c r="B8" s="111" t="s">
        <v>1</v>
      </c>
      <c r="C8" s="111" t="s">
        <v>2</v>
      </c>
      <c r="D8" s="111" t="s">
        <v>3</v>
      </c>
      <c r="E8" s="111" t="s">
        <v>4</v>
      </c>
      <c r="F8" s="111" t="s">
        <v>136</v>
      </c>
    </row>
    <row r="9" spans="2:7">
      <c r="B9" s="88" t="s">
        <v>137</v>
      </c>
      <c r="C9" s="88" t="s">
        <v>138</v>
      </c>
      <c r="D9" s="86">
        <f>(SQRT(2)*'Design Spec'!D89)/(2*(('Design Spec'!D95+'Design Spec'!D107*'Design Spec'!D106)/'Design Spec'!D107))</f>
        <v>6.045762979144981</v>
      </c>
      <c r="E9" s="88" t="str">
        <f>"-"</f>
        <v>-</v>
      </c>
      <c r="F9" s="85">
        <v>7.4527000000000001</v>
      </c>
      <c r="G9" s="190"/>
    </row>
    <row r="10" spans="2:7">
      <c r="B10" s="88" t="s">
        <v>139</v>
      </c>
      <c r="C10" s="88" t="s">
        <v>140</v>
      </c>
      <c r="D10" s="86">
        <f>2*IF(F9,F9,D9)*(('Design Spec'!D95+'Design Spec'!D107*'Design Spec'!D106)/'Design Spec'!D107)/(SQRT(2)*'Design Spec'!D83)</f>
        <v>1.5209591835918568</v>
      </c>
      <c r="E10" s="88" t="str">
        <f t="shared" ref="E10:E16" si="0">"-"</f>
        <v>-</v>
      </c>
      <c r="F10" s="88"/>
    </row>
    <row r="11" spans="2:7">
      <c r="B11" s="88" t="s">
        <v>141</v>
      </c>
      <c r="C11" s="88" t="s">
        <v>142</v>
      </c>
      <c r="D11" s="86">
        <f>2*IF(F9,F9,D9)*(('Design Spec'!D95+'Design Spec'!D107*'Design Spec'!D106)/'Design Spec'!D107)/(SQRT(2)*'Design Spec'!D79)</f>
        <v>0.99807854321003453</v>
      </c>
      <c r="E11" s="88" t="str">
        <f t="shared" si="0"/>
        <v>-</v>
      </c>
      <c r="F11" s="88"/>
    </row>
    <row r="12" spans="2:7">
      <c r="B12" s="88" t="s">
        <v>143</v>
      </c>
      <c r="C12" s="88" t="s">
        <v>144</v>
      </c>
      <c r="D12" s="86">
        <f>(1/(D11))-1</f>
        <v>1.9251558938293556E-3</v>
      </c>
      <c r="E12" s="88" t="str">
        <f t="shared" si="0"/>
        <v>-</v>
      </c>
      <c r="F12" s="88"/>
    </row>
    <row r="13" spans="2:7">
      <c r="B13" s="88" t="s">
        <v>145</v>
      </c>
      <c r="C13" s="88" t="s">
        <v>146</v>
      </c>
      <c r="D13" s="86">
        <f>D12/(1-('Design Spec'!D102/'Design Spec'!D104)^2)</f>
        <v>3.4652806088928401E-3</v>
      </c>
      <c r="E13" s="88" t="str">
        <f t="shared" si="0"/>
        <v>-</v>
      </c>
      <c r="F13" s="88"/>
    </row>
    <row r="14" spans="2:7" ht="13.5" customHeight="1">
      <c r="B14" s="88" t="s">
        <v>147</v>
      </c>
      <c r="C14" s="88" t="s">
        <v>148</v>
      </c>
      <c r="D14" s="86">
        <f>D12/(1-(((PI()^2)/8)*('Design Spec'!D102/'Design Spec'!D104)^2))</f>
        <v>4.2621303806633206E-3</v>
      </c>
      <c r="E14" s="88" t="str">
        <f t="shared" si="0"/>
        <v>-</v>
      </c>
      <c r="F14" s="88"/>
    </row>
    <row r="15" spans="2:7" ht="13.5" customHeight="1">
      <c r="B15" s="88" t="s">
        <v>149</v>
      </c>
      <c r="C15" s="88" t="s">
        <v>150</v>
      </c>
      <c r="D15" s="86">
        <f>(('Design Spec'!$D$103/'Design Spec'!$D$102)^2)/(1-('Design Spec'!$D$103/'Design Spec'!$D$102)^2)</f>
        <v>0.125</v>
      </c>
      <c r="E15" s="88" t="s">
        <v>52</v>
      </c>
      <c r="F15" s="88"/>
    </row>
    <row r="16" spans="2:7" hidden="1">
      <c r="B16" s="89" t="s">
        <v>151</v>
      </c>
      <c r="C16" s="89" t="s">
        <v>152</v>
      </c>
      <c r="D16" s="87">
        <f>MAX(D12,D13,D14,D15)</f>
        <v>0.125</v>
      </c>
      <c r="E16" s="89" t="str">
        <f t="shared" si="0"/>
        <v>-</v>
      </c>
      <c r="F16" s="142" t="s">
        <v>153</v>
      </c>
    </row>
    <row r="17" spans="2:6" ht="14.25" customHeight="1">
      <c r="B17" s="88" t="s">
        <v>154</v>
      </c>
      <c r="C17" s="88" t="s">
        <v>155</v>
      </c>
      <c r="D17" s="86">
        <f>((IF(F9,F9,D9))^2)*(4/((PI())^2))*(((('Design Spec'!D95+'Design Spec'!D107*'Design Spec'!D106)/'Design Spec'!D107)^2)/('Preliminary Calculation'!D10))</f>
        <v>20.969972499083834</v>
      </c>
      <c r="E17" s="88" t="s">
        <v>46</v>
      </c>
      <c r="F17" s="88"/>
    </row>
    <row r="18" spans="2:6" ht="14.25" customHeight="1">
      <c r="B18" s="88" t="s">
        <v>156</v>
      </c>
      <c r="C18" s="88" t="s">
        <v>157</v>
      </c>
      <c r="D18" s="86">
        <f>IF(D10&gt;1,(D16/D10)*SQRT((1/D16)+((D10^2)/((D10^2)-1))),NA())</f>
        <v>0.25677290545920001</v>
      </c>
      <c r="E18" s="88" t="str">
        <f>"-"</f>
        <v>-</v>
      </c>
      <c r="F18" s="88"/>
    </row>
    <row r="19" spans="2:6" ht="13.5" customHeight="1">
      <c r="B19" s="88" t="s">
        <v>158</v>
      </c>
      <c r="C19" s="88" t="s">
        <v>159</v>
      </c>
      <c r="D19" s="86">
        <f>(2/PI())*(D16)*(('Design Spec'!D112*(10^-9))/(D17*'Design Spec'!D111*(10^-12)))</f>
        <v>1.0435781294463646</v>
      </c>
      <c r="E19" s="88" t="str">
        <f>"-"</f>
        <v>-</v>
      </c>
      <c r="F19" s="88"/>
    </row>
    <row r="20" spans="2:6" hidden="1">
      <c r="B20" s="89" t="s">
        <v>158</v>
      </c>
      <c r="C20" s="89" t="s">
        <v>160</v>
      </c>
      <c r="D20" s="87">
        <f>((SQRT((D16*(1+D16))))/(2*IF(F9,F9,D9)))*((SQRT(2)*'Design Spec'!D83)/((('Design Spec'!D95+'Design Spec'!D107*'Design Spec'!D106)/'Design Spec'!D107)))</f>
        <v>0.24655493983369753</v>
      </c>
      <c r="E20" s="89" t="str">
        <f>"-"</f>
        <v>-</v>
      </c>
      <c r="F20" s="89" t="s">
        <v>161</v>
      </c>
    </row>
    <row r="21" spans="2:6">
      <c r="D21" s="76"/>
    </row>
    <row r="22" spans="2:6" ht="18">
      <c r="B22" s="6" t="s">
        <v>162</v>
      </c>
      <c r="D22" s="76"/>
    </row>
    <row r="23" spans="2:6" ht="3.95" customHeight="1">
      <c r="D23" s="76"/>
    </row>
    <row r="24" spans="2:6" ht="15.75">
      <c r="B24" s="111" t="s">
        <v>1</v>
      </c>
      <c r="C24" s="111" t="s">
        <v>2</v>
      </c>
      <c r="D24" s="111" t="s">
        <v>3</v>
      </c>
      <c r="E24" s="111" t="s">
        <v>4</v>
      </c>
    </row>
    <row r="25" spans="2:6">
      <c r="B25" s="88" t="s">
        <v>163</v>
      </c>
      <c r="C25" s="88" t="s">
        <v>164</v>
      </c>
      <c r="D25" s="91">
        <v>15</v>
      </c>
      <c r="E25" s="88" t="s">
        <v>26</v>
      </c>
    </row>
    <row r="26" spans="2:6">
      <c r="B26" s="88" t="s">
        <v>165</v>
      </c>
      <c r="C26" s="88" t="s">
        <v>166</v>
      </c>
      <c r="D26" s="86">
        <f>1/(1+(D25/100))*MIN(D18:D19)</f>
        <v>0.22328078735582613</v>
      </c>
      <c r="E26" s="88" t="str">
        <f>"-"</f>
        <v>-</v>
      </c>
    </row>
    <row r="27" spans="2:6">
      <c r="B27" s="88" t="s">
        <v>167</v>
      </c>
      <c r="C27" s="88" t="s">
        <v>168</v>
      </c>
      <c r="D27" s="86">
        <f>D17*D26</f>
        <v>4.6821919704254595</v>
      </c>
      <c r="E27" s="88" t="s">
        <v>46</v>
      </c>
    </row>
    <row r="28" spans="2:6">
      <c r="B28" s="88" t="s">
        <v>169</v>
      </c>
      <c r="C28" s="88" t="s">
        <v>170</v>
      </c>
      <c r="D28" s="86">
        <f>1/SQRT((1)+((1/D16)*(1-(1/(D10^(1+(D26/D18)^5))))))</f>
        <v>0.45980046062416402</v>
      </c>
      <c r="E28" s="88" t="str">
        <f>"-"</f>
        <v>-</v>
      </c>
    </row>
    <row r="29" spans="2:6">
      <c r="B29" s="88" t="s">
        <v>171</v>
      </c>
      <c r="C29" s="88" t="s">
        <v>172</v>
      </c>
      <c r="D29" s="86">
        <f>ATAN(((((D16^2)+(D16)+(((D28^2)-1)*(D26^2)))*(D28^2))-(D16^2))/(D26*(D28)^3))</f>
        <v>0.26084993987346822</v>
      </c>
      <c r="E29" s="88" t="str">
        <f>"-"</f>
        <v>-</v>
      </c>
    </row>
    <row r="30" spans="2:6">
      <c r="B30" s="88" t="s">
        <v>173</v>
      </c>
      <c r="C30" s="88" t="s">
        <v>174</v>
      </c>
      <c r="D30" s="92">
        <f>(D29)/(2*PI()*D28*'Design Spec'!D102)*1000000</f>
        <v>601.93585248885495</v>
      </c>
      <c r="E30" s="88" t="s">
        <v>68</v>
      </c>
    </row>
    <row r="31" spans="2:6">
      <c r="B31" s="88" t="s">
        <v>175</v>
      </c>
      <c r="C31" s="88" t="s">
        <v>176</v>
      </c>
      <c r="D31" s="92">
        <f>'Design Spec'!D112</f>
        <v>220</v>
      </c>
      <c r="E31" s="88" t="s">
        <v>68</v>
      </c>
    </row>
    <row r="32" spans="2:6" ht="15" customHeight="1">
      <c r="B32" s="88" t="s">
        <v>177</v>
      </c>
      <c r="C32" s="194" t="str">
        <f>IF(D30&gt;D31,"Yes","No, increase ZVS margin")</f>
        <v>Yes</v>
      </c>
      <c r="D32" s="195"/>
      <c r="E32" s="196"/>
    </row>
    <row r="33" spans="2:6">
      <c r="D33" s="76"/>
    </row>
    <row r="34" spans="2:6" ht="15.75">
      <c r="B34" s="111" t="s">
        <v>1</v>
      </c>
      <c r="C34" s="111" t="s">
        <v>2</v>
      </c>
      <c r="D34" s="111" t="s">
        <v>3</v>
      </c>
      <c r="E34" s="111" t="s">
        <v>4</v>
      </c>
    </row>
    <row r="35" spans="2:6">
      <c r="B35" s="88" t="s">
        <v>178</v>
      </c>
      <c r="C35" s="88" t="s">
        <v>179</v>
      </c>
      <c r="D35" s="92">
        <f>(PI()*'Design Spec'!D98)/(SQRT(2)*('Preliminary Calculation'!D17/100)*'Design Spec'!D83*COS('Res. Tank Design'!D29))</f>
        <v>8.9042924472824971</v>
      </c>
      <c r="E35" s="88" t="s">
        <v>107</v>
      </c>
    </row>
    <row r="36" spans="2:6">
      <c r="B36" s="88" t="s">
        <v>180</v>
      </c>
      <c r="C36" s="88" t="s">
        <v>181</v>
      </c>
      <c r="D36" s="92">
        <f>D35*SIN(D29)</f>
        <v>2.296433337594217</v>
      </c>
      <c r="E36" s="88" t="s">
        <v>107</v>
      </c>
    </row>
    <row r="37" spans="2:6">
      <c r="B37" s="88" t="s">
        <v>182</v>
      </c>
      <c r="C37" s="88" t="s">
        <v>183</v>
      </c>
      <c r="D37" s="92">
        <f>'Design Spec'!D111*(10^-12)*(SQRT(2)*'Design Spec'!D83/'Res. Tank Design'!D36)*10^9</f>
        <v>85.349745103356682</v>
      </c>
      <c r="E37" s="88" t="s">
        <v>68</v>
      </c>
    </row>
    <row r="39" spans="2:6" ht="18">
      <c r="B39" s="6" t="s">
        <v>184</v>
      </c>
    </row>
    <row r="40" spans="2:6" ht="4.5" customHeight="1">
      <c r="B40" s="6"/>
    </row>
    <row r="41" spans="2:6" ht="15.75">
      <c r="B41" s="111" t="s">
        <v>1</v>
      </c>
      <c r="C41" s="111" t="s">
        <v>2</v>
      </c>
      <c r="D41" s="111" t="s">
        <v>3</v>
      </c>
      <c r="E41" s="111" t="s">
        <v>4</v>
      </c>
      <c r="F41" s="111" t="s">
        <v>136</v>
      </c>
    </row>
    <row r="42" spans="2:6">
      <c r="B42" s="88" t="s">
        <v>185</v>
      </c>
      <c r="C42" s="88" t="s">
        <v>138</v>
      </c>
      <c r="D42" s="86">
        <f>IF(F9,F9,D9)</f>
        <v>7.4527000000000001</v>
      </c>
      <c r="E42" s="88" t="str">
        <f>"-"</f>
        <v>-</v>
      </c>
      <c r="F42" s="88"/>
    </row>
    <row r="43" spans="2:6">
      <c r="B43" s="88" t="s">
        <v>186</v>
      </c>
      <c r="C43" s="88" t="s">
        <v>187</v>
      </c>
      <c r="D43" s="86">
        <f>1/(2*PI()*'Design Spec'!D102*'Res. Tank Design'!D27)*1000000</f>
        <v>226.61030573882164</v>
      </c>
      <c r="E43" s="88" t="s">
        <v>71</v>
      </c>
      <c r="F43" s="85">
        <v>100</v>
      </c>
    </row>
    <row r="44" spans="2:6">
      <c r="B44" s="88" t="s">
        <v>188</v>
      </c>
      <c r="C44" s="88" t="s">
        <v>189</v>
      </c>
      <c r="D44" s="86">
        <f>1/(IF(F43,F43,D43)*(10^-12)*(2*PI()*'Design Spec'!D102*1000)^2)*1000</f>
        <v>11.257909293593086</v>
      </c>
      <c r="E44" s="88" t="s">
        <v>190</v>
      </c>
      <c r="F44" s="85">
        <v>11</v>
      </c>
    </row>
    <row r="45" spans="2:6">
      <c r="B45" s="88" t="s">
        <v>191</v>
      </c>
      <c r="C45" s="88" t="s">
        <v>192</v>
      </c>
      <c r="D45" s="86">
        <f>IF(F44,F44,D44)/D16</f>
        <v>88</v>
      </c>
      <c r="E45" s="88" t="s">
        <v>190</v>
      </c>
      <c r="F45" s="85">
        <v>24</v>
      </c>
    </row>
    <row r="46" spans="2:6">
      <c r="D46" s="76"/>
    </row>
    <row r="47" spans="2:6" ht="18">
      <c r="B47" s="6" t="s">
        <v>193</v>
      </c>
      <c r="D47" s="76"/>
    </row>
    <row r="48" spans="2:6" ht="3.6" customHeight="1">
      <c r="D48" s="76"/>
    </row>
    <row r="49" spans="2:5" ht="15.75">
      <c r="B49" s="111" t="s">
        <v>1</v>
      </c>
      <c r="C49" s="111" t="s">
        <v>2</v>
      </c>
      <c r="D49" s="111" t="s">
        <v>3</v>
      </c>
      <c r="E49" s="111" t="s">
        <v>4</v>
      </c>
    </row>
    <row r="50" spans="2:5">
      <c r="B50" s="88" t="s">
        <v>194</v>
      </c>
      <c r="C50" s="88" t="s">
        <v>152</v>
      </c>
      <c r="D50" s="86">
        <f>IF(F44,F44,D44)/IF(F45,F45,D45)</f>
        <v>0.45833333333333331</v>
      </c>
      <c r="E50" s="88" t="str">
        <f>"-"</f>
        <v>-</v>
      </c>
    </row>
    <row r="51" spans="2:5">
      <c r="B51" s="88" t="s">
        <v>195</v>
      </c>
      <c r="C51" s="88" t="s">
        <v>196</v>
      </c>
      <c r="D51" s="86">
        <f>IF(F9,F9,D9)*(1+D50)^0.5</f>
        <v>8.9999902896938355</v>
      </c>
      <c r="E51" s="88" t="str">
        <f>"-"</f>
        <v>-</v>
      </c>
    </row>
    <row r="52" spans="2:5">
      <c r="B52" s="88" t="s">
        <v>197</v>
      </c>
      <c r="C52" s="88" t="s">
        <v>198</v>
      </c>
      <c r="D52" s="92">
        <f>(IF(F44,F44,D44)/IF(F43,F43,D43)*1000)^0.5</f>
        <v>10.488088481701515</v>
      </c>
      <c r="E52" s="88" t="s">
        <v>46</v>
      </c>
    </row>
    <row r="53" spans="2:5">
      <c r="B53" s="88" t="s">
        <v>199</v>
      </c>
      <c r="C53" s="88" t="s">
        <v>200</v>
      </c>
      <c r="D53" s="92">
        <f>((IF(F44,F44,D44)+IF(F45,F45,D45))*1000/(IF(F43,F43,D43)))^0.5</f>
        <v>18.708286933869708</v>
      </c>
      <c r="E53" s="88" t="s">
        <v>46</v>
      </c>
    </row>
    <row r="54" spans="2:5">
      <c r="B54" s="88" t="s">
        <v>201</v>
      </c>
      <c r="C54" s="88" t="s">
        <v>202</v>
      </c>
      <c r="D54" s="86">
        <f>((D50)/(1+D50))^0.5</f>
        <v>0.56061191058138804</v>
      </c>
      <c r="E54" s="88" t="str">
        <f>"-"</f>
        <v>-</v>
      </c>
    </row>
    <row r="55" spans="2:5">
      <c r="B55" s="88" t="s">
        <v>203</v>
      </c>
      <c r="C55" s="88" t="s">
        <v>204</v>
      </c>
      <c r="D55" s="92">
        <f>1/(2*PI()*SQRT(IF(F44,F44,D44)*(10^-6)*IF(F43,F43,D43)*(10^-9)))/1000</f>
        <v>151.7482841316334</v>
      </c>
      <c r="E55" s="88" t="s">
        <v>58</v>
      </c>
    </row>
    <row r="56" spans="2:5">
      <c r="B56" s="88" t="s">
        <v>205</v>
      </c>
      <c r="C56" s="88" t="s">
        <v>206</v>
      </c>
      <c r="D56" s="92">
        <f>D55*D54</f>
        <v>85.071895494482334</v>
      </c>
      <c r="E56" s="88" t="s">
        <v>58</v>
      </c>
    </row>
    <row r="57" spans="2:5">
      <c r="B57" s="88" t="s">
        <v>207</v>
      </c>
      <c r="C57" s="88" t="s">
        <v>208</v>
      </c>
      <c r="D57" s="92">
        <f>SQRT((IF(F45,F45,D45)*(IF(F45,F45,D45)+IF(F44,F44,D44))))</f>
        <v>28.982753492378876</v>
      </c>
      <c r="E57" s="88" t="s">
        <v>190</v>
      </c>
    </row>
    <row r="58" spans="2:5">
      <c r="B58" s="88" t="s">
        <v>209</v>
      </c>
      <c r="C58" s="88" t="s">
        <v>210</v>
      </c>
      <c r="D58" s="92">
        <f>IF(F45,F45,D45)+IF(F44,F44,D44)-D57</f>
        <v>6.0172465076211239</v>
      </c>
      <c r="E58" s="88" t="s">
        <v>190</v>
      </c>
    </row>
    <row r="59" spans="2:5">
      <c r="B59" s="88" t="s">
        <v>211</v>
      </c>
      <c r="C59" s="88" t="s">
        <v>212</v>
      </c>
      <c r="D59" s="86">
        <f>D58/D51^2</f>
        <v>7.4287154221386764E-2</v>
      </c>
      <c r="E59" s="88" t="s">
        <v>190</v>
      </c>
    </row>
    <row r="60" spans="2:5">
      <c r="B60" s="88" t="s">
        <v>213</v>
      </c>
      <c r="C60" s="88" t="s">
        <v>214</v>
      </c>
      <c r="D60" s="86">
        <f>(SQRT(2*(('Design Spec'!D111*(10^-12))/((IF(F44,F44,D44)+IF(F45,F45,D45))*(10^-6)))))*('Design Spec'!D83)</f>
        <v>1.1713240372105576</v>
      </c>
      <c r="E60" s="88" t="s">
        <v>107</v>
      </c>
    </row>
    <row r="62" spans="2:5" ht="18">
      <c r="B62" s="6" t="s">
        <v>215</v>
      </c>
      <c r="D62" s="76"/>
    </row>
    <row r="63" spans="2:5" ht="3.6" customHeight="1">
      <c r="D63" s="76"/>
    </row>
    <row r="64" spans="2:5" ht="15.75">
      <c r="B64" s="111" t="s">
        <v>1</v>
      </c>
      <c r="C64" s="111" t="s">
        <v>2</v>
      </c>
      <c r="D64" s="111" t="s">
        <v>3</v>
      </c>
      <c r="E64" s="111" t="s">
        <v>4</v>
      </c>
    </row>
    <row r="65" spans="2:5" ht="15">
      <c r="B65" s="88" t="s">
        <v>216</v>
      </c>
      <c r="C65" s="88" t="s">
        <v>217</v>
      </c>
      <c r="D65" s="92">
        <f>CC!C29</f>
        <v>10.398379039467757</v>
      </c>
      <c r="E65" s="94" t="s">
        <v>107</v>
      </c>
    </row>
    <row r="66" spans="2:5">
      <c r="B66" s="88" t="s">
        <v>218</v>
      </c>
      <c r="C66" s="88" t="s">
        <v>219</v>
      </c>
      <c r="D66" s="92">
        <f>CC!E27</f>
        <v>15.507005411944233</v>
      </c>
      <c r="E66" s="88" t="s">
        <v>107</v>
      </c>
    </row>
    <row r="67" spans="2:5" ht="15">
      <c r="B67" s="88" t="s">
        <v>220</v>
      </c>
      <c r="C67" s="88" t="s">
        <v>221</v>
      </c>
      <c r="D67" s="92">
        <f>CC!C25</f>
        <v>31.171126124906749</v>
      </c>
      <c r="E67" s="94" t="s">
        <v>107</v>
      </c>
    </row>
    <row r="68" spans="2:5">
      <c r="B68" s="88" t="s">
        <v>222</v>
      </c>
      <c r="C68" s="88" t="s">
        <v>223</v>
      </c>
      <c r="D68" s="92">
        <f>CC!E24</f>
        <v>115.56905923359679</v>
      </c>
      <c r="E68" s="88" t="s">
        <v>107</v>
      </c>
    </row>
  </sheetData>
  <mergeCells count="1">
    <mergeCell ref="C32:E32"/>
  </mergeCells>
  <conditionalFormatting sqref="C32">
    <cfRule type="cellIs" dxfId="13" priority="2" operator="equal">
      <formula>"Yes"</formula>
    </cfRule>
  </conditionalFormatting>
  <conditionalFormatting sqref="C32:E32">
    <cfRule type="cellIs" dxfId="12" priority="1" operator="equal">
      <formula>"No, increase ZVS margin"</formula>
    </cfRule>
  </conditionalFormatting>
  <pageMargins left="0.7" right="0.7" top="0.75" bottom="0.75" header="0.3" footer="0.3"/>
  <customProperties>
    <customPr name="IbpWorksheetKeyString_GUID" r:id="rId1"/>
  </customPropertie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4245-4820-4887-A8CA-B14DC68809FC}">
  <sheetPr>
    <tabColor rgb="FF00B0F0"/>
  </sheetPr>
  <dimension ref="B4:N119"/>
  <sheetViews>
    <sheetView topLeftCell="A9" zoomScaleNormal="100" workbookViewId="0">
      <selection activeCell="G28" sqref="G28"/>
    </sheetView>
  </sheetViews>
  <sheetFormatPr defaultColWidth="8.7109375" defaultRowHeight="14.25"/>
  <cols>
    <col min="1" max="1" width="8.7109375" style="21"/>
    <col min="2" max="2" width="57.5703125" style="21" customWidth="1"/>
    <col min="3" max="3" width="24.85546875" style="21" bestFit="1" customWidth="1"/>
    <col min="4" max="4" width="11.85546875" style="21" bestFit="1" customWidth="1"/>
    <col min="5" max="5" width="9.42578125" style="21" customWidth="1"/>
    <col min="6" max="6" width="17.5703125" style="21" customWidth="1"/>
    <col min="7" max="7" width="42.28515625" style="21" customWidth="1"/>
    <col min="8" max="16384" width="8.7109375" style="21"/>
  </cols>
  <sheetData>
    <row r="4" spans="2:6" ht="18">
      <c r="B4" s="6" t="s">
        <v>224</v>
      </c>
    </row>
    <row r="5" spans="2:6" ht="6" customHeight="1">
      <c r="B5" s="66"/>
    </row>
    <row r="6" spans="2:6" ht="15.75">
      <c r="B6" s="111" t="s">
        <v>1</v>
      </c>
      <c r="C6" s="111" t="s">
        <v>2</v>
      </c>
      <c r="D6" s="111" t="s">
        <v>3</v>
      </c>
      <c r="E6" s="111" t="s">
        <v>4</v>
      </c>
      <c r="F6" s="111" t="s">
        <v>136</v>
      </c>
    </row>
    <row r="7" spans="2:6">
      <c r="B7" s="88" t="s">
        <v>225</v>
      </c>
      <c r="C7" s="88" t="s">
        <v>226</v>
      </c>
      <c r="D7" s="92">
        <f>3*'Preliminary Calculation'!D20</f>
        <v>2054.32117346312</v>
      </c>
      <c r="E7" s="88" t="s">
        <v>71</v>
      </c>
      <c r="F7" s="85">
        <v>2200</v>
      </c>
    </row>
    <row r="9" spans="2:6" ht="18">
      <c r="B9" s="6" t="s">
        <v>227</v>
      </c>
    </row>
    <row r="10" spans="2:6" ht="2.4500000000000002" customHeight="1"/>
    <row r="11" spans="2:6" ht="15.75" hidden="1">
      <c r="B11" s="111" t="s">
        <v>228</v>
      </c>
      <c r="C11" s="111" t="s">
        <v>2</v>
      </c>
      <c r="D11" s="111" t="s">
        <v>3</v>
      </c>
      <c r="E11" s="111" t="s">
        <v>4</v>
      </c>
    </row>
    <row r="12" spans="2:6" hidden="1">
      <c r="B12" s="88" t="s">
        <v>229</v>
      </c>
      <c r="C12" s="88" t="s">
        <v>31</v>
      </c>
      <c r="D12" s="88">
        <f>'Design Spec'!D27</f>
        <v>657.5</v>
      </c>
      <c r="E12" s="88" t="s">
        <v>32</v>
      </c>
    </row>
    <row r="13" spans="2:6" hidden="1">
      <c r="B13" s="88" t="s">
        <v>105</v>
      </c>
      <c r="C13" s="88" t="s">
        <v>106</v>
      </c>
      <c r="D13" s="92">
        <f>'Preliminary Calculation'!D7</f>
        <v>26.3</v>
      </c>
      <c r="E13" s="88" t="s">
        <v>107</v>
      </c>
    </row>
    <row r="14" spans="2:6" hidden="1">
      <c r="B14" s="88" t="s">
        <v>230</v>
      </c>
      <c r="C14" s="88" t="s">
        <v>231</v>
      </c>
      <c r="D14" s="88">
        <f>'Design Spec'!D23</f>
        <v>25</v>
      </c>
      <c r="E14" s="88" t="s">
        <v>21</v>
      </c>
    </row>
    <row r="15" spans="2:6" hidden="1">
      <c r="B15" s="88" t="s">
        <v>232</v>
      </c>
      <c r="C15" s="88" t="s">
        <v>23</v>
      </c>
      <c r="D15" s="88">
        <f>'Design Spec'!D24</f>
        <v>16</v>
      </c>
      <c r="E15" s="88" t="s">
        <v>21</v>
      </c>
    </row>
    <row r="16" spans="2:6" hidden="1">
      <c r="B16" s="88" t="s">
        <v>99</v>
      </c>
      <c r="C16" s="88" t="s">
        <v>233</v>
      </c>
      <c r="D16" s="88">
        <f>'Design Spec'!D25</f>
        <v>10</v>
      </c>
      <c r="E16" s="88" t="s">
        <v>26</v>
      </c>
    </row>
    <row r="17" spans="2:5" hidden="1">
      <c r="B17" s="88" t="s">
        <v>27</v>
      </c>
      <c r="C17" s="88" t="s">
        <v>28</v>
      </c>
      <c r="D17" s="88">
        <f>'Design Spec'!D26</f>
        <v>10</v>
      </c>
      <c r="E17" s="88" t="s">
        <v>29</v>
      </c>
    </row>
    <row r="18" spans="2:5" hidden="1">
      <c r="B18" s="88" t="s">
        <v>234</v>
      </c>
      <c r="C18" s="88" t="s">
        <v>12</v>
      </c>
      <c r="D18" s="88">
        <f>'Design Spec'!D17</f>
        <v>47</v>
      </c>
      <c r="E18" s="88" t="s">
        <v>13</v>
      </c>
    </row>
    <row r="19" spans="2:5" hidden="1">
      <c r="B19" s="93"/>
      <c r="C19" s="93"/>
      <c r="D19" s="93"/>
      <c r="E19" s="93"/>
    </row>
    <row r="20" spans="2:5" ht="15.75">
      <c r="B20" s="111" t="s">
        <v>228</v>
      </c>
      <c r="C20" s="111" t="s">
        <v>2</v>
      </c>
      <c r="D20" s="111" t="s">
        <v>3</v>
      </c>
      <c r="E20" s="111" t="s">
        <v>4</v>
      </c>
    </row>
    <row r="21" spans="2:5">
      <c r="B21" s="88" t="s">
        <v>235</v>
      </c>
      <c r="C21" s="88" t="s">
        <v>236</v>
      </c>
      <c r="D21" s="92">
        <f>D13/(2*PI()*D18*D14*(D16/100))*10^6</f>
        <v>35623.617049505083</v>
      </c>
      <c r="E21" s="88" t="s">
        <v>43</v>
      </c>
    </row>
    <row r="22" spans="2:5">
      <c r="B22" s="88" t="s">
        <v>237</v>
      </c>
      <c r="C22" s="88" t="s">
        <v>238</v>
      </c>
      <c r="D22" s="92">
        <f>(2*D12*D17*(10^-3))/((D14^2)-(D15^2))*10^6</f>
        <v>35636.856368563691</v>
      </c>
      <c r="E22" s="88" t="s">
        <v>43</v>
      </c>
    </row>
    <row r="23" spans="2:5">
      <c r="B23" s="88" t="s">
        <v>239</v>
      </c>
      <c r="C23" s="88" t="s">
        <v>240</v>
      </c>
      <c r="D23" s="85">
        <v>160</v>
      </c>
      <c r="E23" s="88" t="s">
        <v>52</v>
      </c>
    </row>
    <row r="24" spans="2:5">
      <c r="B24" s="88" t="s">
        <v>241</v>
      </c>
      <c r="C24" s="88" t="s">
        <v>242</v>
      </c>
      <c r="D24" s="85">
        <v>470</v>
      </c>
      <c r="E24" s="88" t="s">
        <v>43</v>
      </c>
    </row>
    <row r="25" spans="2:5">
      <c r="B25" s="88" t="s">
        <v>243</v>
      </c>
      <c r="C25" s="88" t="s">
        <v>45</v>
      </c>
      <c r="D25" s="85">
        <v>30</v>
      </c>
      <c r="E25" s="88" t="s">
        <v>244</v>
      </c>
    </row>
    <row r="26" spans="2:5">
      <c r="B26" s="88" t="s">
        <v>245</v>
      </c>
      <c r="C26" s="88" t="s">
        <v>246</v>
      </c>
      <c r="D26" s="92">
        <f>D24*D23</f>
        <v>75200</v>
      </c>
      <c r="E26" s="88" t="s">
        <v>43</v>
      </c>
    </row>
    <row r="27" spans="2:5">
      <c r="B27" s="88" t="s">
        <v>247</v>
      </c>
      <c r="C27" s="88" t="s">
        <v>248</v>
      </c>
      <c r="D27" s="92">
        <f>D25/D23</f>
        <v>0.1875</v>
      </c>
      <c r="E27" s="88" t="s">
        <v>244</v>
      </c>
    </row>
    <row r="28" spans="2:5">
      <c r="B28" s="88" t="s">
        <v>249</v>
      </c>
      <c r="C28" s="88" t="s">
        <v>250</v>
      </c>
      <c r="D28" s="92">
        <f>CC!C31</f>
        <v>24.41413111338149</v>
      </c>
      <c r="E28" s="88" t="s">
        <v>107</v>
      </c>
    </row>
    <row r="29" spans="2:5">
      <c r="D29" s="77"/>
    </row>
    <row r="30" spans="2:5" ht="15.75">
      <c r="B30" s="111" t="s">
        <v>228</v>
      </c>
      <c r="C30" s="111" t="s">
        <v>2</v>
      </c>
      <c r="D30" s="111" t="s">
        <v>3</v>
      </c>
      <c r="E30" s="111" t="s">
        <v>4</v>
      </c>
    </row>
    <row r="31" spans="2:5">
      <c r="B31" s="88" t="s">
        <v>251</v>
      </c>
      <c r="C31" s="88" t="s">
        <v>252</v>
      </c>
      <c r="D31" s="92">
        <f>D13/(2*PI()*D18*D26*(10^-6))</f>
        <v>1.1842957795713127</v>
      </c>
      <c r="E31" s="88" t="s">
        <v>21</v>
      </c>
    </row>
    <row r="32" spans="2:5">
      <c r="B32" s="88" t="s">
        <v>253</v>
      </c>
      <c r="C32" s="88" t="s">
        <v>254</v>
      </c>
      <c r="D32" s="92">
        <f>D31/D14*100</f>
        <v>4.7371831182852508</v>
      </c>
      <c r="E32" s="88" t="s">
        <v>26</v>
      </c>
    </row>
    <row r="33" spans="2:7">
      <c r="B33" s="88" t="s">
        <v>255</v>
      </c>
      <c r="C33" s="88" t="s">
        <v>28</v>
      </c>
      <c r="D33" s="92">
        <f>D26/(2*D12)*((D14^2)-(D15^2))/1000</f>
        <v>21.101749049429657</v>
      </c>
      <c r="E33" s="88" t="s">
        <v>29</v>
      </c>
    </row>
    <row r="34" spans="2:7">
      <c r="B34" s="88" t="s">
        <v>256</v>
      </c>
      <c r="C34" s="88" t="s">
        <v>257</v>
      </c>
      <c r="D34" s="92">
        <f>D27*CC!$E$24</f>
        <v>21.669198606299396</v>
      </c>
      <c r="E34" s="88" t="s">
        <v>258</v>
      </c>
      <c r="F34" s="23"/>
    </row>
    <row r="35" spans="2:7">
      <c r="B35" s="88" t="s">
        <v>259</v>
      </c>
      <c r="C35" s="88" t="s">
        <v>260</v>
      </c>
      <c r="D35" s="85">
        <v>30</v>
      </c>
      <c r="E35" s="88" t="s">
        <v>258</v>
      </c>
    </row>
    <row r="36" spans="2:7">
      <c r="B36" s="88" t="s">
        <v>261</v>
      </c>
      <c r="C36" s="88" t="s">
        <v>262</v>
      </c>
      <c r="D36" s="85">
        <v>2.5</v>
      </c>
      <c r="E36" s="88" t="s">
        <v>26</v>
      </c>
    </row>
    <row r="37" spans="2:7">
      <c r="B37" s="88" t="s">
        <v>263</v>
      </c>
      <c r="C37" s="88" t="s">
        <v>264</v>
      </c>
      <c r="D37" s="92">
        <f>IF((1-D35/D34)*(D36/100)*(10^6)/(D27*2*PI()*CC!$E$21*D35/D34)&gt;0,(1-D35/D34)*(D36/100)*(10^6)/(D27*2*PI()*CC!$E$21*D35/D34),0)</f>
        <v>0</v>
      </c>
      <c r="E37" s="88" t="s">
        <v>43</v>
      </c>
    </row>
    <row r="38" spans="2:7">
      <c r="B38" s="88" t="s">
        <v>265</v>
      </c>
      <c r="C38" s="88" t="s">
        <v>266</v>
      </c>
      <c r="D38" s="85">
        <v>10</v>
      </c>
      <c r="E38" s="88" t="s">
        <v>43</v>
      </c>
    </row>
    <row r="39" spans="2:7">
      <c r="B39" s="88" t="s">
        <v>267</v>
      </c>
      <c r="C39" s="88" t="s">
        <v>268</v>
      </c>
      <c r="D39" s="92">
        <f>D34/(D27*10^(-6)*2*PI()*CC!$E$21*D38/(D36/100)+1)</f>
        <v>20.615254303687998</v>
      </c>
      <c r="E39" s="88" t="s">
        <v>258</v>
      </c>
    </row>
    <row r="40" spans="2:7">
      <c r="B40" s="88" t="s">
        <v>269</v>
      </c>
      <c r="C40" s="88" t="s">
        <v>270</v>
      </c>
      <c r="D40" s="92">
        <f>D28*D28*(((2*PI()*CC!C21*1000*D38*10^-6)/(D36/100))+(D27/1000)^-1)^-1</f>
        <v>0.10670301483288927</v>
      </c>
      <c r="E40" s="88" t="s">
        <v>32</v>
      </c>
    </row>
    <row r="41" spans="2:7">
      <c r="B41" s="93"/>
      <c r="C41" s="93"/>
      <c r="D41" s="93"/>
      <c r="E41" s="93"/>
    </row>
    <row r="42" spans="2:7" ht="18">
      <c r="B42" s="6" t="s">
        <v>271</v>
      </c>
    </row>
    <row r="44" spans="2:7" ht="15.75">
      <c r="B44" s="111" t="s">
        <v>228</v>
      </c>
      <c r="C44" s="111" t="s">
        <v>2</v>
      </c>
      <c r="D44" s="111" t="s">
        <v>3</v>
      </c>
      <c r="E44" s="111" t="s">
        <v>4</v>
      </c>
    </row>
    <row r="45" spans="2:7" ht="15">
      <c r="B45" s="88" t="s">
        <v>272</v>
      </c>
      <c r="C45" s="88" t="s">
        <v>273</v>
      </c>
      <c r="D45" s="92">
        <f>'Preliminary Calculation'!D11</f>
        <v>7.454648526077098</v>
      </c>
      <c r="E45" s="88" t="s">
        <v>107</v>
      </c>
      <c r="F45" s="5"/>
    </row>
    <row r="46" spans="2:7" ht="15.75">
      <c r="B46" s="111" t="s">
        <v>228</v>
      </c>
      <c r="C46" s="111" t="s">
        <v>2</v>
      </c>
      <c r="D46" s="111" t="s">
        <v>3</v>
      </c>
      <c r="E46" s="111" t="s">
        <v>4</v>
      </c>
      <c r="F46" s="5"/>
    </row>
    <row r="47" spans="2:7" ht="15">
      <c r="B47" s="88" t="s">
        <v>274</v>
      </c>
      <c r="C47" s="88" t="s">
        <v>275</v>
      </c>
      <c r="D47" s="88">
        <f>'Design Spec'!D52</f>
        <v>0.08</v>
      </c>
      <c r="E47" s="88" t="s">
        <v>21</v>
      </c>
      <c r="F47" s="1"/>
    </row>
    <row r="48" spans="2:7" ht="15.75">
      <c r="B48" s="88" t="s">
        <v>76</v>
      </c>
      <c r="C48" s="88" t="s">
        <v>77</v>
      </c>
      <c r="D48" s="88">
        <f>'Design Spec'!D53</f>
        <v>0.04</v>
      </c>
      <c r="E48" s="88" t="s">
        <v>46</v>
      </c>
      <c r="F48" s="1"/>
      <c r="G48" s="113" t="s">
        <v>276</v>
      </c>
    </row>
    <row r="49" spans="2:7" ht="15.75">
      <c r="F49" s="1"/>
      <c r="G49" s="120" t="str">
        <f>C50</f>
        <v>GBJ1506U</v>
      </c>
    </row>
    <row r="50" spans="2:7" ht="15.75">
      <c r="B50" s="90" t="s">
        <v>277</v>
      </c>
      <c r="C50" s="197" t="s">
        <v>278</v>
      </c>
      <c r="D50" s="197"/>
      <c r="E50" s="197"/>
      <c r="F50" s="1"/>
      <c r="G50" s="118"/>
    </row>
    <row r="51" spans="2:7" ht="15.75">
      <c r="B51" s="78"/>
      <c r="C51" s="78"/>
      <c r="D51" s="79"/>
      <c r="E51" s="80"/>
      <c r="F51" s="1"/>
      <c r="G51" s="118"/>
    </row>
    <row r="52" spans="2:7" ht="15.75">
      <c r="B52" s="111" t="s">
        <v>228</v>
      </c>
      <c r="C52" s="111" t="s">
        <v>2</v>
      </c>
      <c r="D52" s="111" t="s">
        <v>3</v>
      </c>
      <c r="E52" s="111" t="s">
        <v>4</v>
      </c>
      <c r="F52" s="1"/>
      <c r="G52" s="118"/>
    </row>
    <row r="53" spans="2:7" ht="15">
      <c r="B53" s="88" t="s">
        <v>279</v>
      </c>
      <c r="C53" s="88" t="s">
        <v>280</v>
      </c>
      <c r="D53" s="92">
        <f>D45/SQRT(2)</f>
        <v>5.2712325241514169</v>
      </c>
      <c r="E53" s="88" t="s">
        <v>107</v>
      </c>
      <c r="F53" s="1"/>
      <c r="G53" s="118"/>
    </row>
    <row r="54" spans="2:7" ht="15">
      <c r="B54" s="88" t="s">
        <v>281</v>
      </c>
      <c r="C54" s="88" t="s">
        <v>282</v>
      </c>
      <c r="D54" s="92">
        <f>0.5*(D45*SQRT(2))*2/PI()</f>
        <v>3.3557708496218668</v>
      </c>
      <c r="E54" s="88" t="s">
        <v>107</v>
      </c>
      <c r="F54" s="1"/>
      <c r="G54" s="118"/>
    </row>
    <row r="55" spans="2:7" ht="15">
      <c r="B55" s="88" t="s">
        <v>283</v>
      </c>
      <c r="C55" s="88" t="s">
        <v>284</v>
      </c>
      <c r="D55" s="92">
        <f>2*(2*D54*D47)+2*(2*D48*(D53^2))</f>
        <v>5.5195894436664723</v>
      </c>
      <c r="E55" s="88" t="s">
        <v>32</v>
      </c>
      <c r="F55" s="1"/>
      <c r="G55" s="118"/>
    </row>
    <row r="56" spans="2:7" ht="15">
      <c r="B56" s="1"/>
      <c r="C56" s="1"/>
      <c r="D56" s="1"/>
      <c r="E56" s="1"/>
      <c r="F56" s="1"/>
      <c r="G56" s="118"/>
    </row>
    <row r="57" spans="2:7" ht="18">
      <c r="B57" s="6" t="s">
        <v>285</v>
      </c>
      <c r="D57" s="23"/>
      <c r="G57" s="119"/>
    </row>
    <row r="58" spans="2:7" ht="18">
      <c r="B58" s="6"/>
      <c r="D58" s="23"/>
      <c r="G58" s="1"/>
    </row>
    <row r="59" spans="2:7" ht="15.75">
      <c r="B59" s="111" t="s">
        <v>228</v>
      </c>
      <c r="C59" s="111" t="s">
        <v>2</v>
      </c>
      <c r="D59" s="111" t="s">
        <v>3</v>
      </c>
      <c r="E59" s="111" t="s">
        <v>4</v>
      </c>
      <c r="F59" s="1"/>
    </row>
    <row r="60" spans="2:7" ht="15" customHeight="1">
      <c r="B60" s="88" t="s">
        <v>286</v>
      </c>
      <c r="C60" s="88" t="s">
        <v>287</v>
      </c>
      <c r="D60" s="92">
        <f>CC!C29</f>
        <v>10.398379039467757</v>
      </c>
      <c r="E60" s="94" t="s">
        <v>107</v>
      </c>
      <c r="F60" s="1"/>
    </row>
    <row r="61" spans="2:7" ht="15">
      <c r="B61" s="88" t="s">
        <v>288</v>
      </c>
      <c r="C61" s="88" t="s">
        <v>289</v>
      </c>
      <c r="D61" s="92">
        <f>CC!C30</f>
        <v>7.3527643321557088</v>
      </c>
      <c r="E61" s="94" t="s">
        <v>107</v>
      </c>
      <c r="F61" s="1"/>
    </row>
    <row r="62" spans="2:7" ht="18.600000000000001" customHeight="1">
      <c r="B62" s="1"/>
      <c r="C62" s="1"/>
      <c r="D62" s="1"/>
      <c r="E62" s="1"/>
      <c r="F62" s="1"/>
    </row>
    <row r="63" spans="2:7" ht="17.45" customHeight="1">
      <c r="B63" s="111" t="s">
        <v>228</v>
      </c>
      <c r="C63" s="111" t="s">
        <v>2</v>
      </c>
      <c r="D63" s="111" t="s">
        <v>3</v>
      </c>
      <c r="E63" s="111" t="s">
        <v>4</v>
      </c>
      <c r="F63" s="1"/>
    </row>
    <row r="64" spans="2:7" ht="15">
      <c r="B64" s="88" t="s">
        <v>290</v>
      </c>
      <c r="C64" s="88" t="s">
        <v>291</v>
      </c>
      <c r="D64" s="95">
        <f>(1.3*'Design Spec'!D14*1.414)</f>
        <v>485.28479999999996</v>
      </c>
      <c r="E64" s="88" t="s">
        <v>21</v>
      </c>
      <c r="F64" s="1"/>
    </row>
    <row r="65" spans="2:14" ht="15">
      <c r="B65" s="88" t="s">
        <v>292</v>
      </c>
      <c r="C65" s="88" t="s">
        <v>293</v>
      </c>
      <c r="D65" s="92">
        <f>1.3*CC!E27</f>
        <v>20.159107035527505</v>
      </c>
      <c r="E65" s="88" t="s">
        <v>107</v>
      </c>
      <c r="F65" s="1"/>
    </row>
    <row r="66" spans="2:14" ht="15">
      <c r="C66" s="1"/>
      <c r="D66" s="1"/>
      <c r="E66" s="1"/>
      <c r="F66" s="1"/>
    </row>
    <row r="67" spans="2:14" ht="15.75">
      <c r="B67" s="111" t="s">
        <v>294</v>
      </c>
      <c r="C67" s="198" t="s">
        <v>850</v>
      </c>
      <c r="D67" s="199"/>
      <c r="E67" s="200"/>
      <c r="F67" s="1"/>
      <c r="G67" s="27"/>
      <c r="H67" s="27"/>
      <c r="I67" s="27"/>
      <c r="J67" s="27"/>
      <c r="K67" s="27"/>
      <c r="L67" s="27"/>
      <c r="M67" s="27"/>
      <c r="N67" s="27"/>
    </row>
    <row r="68" spans="2:14" ht="15">
      <c r="B68" s="1"/>
      <c r="C68" s="1"/>
      <c r="D68" s="1"/>
      <c r="E68" s="1"/>
      <c r="F68" s="1"/>
      <c r="G68" s="27"/>
      <c r="H68" s="27"/>
      <c r="I68" s="27"/>
      <c r="J68" s="27"/>
      <c r="K68" s="27"/>
      <c r="L68" s="27"/>
      <c r="M68" s="27"/>
      <c r="N68" s="27"/>
    </row>
    <row r="69" spans="2:14" ht="15.75">
      <c r="B69" s="111" t="s">
        <v>228</v>
      </c>
      <c r="C69" s="111" t="s">
        <v>2</v>
      </c>
      <c r="D69" s="111" t="s">
        <v>3</v>
      </c>
      <c r="E69" s="111" t="s">
        <v>4</v>
      </c>
      <c r="F69" s="1"/>
      <c r="G69" s="27"/>
      <c r="H69" s="27"/>
      <c r="I69" s="27"/>
      <c r="J69" s="27"/>
      <c r="K69" s="27"/>
      <c r="L69" s="27"/>
      <c r="M69" s="27"/>
      <c r="N69" s="27"/>
    </row>
    <row r="70" spans="2:14" ht="15">
      <c r="B70" s="88" t="s">
        <v>295</v>
      </c>
      <c r="C70" s="88" t="s">
        <v>296</v>
      </c>
      <c r="D70" s="85">
        <v>4.4999999999999998E-2</v>
      </c>
      <c r="E70" s="96" t="s">
        <v>46</v>
      </c>
      <c r="G70" s="27"/>
      <c r="H70" s="27"/>
      <c r="I70" s="27"/>
      <c r="J70" s="27"/>
      <c r="K70" s="27"/>
      <c r="L70" s="27"/>
      <c r="M70" s="27"/>
      <c r="N70" s="27"/>
    </row>
    <row r="71" spans="2:14">
      <c r="B71" s="88" t="s">
        <v>297</v>
      </c>
      <c r="C71" s="88" t="s">
        <v>298</v>
      </c>
      <c r="D71" s="85">
        <v>86</v>
      </c>
      <c r="E71" s="88" t="s">
        <v>65</v>
      </c>
      <c r="G71" s="27"/>
      <c r="H71" s="27"/>
      <c r="I71" s="27"/>
      <c r="J71" s="27"/>
      <c r="K71" s="27"/>
      <c r="L71" s="27"/>
      <c r="M71" s="27"/>
      <c r="N71" s="27"/>
    </row>
    <row r="72" spans="2:14">
      <c r="B72" s="88" t="s">
        <v>299</v>
      </c>
      <c r="C72" s="88" t="s">
        <v>300</v>
      </c>
      <c r="D72" s="85">
        <v>10</v>
      </c>
      <c r="E72" s="88" t="s">
        <v>65</v>
      </c>
      <c r="G72" s="27"/>
      <c r="H72" s="27"/>
      <c r="I72" s="27"/>
      <c r="J72" s="27"/>
      <c r="K72" s="27"/>
      <c r="L72" s="27"/>
      <c r="M72" s="27"/>
      <c r="N72" s="27"/>
    </row>
    <row r="73" spans="2:14" ht="15">
      <c r="B73" s="88" t="s">
        <v>301</v>
      </c>
      <c r="C73" s="88" t="s">
        <v>302</v>
      </c>
      <c r="D73" s="85">
        <v>25</v>
      </c>
      <c r="E73" s="96" t="s">
        <v>303</v>
      </c>
      <c r="F73" s="27"/>
      <c r="G73" s="27"/>
      <c r="H73" s="27"/>
      <c r="I73" s="27"/>
      <c r="J73" s="27"/>
      <c r="K73" s="27"/>
      <c r="L73" s="27"/>
      <c r="M73" s="27"/>
      <c r="N73" s="27"/>
    </row>
    <row r="74" spans="2:14">
      <c r="F74" s="27"/>
      <c r="G74" s="27"/>
      <c r="H74" s="27"/>
      <c r="I74" s="27"/>
      <c r="J74" s="27"/>
      <c r="K74" s="27"/>
      <c r="L74" s="27"/>
      <c r="M74" s="27"/>
      <c r="N74" s="27"/>
    </row>
    <row r="75" spans="2:14">
      <c r="F75" s="27"/>
      <c r="G75" s="27"/>
      <c r="H75" s="27"/>
      <c r="I75" s="27"/>
      <c r="J75" s="27"/>
      <c r="K75" s="27"/>
      <c r="L75" s="27"/>
      <c r="M75" s="27"/>
      <c r="N75" s="27"/>
    </row>
    <row r="76" spans="2:14" ht="15.75">
      <c r="B76" s="111" t="s">
        <v>228</v>
      </c>
      <c r="C76" s="111" t="s">
        <v>2</v>
      </c>
      <c r="D76" s="111" t="s">
        <v>3</v>
      </c>
      <c r="E76" s="111" t="s">
        <v>4</v>
      </c>
      <c r="F76" s="27"/>
      <c r="G76" s="27"/>
      <c r="H76" s="27"/>
      <c r="I76" s="27"/>
      <c r="J76" s="27"/>
      <c r="K76" s="27"/>
      <c r="L76" s="27"/>
      <c r="M76" s="27"/>
      <c r="N76" s="27"/>
    </row>
    <row r="77" spans="2:14">
      <c r="B77" s="88" t="s">
        <v>304</v>
      </c>
      <c r="C77" s="88" t="s">
        <v>305</v>
      </c>
      <c r="D77" s="88">
        <f>(2*D71)+D72</f>
        <v>182</v>
      </c>
      <c r="E77" s="88" t="s">
        <v>65</v>
      </c>
      <c r="F77" s="27"/>
      <c r="G77" s="27"/>
      <c r="H77" s="27"/>
      <c r="I77" s="27"/>
      <c r="J77" s="27"/>
      <c r="K77" s="27"/>
      <c r="L77" s="27"/>
      <c r="M77" s="27"/>
      <c r="N77" s="27"/>
    </row>
    <row r="78" spans="2:14" ht="15">
      <c r="B78" s="88" t="s">
        <v>306</v>
      </c>
      <c r="C78" s="88" t="s">
        <v>307</v>
      </c>
      <c r="D78" s="136">
        <f>(D70*((D61)^2))</f>
        <v>2.4328414495899535</v>
      </c>
      <c r="E78" s="88" t="s">
        <v>32</v>
      </c>
      <c r="F78" s="27"/>
      <c r="G78" s="27"/>
      <c r="H78" s="27"/>
      <c r="I78" s="27"/>
      <c r="J78" s="27"/>
      <c r="K78" s="27"/>
      <c r="L78" s="27"/>
      <c r="M78" s="27"/>
      <c r="N78" s="27"/>
    </row>
    <row r="79" spans="2:14" ht="15">
      <c r="B79" s="88" t="s">
        <v>308</v>
      </c>
      <c r="C79" s="88" t="s">
        <v>309</v>
      </c>
      <c r="D79" s="92">
        <f>(125-D73)/D78</f>
        <v>41.104199378407756</v>
      </c>
      <c r="E79" s="88" t="s">
        <v>310</v>
      </c>
      <c r="F79" s="27"/>
      <c r="G79" s="27"/>
      <c r="H79" s="27"/>
      <c r="I79" s="27"/>
      <c r="J79" s="27"/>
      <c r="K79" s="27"/>
      <c r="L79" s="27"/>
      <c r="M79" s="27"/>
      <c r="N79" s="27"/>
    </row>
    <row r="80" spans="2:14">
      <c r="F80" s="27"/>
      <c r="G80" s="27"/>
      <c r="H80" s="27"/>
      <c r="I80" s="27"/>
      <c r="J80" s="27"/>
      <c r="K80" s="27"/>
      <c r="L80" s="27"/>
      <c r="M80" s="27"/>
      <c r="N80" s="27"/>
    </row>
    <row r="81" spans="2:14" ht="18">
      <c r="B81" s="6" t="str">
        <f>IF(OR('Design Spec'!$D$107=1,'Design Spec'!$D$107=2),_xlfn.CONCAT("Secondary Side Power Switch Selection in ",IF('Design Spec'!$D$107=1,"center tap configuration","full bridge configuration")),"Wrong output bridge selection, return to design Spec sheet")</f>
        <v>Secondary Side Power Switch Selection in center tap configuration</v>
      </c>
      <c r="C81" s="6"/>
      <c r="F81" s="27"/>
      <c r="G81" s="27"/>
      <c r="H81" s="27"/>
      <c r="I81" s="27"/>
      <c r="J81" s="27"/>
      <c r="K81" s="27"/>
      <c r="L81" s="27"/>
      <c r="M81" s="27"/>
      <c r="N81" s="27"/>
    </row>
    <row r="82" spans="2:14">
      <c r="F82" s="27"/>
      <c r="G82" s="27"/>
      <c r="H82" s="27"/>
      <c r="I82" s="27"/>
      <c r="J82" s="27"/>
      <c r="K82" s="27"/>
      <c r="L82" s="27"/>
      <c r="M82" s="27"/>
      <c r="N82" s="27"/>
    </row>
    <row r="83" spans="2:14" ht="15.75">
      <c r="B83" s="111" t="s">
        <v>228</v>
      </c>
      <c r="C83" s="111" t="s">
        <v>2</v>
      </c>
      <c r="D83" s="111" t="s">
        <v>3</v>
      </c>
      <c r="E83" s="111" t="s">
        <v>311</v>
      </c>
      <c r="F83" s="27"/>
      <c r="G83" s="27"/>
      <c r="H83" s="27"/>
      <c r="I83" s="27"/>
      <c r="J83" s="27"/>
      <c r="K83" s="27"/>
      <c r="L83" s="27"/>
      <c r="M83" s="27"/>
      <c r="N83" s="27"/>
    </row>
    <row r="84" spans="2:14" ht="15.6" customHeight="1">
      <c r="B84" s="88" t="s">
        <v>312</v>
      </c>
      <c r="C84" s="88" t="s">
        <v>313</v>
      </c>
      <c r="D84" s="92">
        <f>CC!C25</f>
        <v>31.171126124906749</v>
      </c>
      <c r="E84" s="88" t="s">
        <v>107</v>
      </c>
      <c r="F84" s="27"/>
      <c r="G84" s="27"/>
      <c r="H84" s="27"/>
      <c r="I84" s="27"/>
      <c r="J84" s="27"/>
      <c r="K84" s="27"/>
      <c r="L84" s="27"/>
      <c r="M84" s="27"/>
      <c r="N84" s="27"/>
    </row>
    <row r="85" spans="2:14" ht="15.6" customHeight="1">
      <c r="B85" s="88" t="s">
        <v>314</v>
      </c>
      <c r="C85" s="88" t="s">
        <v>315</v>
      </c>
      <c r="D85" s="92">
        <f>CC!C26</f>
        <v>31.171126124906749</v>
      </c>
      <c r="E85" s="88" t="s">
        <v>107</v>
      </c>
      <c r="F85" s="27"/>
      <c r="G85" s="27"/>
      <c r="H85" s="27"/>
      <c r="I85" s="27"/>
      <c r="J85" s="27"/>
      <c r="K85" s="27"/>
      <c r="L85" s="27"/>
      <c r="M85" s="27"/>
      <c r="N85" s="27"/>
    </row>
    <row r="86" spans="2:14" ht="15.6" customHeight="1">
      <c r="B86" s="88" t="s">
        <v>316</v>
      </c>
      <c r="C86" s="88" t="s">
        <v>317</v>
      </c>
      <c r="D86" s="92">
        <f>CC!E24</f>
        <v>115.56905923359679</v>
      </c>
      <c r="E86" s="88" t="s">
        <v>107</v>
      </c>
      <c r="F86" s="27"/>
      <c r="G86" s="27"/>
      <c r="H86" s="27"/>
      <c r="I86" s="27"/>
      <c r="J86" s="27"/>
      <c r="K86" s="27"/>
      <c r="L86" s="27"/>
      <c r="M86" s="27"/>
      <c r="N86" s="27"/>
    </row>
    <row r="87" spans="2:14" ht="15.6" customHeight="1">
      <c r="F87" s="27"/>
      <c r="G87" s="27"/>
      <c r="H87" s="27"/>
      <c r="I87" s="27"/>
      <c r="J87" s="27"/>
      <c r="K87" s="27"/>
      <c r="L87" s="27"/>
      <c r="M87" s="27"/>
      <c r="N87" s="27"/>
    </row>
    <row r="88" spans="2:14" ht="15.6" customHeight="1">
      <c r="B88" s="111" t="s">
        <v>228</v>
      </c>
      <c r="C88" s="111" t="s">
        <v>2</v>
      </c>
      <c r="D88" s="111" t="s">
        <v>3</v>
      </c>
      <c r="E88" s="111" t="s">
        <v>311</v>
      </c>
      <c r="F88" s="27"/>
      <c r="G88" s="27"/>
      <c r="H88" s="27"/>
      <c r="I88" s="27"/>
      <c r="J88" s="27"/>
      <c r="K88" s="27"/>
      <c r="L88" s="27"/>
      <c r="M88" s="27"/>
      <c r="N88" s="27"/>
    </row>
    <row r="89" spans="2:14" ht="15.6" customHeight="1">
      <c r="B89" s="88" t="s">
        <v>318</v>
      </c>
      <c r="C89" s="88" t="s">
        <v>291</v>
      </c>
      <c r="D89" s="92">
        <f>1.2*2*'Design Spec'!$D$95/'Design Spec'!$D$107</f>
        <v>60</v>
      </c>
      <c r="E89" s="88" t="s">
        <v>21</v>
      </c>
      <c r="F89" s="27"/>
      <c r="G89" s="27"/>
      <c r="H89" s="27"/>
      <c r="I89" s="27"/>
      <c r="J89" s="27"/>
      <c r="K89" s="27"/>
      <c r="L89" s="27"/>
      <c r="M89" s="27"/>
      <c r="N89" s="27"/>
    </row>
    <row r="90" spans="2:14">
      <c r="B90" s="88" t="s">
        <v>319</v>
      </c>
      <c r="C90" s="88" t="s">
        <v>293</v>
      </c>
      <c r="D90" s="92">
        <f>1.2*D86</f>
        <v>138.68287108031615</v>
      </c>
      <c r="E90" s="88" t="s">
        <v>107</v>
      </c>
      <c r="F90" s="27"/>
      <c r="G90" s="27"/>
      <c r="H90" s="27"/>
      <c r="I90" s="27"/>
      <c r="J90" s="27"/>
      <c r="K90" s="27"/>
      <c r="L90" s="27"/>
      <c r="M90" s="27"/>
      <c r="N90" s="27"/>
    </row>
    <row r="91" spans="2:14">
      <c r="B91" s="93"/>
      <c r="C91" s="93"/>
      <c r="D91" s="135"/>
      <c r="E91" s="93"/>
      <c r="F91" s="27"/>
      <c r="G91" s="27"/>
      <c r="H91" s="27"/>
      <c r="I91" s="27"/>
      <c r="J91" s="27"/>
      <c r="K91" s="27"/>
      <c r="L91" s="27"/>
      <c r="M91" s="27"/>
      <c r="N91" s="27"/>
    </row>
    <row r="92" spans="2:14" ht="15.75">
      <c r="B92" s="111" t="s">
        <v>294</v>
      </c>
      <c r="C92" s="197" t="s">
        <v>851</v>
      </c>
      <c r="D92" s="197"/>
      <c r="E92" s="197"/>
      <c r="F92" s="27"/>
      <c r="G92" s="27"/>
      <c r="H92" s="27"/>
      <c r="I92" s="27"/>
      <c r="J92" s="27"/>
      <c r="K92" s="27"/>
      <c r="L92" s="27"/>
      <c r="M92" s="27"/>
      <c r="N92" s="27"/>
    </row>
    <row r="93" spans="2:14">
      <c r="F93" s="27"/>
    </row>
    <row r="94" spans="2:14" ht="15.75">
      <c r="B94" s="111" t="s">
        <v>228</v>
      </c>
      <c r="C94" s="111" t="s">
        <v>2</v>
      </c>
      <c r="D94" s="111" t="s">
        <v>3</v>
      </c>
      <c r="E94" s="111" t="s">
        <v>4</v>
      </c>
    </row>
    <row r="95" spans="2:14">
      <c r="B95" s="88" t="s">
        <v>320</v>
      </c>
      <c r="C95" s="88" t="s">
        <v>275</v>
      </c>
      <c r="D95" s="85">
        <v>0</v>
      </c>
      <c r="E95" s="88" t="s">
        <v>21</v>
      </c>
    </row>
    <row r="96" spans="2:14" ht="15">
      <c r="B96" s="88" t="s">
        <v>295</v>
      </c>
      <c r="C96" s="88" t="s">
        <v>321</v>
      </c>
      <c r="D96" s="85">
        <v>3.0999999999999999E-3</v>
      </c>
      <c r="E96" s="96" t="s">
        <v>46</v>
      </c>
    </row>
    <row r="97" spans="2:5" ht="15">
      <c r="B97" s="88" t="s">
        <v>301</v>
      </c>
      <c r="C97" s="88" t="s">
        <v>302</v>
      </c>
      <c r="D97" s="85">
        <v>25</v>
      </c>
      <c r="E97" s="96" t="s">
        <v>303</v>
      </c>
    </row>
    <row r="99" spans="2:5" ht="15.75">
      <c r="B99" s="111" t="s">
        <v>228</v>
      </c>
      <c r="C99" s="111" t="s">
        <v>2</v>
      </c>
      <c r="D99" s="111" t="s">
        <v>3</v>
      </c>
      <c r="E99" s="111" t="s">
        <v>4</v>
      </c>
    </row>
    <row r="100" spans="2:5">
      <c r="B100" s="88" t="s">
        <v>306</v>
      </c>
      <c r="C100" s="88" t="s">
        <v>322</v>
      </c>
      <c r="D100" s="92">
        <f>(0.5*D95*'Preliminary Calculation'!D7)+D96*(D85)^2</f>
        <v>3.0120812220740167</v>
      </c>
      <c r="E100" s="88" t="s">
        <v>32</v>
      </c>
    </row>
    <row r="101" spans="2:5" ht="15">
      <c r="B101" s="88" t="s">
        <v>323</v>
      </c>
      <c r="C101" s="88" t="s">
        <v>309</v>
      </c>
      <c r="D101" s="92">
        <f>(125-D97)/D100</f>
        <v>33.199635941803521</v>
      </c>
      <c r="E101" s="88" t="s">
        <v>310</v>
      </c>
    </row>
    <row r="102" spans="2:5">
      <c r="B102" s="88" t="s">
        <v>324</v>
      </c>
      <c r="C102" s="88" t="s">
        <v>325</v>
      </c>
      <c r="D102" s="92">
        <f>D100*2*'Design Spec'!$D$107</f>
        <v>6.0241624441480335</v>
      </c>
      <c r="E102" s="88" t="s">
        <v>32</v>
      </c>
    </row>
    <row r="104" spans="2:5" ht="18">
      <c r="B104" s="125" t="s">
        <v>326</v>
      </c>
      <c r="C104" s="125" t="s">
        <v>327</v>
      </c>
      <c r="D104" s="133"/>
      <c r="E104" s="134"/>
    </row>
    <row r="105" spans="2:5">
      <c r="B105" s="30"/>
      <c r="C105" s="30"/>
      <c r="E105" s="129"/>
    </row>
    <row r="106" spans="2:5">
      <c r="B106" s="30"/>
      <c r="C106" s="30"/>
      <c r="E106" s="129"/>
    </row>
    <row r="107" spans="2:5">
      <c r="B107" s="30"/>
      <c r="C107" s="30"/>
      <c r="E107" s="129"/>
    </row>
    <row r="108" spans="2:5">
      <c r="B108" s="30"/>
      <c r="C108" s="30"/>
      <c r="E108" s="129"/>
    </row>
    <row r="109" spans="2:5">
      <c r="B109" s="30"/>
      <c r="C109" s="30"/>
      <c r="E109" s="129"/>
    </row>
    <row r="110" spans="2:5">
      <c r="B110" s="30"/>
      <c r="C110" s="30"/>
      <c r="E110" s="129"/>
    </row>
    <row r="111" spans="2:5">
      <c r="B111" s="30"/>
      <c r="C111" s="30"/>
      <c r="E111" s="129"/>
    </row>
    <row r="112" spans="2:5">
      <c r="B112" s="30"/>
      <c r="C112" s="30"/>
      <c r="E112" s="129"/>
    </row>
    <row r="113" spans="2:5">
      <c r="B113" s="30"/>
      <c r="C113" s="30"/>
      <c r="E113" s="129"/>
    </row>
    <row r="114" spans="2:5">
      <c r="B114" s="30"/>
      <c r="C114" s="30"/>
      <c r="E114" s="129"/>
    </row>
    <row r="115" spans="2:5">
      <c r="B115" s="30"/>
      <c r="C115" s="30"/>
      <c r="E115" s="129"/>
    </row>
    <row r="116" spans="2:5">
      <c r="B116" s="30"/>
      <c r="C116" s="30"/>
      <c r="E116" s="129"/>
    </row>
    <row r="117" spans="2:5">
      <c r="B117" s="30"/>
      <c r="C117" s="30"/>
      <c r="E117" s="129"/>
    </row>
    <row r="118" spans="2:5">
      <c r="B118" s="30"/>
      <c r="C118" s="30"/>
      <c r="E118" s="129"/>
    </row>
    <row r="119" spans="2:5">
      <c r="B119" s="130"/>
      <c r="C119" s="130"/>
      <c r="D119" s="131"/>
      <c r="E119" s="132"/>
    </row>
  </sheetData>
  <mergeCells count="3">
    <mergeCell ref="C50:E50"/>
    <mergeCell ref="C67:E67"/>
    <mergeCell ref="C92:E92"/>
  </mergeCells>
  <phoneticPr fontId="6" type="noConversion"/>
  <pageMargins left="0.7" right="0.7" top="0.75" bottom="0.75" header="0.3" footer="0.3"/>
  <pageSetup orientation="portrait" horizontalDpi="1200" verticalDpi="1200" r:id="rId1"/>
  <customProperties>
    <customPr name="IbpWorksheetKeyString_GUID" r:id="rId2"/>
  </customPropertie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25FD-A575-40AA-9CAD-89407D11E116}">
  <sheetPr>
    <tabColor rgb="FF00B0F0"/>
  </sheetPr>
  <dimension ref="B1:P130"/>
  <sheetViews>
    <sheetView topLeftCell="A21" zoomScale="115" zoomScaleNormal="115" workbookViewId="0">
      <selection activeCell="F37" sqref="F37"/>
    </sheetView>
  </sheetViews>
  <sheetFormatPr defaultColWidth="8.7109375" defaultRowHeight="15"/>
  <cols>
    <col min="1" max="1" width="8.7109375" style="2"/>
    <col min="2" max="2" width="65.85546875" style="2" bestFit="1" customWidth="1"/>
    <col min="3" max="3" width="16.5703125" style="2" bestFit="1" customWidth="1"/>
    <col min="4" max="4" width="11.85546875" style="2" bestFit="1" customWidth="1"/>
    <col min="5" max="5" width="8.7109375" style="2"/>
    <col min="6" max="6" width="18.5703125" style="2" customWidth="1"/>
    <col min="7" max="16384" width="8.7109375" style="2"/>
  </cols>
  <sheetData>
    <row r="1" spans="2:5" ht="0.95" customHeight="1">
      <c r="B1" s="16" t="s">
        <v>328</v>
      </c>
      <c r="C1" s="16" t="s">
        <v>329</v>
      </c>
      <c r="D1" s="17">
        <f>'Res. Tank Design'!D56</f>
        <v>85.071895494482334</v>
      </c>
      <c r="E1" s="16" t="s">
        <v>58</v>
      </c>
    </row>
    <row r="2" spans="2:5" hidden="1">
      <c r="B2" s="16" t="s">
        <v>330</v>
      </c>
      <c r="C2" s="16" t="s">
        <v>331</v>
      </c>
      <c r="D2" s="17">
        <f>RTC!$BD$212</f>
        <v>152.08936938083821</v>
      </c>
      <c r="E2" s="16" t="s">
        <v>58</v>
      </c>
    </row>
    <row r="3" spans="2:5" hidden="1">
      <c r="B3" s="16" t="s">
        <v>332</v>
      </c>
      <c r="C3" s="16" t="s">
        <v>333</v>
      </c>
      <c r="D3" s="17">
        <f>MIN('Design Spec'!D104,D2*1.5)</f>
        <v>225</v>
      </c>
      <c r="E3" s="16" t="s">
        <v>58</v>
      </c>
    </row>
    <row r="4" spans="2:5" hidden="1">
      <c r="B4" s="16" t="s">
        <v>334</v>
      </c>
      <c r="C4" s="16" t="s">
        <v>204</v>
      </c>
      <c r="D4" s="17">
        <f>'Res. Tank Design'!D55</f>
        <v>151.7482841316334</v>
      </c>
      <c r="E4" s="16" t="s">
        <v>58</v>
      </c>
    </row>
    <row r="5" spans="2:5">
      <c r="D5" s="4"/>
    </row>
    <row r="6" spans="2:5">
      <c r="D6" s="4"/>
    </row>
    <row r="7" spans="2:5">
      <c r="D7" s="4"/>
    </row>
    <row r="8" spans="2:5">
      <c r="D8" s="4"/>
    </row>
    <row r="9" spans="2:5" ht="1.5" customHeight="1"/>
    <row r="10" spans="2:5" ht="18">
      <c r="B10" s="6" t="s">
        <v>335</v>
      </c>
    </row>
    <row r="11" spans="2:5" ht="5.0999999999999996" customHeight="1">
      <c r="B11" s="6"/>
    </row>
    <row r="12" spans="2:5" hidden="1">
      <c r="B12" s="7" t="s">
        <v>336</v>
      </c>
      <c r="C12" s="7" t="s">
        <v>337</v>
      </c>
      <c r="D12" s="26">
        <v>1.5</v>
      </c>
      <c r="E12" s="7" t="s">
        <v>21</v>
      </c>
    </row>
    <row r="13" spans="2:5" hidden="1">
      <c r="B13" s="7" t="s">
        <v>338</v>
      </c>
      <c r="C13" s="7" t="s">
        <v>339</v>
      </c>
      <c r="D13" s="7">
        <v>350</v>
      </c>
      <c r="E13" s="7" t="s">
        <v>68</v>
      </c>
    </row>
    <row r="14" spans="2:5" hidden="1">
      <c r="B14" s="7" t="s">
        <v>340</v>
      </c>
      <c r="C14" s="7" t="s">
        <v>341</v>
      </c>
      <c r="D14" s="7">
        <v>30</v>
      </c>
      <c r="E14" s="7" t="s">
        <v>342</v>
      </c>
    </row>
    <row r="15" spans="2:5" hidden="1">
      <c r="B15" s="7" t="s">
        <v>343</v>
      </c>
      <c r="C15" s="7" t="s">
        <v>344</v>
      </c>
      <c r="D15" s="7">
        <v>0.4</v>
      </c>
      <c r="E15" s="7" t="s">
        <v>345</v>
      </c>
    </row>
    <row r="16" spans="2:5" hidden="1">
      <c r="B16" s="7" t="s">
        <v>346</v>
      </c>
      <c r="C16" s="7" t="s">
        <v>347</v>
      </c>
      <c r="D16" s="7">
        <v>0.41199999999999998</v>
      </c>
      <c r="E16" s="7" t="s">
        <v>345</v>
      </c>
    </row>
    <row r="17" spans="2:16" ht="3.6" customHeight="1"/>
    <row r="18" spans="2:16" ht="15.75">
      <c r="B18" s="111" t="s">
        <v>1</v>
      </c>
      <c r="C18" s="111" t="s">
        <v>2</v>
      </c>
      <c r="D18" s="111" t="s">
        <v>3</v>
      </c>
      <c r="E18" s="111" t="s">
        <v>4</v>
      </c>
      <c r="I18" s="114" t="s">
        <v>348</v>
      </c>
      <c r="J18" s="114"/>
      <c r="K18" s="116"/>
      <c r="L18" s="116"/>
      <c r="M18" s="116"/>
      <c r="N18" s="116"/>
      <c r="O18" s="116"/>
      <c r="P18" s="117"/>
    </row>
    <row r="19" spans="2:16">
      <c r="B19" s="88" t="s">
        <v>349</v>
      </c>
      <c r="C19" s="88" t="s">
        <v>350</v>
      </c>
      <c r="D19" s="92">
        <f>(D15*(10^-3))*((2*D13*D3*(10^-6))-1)*((2*D13*D1*((10^-6)))-1)/(2*D12*((D3-D1)*10^3))*10^12</f>
        <v>754.98661967118585</v>
      </c>
      <c r="E19" s="88" t="s">
        <v>65</v>
      </c>
      <c r="I19" s="19"/>
      <c r="P19" s="62"/>
    </row>
    <row r="20" spans="2:16">
      <c r="B20" s="88" t="s">
        <v>351</v>
      </c>
      <c r="C20" s="88" t="s">
        <v>352</v>
      </c>
      <c r="D20" s="92">
        <f>(1/(D14*(10^3)))*((1/(2*D1*10^3))-(D13*(10^-9)))*10^12</f>
        <v>184.24605597565002</v>
      </c>
      <c r="E20" s="88" t="s">
        <v>65</v>
      </c>
      <c r="I20" s="19"/>
      <c r="P20" s="62"/>
    </row>
    <row r="21" spans="2:16">
      <c r="B21" s="88" t="s">
        <v>353</v>
      </c>
      <c r="C21" s="88" t="s">
        <v>354</v>
      </c>
      <c r="D21" s="97">
        <v>470</v>
      </c>
      <c r="E21" s="88" t="s">
        <v>65</v>
      </c>
      <c r="I21" s="19"/>
      <c r="P21" s="62"/>
    </row>
    <row r="22" spans="2:16">
      <c r="I22" s="19"/>
      <c r="P22" s="62"/>
    </row>
    <row r="23" spans="2:16" ht="15.75">
      <c r="B23" s="111" t="s">
        <v>1</v>
      </c>
      <c r="C23" s="111" t="s">
        <v>2</v>
      </c>
      <c r="D23" s="111" t="s">
        <v>3</v>
      </c>
      <c r="E23" s="111" t="s">
        <v>4</v>
      </c>
      <c r="F23" s="111" t="s">
        <v>136</v>
      </c>
      <c r="I23" s="19"/>
      <c r="P23" s="62"/>
    </row>
    <row r="24" spans="2:16">
      <c r="B24" s="88" t="s">
        <v>355</v>
      </c>
      <c r="C24" s="88" t="s">
        <v>356</v>
      </c>
      <c r="D24" s="92">
        <f>(1/(D21*(10^-12)))*(1/(2*D1*(10^3))-(D13*10^-9))/1000</f>
        <v>11.760386551637236</v>
      </c>
      <c r="E24" s="98" t="s">
        <v>342</v>
      </c>
      <c r="F24" s="97">
        <v>11</v>
      </c>
      <c r="I24" s="19"/>
      <c r="P24" s="62"/>
    </row>
    <row r="25" spans="2:16">
      <c r="B25" s="99"/>
      <c r="C25" s="99"/>
      <c r="D25" s="99"/>
      <c r="E25" s="99"/>
      <c r="I25" s="19"/>
      <c r="P25" s="62"/>
    </row>
    <row r="26" spans="2:16" ht="15.75">
      <c r="B26" s="111" t="s">
        <v>1</v>
      </c>
      <c r="C26" s="111" t="s">
        <v>2</v>
      </c>
      <c r="D26" s="111" t="s">
        <v>3</v>
      </c>
      <c r="E26" s="111" t="s">
        <v>4</v>
      </c>
      <c r="I26" s="19"/>
      <c r="P26" s="62"/>
    </row>
    <row r="27" spans="2:16">
      <c r="B27" s="88" t="s">
        <v>357</v>
      </c>
      <c r="C27" s="88" t="s">
        <v>358</v>
      </c>
      <c r="D27" s="92">
        <f>1/(2*(((D21*(10^-12))/(((D15*(10^-3))/D12)+(1/(F24*(10^3)))))+(D13*(10^-9))))/1000</f>
        <v>300.40733197556011</v>
      </c>
      <c r="E27" s="88" t="s">
        <v>58</v>
      </c>
      <c r="I27" s="19"/>
      <c r="P27" s="62"/>
    </row>
    <row r="28" spans="2:16">
      <c r="B28" s="88" t="s">
        <v>359</v>
      </c>
      <c r="C28" s="88" t="s">
        <v>360</v>
      </c>
      <c r="D28" s="92">
        <f>1/(2*(D21*F24*(10^-9)+D13*(10^-9)))/1000</f>
        <v>90.579710144927517</v>
      </c>
      <c r="E28" s="88" t="s">
        <v>58</v>
      </c>
      <c r="I28" s="19"/>
      <c r="P28" s="62"/>
    </row>
    <row r="29" spans="2:16">
      <c r="B29" s="88" t="s">
        <v>361</v>
      </c>
      <c r="C29" s="88" t="s">
        <v>362</v>
      </c>
      <c r="D29" s="92">
        <f>1/(2*(((D21*(10^-12))/((((D15+D16)*(10^-3))/(D12))+(1/(F24*(10^3)))))+(D13*(10^-9))))/1000</f>
        <v>457.29515526643411</v>
      </c>
      <c r="E29" s="88" t="s">
        <v>58</v>
      </c>
      <c r="I29" s="19"/>
      <c r="P29" s="62"/>
    </row>
    <row r="30" spans="2:16">
      <c r="I30" s="63"/>
      <c r="J30" s="64"/>
      <c r="K30" s="64"/>
      <c r="L30" s="64"/>
      <c r="M30" s="64"/>
      <c r="N30" s="64"/>
      <c r="O30" s="64"/>
      <c r="P30" s="65"/>
    </row>
    <row r="31" spans="2:16" hidden="1">
      <c r="B31" s="16"/>
      <c r="C31" s="16" t="s">
        <v>133</v>
      </c>
      <c r="D31" s="17">
        <f>'Preliminary Calculation'!D20</f>
        <v>684.77372448770666</v>
      </c>
      <c r="E31" s="16" t="s">
        <v>32</v>
      </c>
    </row>
    <row r="32" spans="2:16" hidden="1">
      <c r="B32" s="16"/>
      <c r="C32" s="16" t="s">
        <v>363</v>
      </c>
      <c r="D32" s="17">
        <f>CC!E27</f>
        <v>15.507005411944233</v>
      </c>
      <c r="E32" s="16" t="s">
        <v>107</v>
      </c>
    </row>
    <row r="33" spans="2:11" hidden="1">
      <c r="B33" s="16" t="s">
        <v>364</v>
      </c>
      <c r="C33" s="16" t="s">
        <v>365</v>
      </c>
      <c r="D33" s="17">
        <f>MAX(CC!C29,'Preliminary Calculation'!D11)</f>
        <v>10.398379039467757</v>
      </c>
      <c r="E33" s="16" t="s">
        <v>107</v>
      </c>
    </row>
    <row r="35" spans="2:11" ht="18">
      <c r="B35" s="6" t="s">
        <v>366</v>
      </c>
    </row>
    <row r="36" spans="2:11" ht="6" customHeight="1">
      <c r="B36" s="6"/>
    </row>
    <row r="37" spans="2:11" ht="15.75">
      <c r="B37" s="111" t="s">
        <v>1</v>
      </c>
      <c r="C37" s="111" t="s">
        <v>2</v>
      </c>
      <c r="D37" s="111" t="s">
        <v>3</v>
      </c>
      <c r="E37" s="111" t="s">
        <v>4</v>
      </c>
    </row>
    <row r="38" spans="2:11">
      <c r="B38" s="88" t="s">
        <v>367</v>
      </c>
      <c r="C38" s="88" t="s">
        <v>368</v>
      </c>
      <c r="D38" s="92">
        <f>16.8/D31*1000</f>
        <v>24.533651627139207</v>
      </c>
      <c r="E38" s="88" t="s">
        <v>244</v>
      </c>
    </row>
    <row r="39" spans="2:11">
      <c r="B39" s="88" t="s">
        <v>369</v>
      </c>
      <c r="C39" s="88" t="s">
        <v>370</v>
      </c>
      <c r="D39" s="92">
        <f>0.55/D32*1000</f>
        <v>35.467840849295371</v>
      </c>
      <c r="E39" s="88" t="s">
        <v>244</v>
      </c>
      <c r="G39" s="18"/>
    </row>
    <row r="40" spans="2:11">
      <c r="B40" s="88" t="s">
        <v>371</v>
      </c>
      <c r="C40" s="88" t="s">
        <v>372</v>
      </c>
      <c r="D40" s="139">
        <f>(MIN(D38,D39)/1000)*(D33)^2</f>
        <v>2.6527326483690796</v>
      </c>
      <c r="E40" s="88" t="s">
        <v>32</v>
      </c>
    </row>
    <row r="41" spans="2:11">
      <c r="B41" s="88" t="s">
        <v>373</v>
      </c>
      <c r="C41" s="88" t="s">
        <v>374</v>
      </c>
      <c r="D41" s="85">
        <v>1</v>
      </c>
      <c r="E41" s="88" t="s">
        <v>32</v>
      </c>
    </row>
    <row r="42" spans="2:11">
      <c r="B42" s="88" t="s">
        <v>375</v>
      </c>
      <c r="C42" s="88" t="s">
        <v>376</v>
      </c>
      <c r="D42" s="191">
        <f>_xlfn.CEILING.MATH(D40/D41)</f>
        <v>3</v>
      </c>
      <c r="E42" s="88" t="s">
        <v>52</v>
      </c>
    </row>
    <row r="43" spans="2:11">
      <c r="B43" s="88" t="s">
        <v>377</v>
      </c>
      <c r="C43" s="88" t="s">
        <v>378</v>
      </c>
      <c r="D43" s="85">
        <v>5</v>
      </c>
      <c r="E43" s="88" t="s">
        <v>52</v>
      </c>
    </row>
    <row r="44" spans="2:11">
      <c r="B44" s="88" t="s">
        <v>379</v>
      </c>
      <c r="C44" s="88" t="s">
        <v>380</v>
      </c>
      <c r="D44" s="92">
        <f>MIN(D38,D39)*D43</f>
        <v>122.66825813569604</v>
      </c>
      <c r="E44" s="88" t="s">
        <v>244</v>
      </c>
    </row>
    <row r="45" spans="2:11">
      <c r="B45" s="88" t="s">
        <v>381</v>
      </c>
      <c r="C45" s="88" t="s">
        <v>382</v>
      </c>
      <c r="D45" s="97">
        <v>120</v>
      </c>
      <c r="E45" s="88" t="s">
        <v>244</v>
      </c>
      <c r="F45" s="192" t="s">
        <v>383</v>
      </c>
      <c r="G45" s="192"/>
      <c r="H45" s="192"/>
      <c r="I45" s="192">
        <f>D43*((180^-1+180^-1+240^-1)^-1)</f>
        <v>327.27272727272725</v>
      </c>
      <c r="J45" s="193" t="s">
        <v>384</v>
      </c>
      <c r="K45" s="192"/>
    </row>
    <row r="46" spans="2:11">
      <c r="B46" s="88" t="s">
        <v>385</v>
      </c>
      <c r="C46" s="88" t="s">
        <v>386</v>
      </c>
      <c r="D46" s="88">
        <f>D45/D43</f>
        <v>24</v>
      </c>
      <c r="E46" s="88" t="s">
        <v>244</v>
      </c>
    </row>
    <row r="47" spans="2:11">
      <c r="B47" s="88" t="s">
        <v>387</v>
      </c>
      <c r="C47" s="88" t="s">
        <v>388</v>
      </c>
      <c r="D47" s="92">
        <f>(D46/1000)*(D33)^2</f>
        <v>2.5950308795626178</v>
      </c>
      <c r="E47" s="88" t="s">
        <v>32</v>
      </c>
    </row>
    <row r="48" spans="2:11">
      <c r="B48" s="88" t="s">
        <v>389</v>
      </c>
      <c r="C48" s="88" t="s">
        <v>390</v>
      </c>
      <c r="D48" s="92">
        <f>16.8/D46*1000</f>
        <v>700.00000000000011</v>
      </c>
      <c r="E48" s="88" t="s">
        <v>32</v>
      </c>
    </row>
    <row r="51" spans="2:6" ht="18">
      <c r="B51" s="6" t="s">
        <v>391</v>
      </c>
    </row>
    <row r="52" spans="2:6" ht="8.4499999999999993" customHeight="1">
      <c r="B52" s="6"/>
    </row>
    <row r="53" spans="2:6" hidden="1">
      <c r="B53" s="24" t="s">
        <v>392</v>
      </c>
      <c r="C53" s="24" t="s">
        <v>393</v>
      </c>
      <c r="D53" s="22">
        <v>13.3</v>
      </c>
      <c r="E53" s="24" t="s">
        <v>394</v>
      </c>
    </row>
    <row r="54" spans="2:6" hidden="1">
      <c r="B54" s="24" t="s">
        <v>395</v>
      </c>
      <c r="C54" s="24" t="s">
        <v>396</v>
      </c>
      <c r="D54" s="22">
        <v>0.01</v>
      </c>
      <c r="E54" s="24" t="s">
        <v>397</v>
      </c>
    </row>
    <row r="55" spans="2:6" hidden="1">
      <c r="B55" s="24" t="s">
        <v>398</v>
      </c>
      <c r="C55" s="24" t="s">
        <v>399</v>
      </c>
      <c r="D55" s="22">
        <v>0.5</v>
      </c>
      <c r="E55" s="24" t="s">
        <v>21</v>
      </c>
    </row>
    <row r="56" spans="2:6" ht="15.75">
      <c r="B56" s="111" t="s">
        <v>1</v>
      </c>
      <c r="C56" s="111" t="s">
        <v>2</v>
      </c>
      <c r="D56" s="111" t="s">
        <v>3</v>
      </c>
      <c r="E56" s="111" t="s">
        <v>4</v>
      </c>
    </row>
    <row r="57" spans="2:6">
      <c r="B57" s="88" t="s">
        <v>400</v>
      </c>
      <c r="C57" s="88" t="s">
        <v>401</v>
      </c>
      <c r="D57" s="85">
        <v>75</v>
      </c>
      <c r="E57" s="88" t="s">
        <v>32</v>
      </c>
    </row>
    <row r="58" spans="2:6">
      <c r="B58" s="88" t="s">
        <v>402</v>
      </c>
      <c r="C58" s="88" t="s">
        <v>403</v>
      </c>
      <c r="D58" s="85">
        <v>90</v>
      </c>
      <c r="E58" s="88" t="s">
        <v>26</v>
      </c>
    </row>
    <row r="59" spans="2:6">
      <c r="B59" s="21"/>
      <c r="C59" s="21"/>
      <c r="D59" s="21"/>
      <c r="E59" s="21"/>
    </row>
    <row r="60" spans="2:6" ht="15.75">
      <c r="B60" s="111" t="s">
        <v>1</v>
      </c>
      <c r="C60" s="111" t="s">
        <v>2</v>
      </c>
      <c r="D60" s="111" t="s">
        <v>3</v>
      </c>
      <c r="E60" s="111" t="s">
        <v>4</v>
      </c>
      <c r="F60" s="111" t="s">
        <v>136</v>
      </c>
    </row>
    <row r="61" spans="2:6">
      <c r="B61" s="88" t="s">
        <v>404</v>
      </c>
      <c r="C61" s="88" t="s">
        <v>405</v>
      </c>
      <c r="D61" s="88">
        <f>16.7*(D57*D46*(10^-3))</f>
        <v>30.06</v>
      </c>
      <c r="E61" s="88" t="s">
        <v>406</v>
      </c>
      <c r="F61" s="85">
        <v>30</v>
      </c>
    </row>
    <row r="62" spans="2:6">
      <c r="B62" s="21"/>
      <c r="C62" s="21"/>
      <c r="E62" s="21"/>
    </row>
    <row r="63" spans="2:6" ht="15.75">
      <c r="B63" s="111" t="s">
        <v>1</v>
      </c>
      <c r="C63" s="111" t="s">
        <v>2</v>
      </c>
      <c r="D63" s="111" t="s">
        <v>3</v>
      </c>
      <c r="E63" s="111" t="s">
        <v>4</v>
      </c>
      <c r="F63" s="19"/>
    </row>
    <row r="64" spans="2:6">
      <c r="B64" s="88" t="s">
        <v>407</v>
      </c>
      <c r="C64" s="88" t="s">
        <v>408</v>
      </c>
      <c r="D64" s="92">
        <f>(F61*D54)/(0.167*D46*10^-3)</f>
        <v>74.850299401197603</v>
      </c>
      <c r="E64" s="88" t="s">
        <v>32</v>
      </c>
      <c r="F64" s="19"/>
    </row>
    <row r="65" spans="2:6">
      <c r="B65" s="88" t="s">
        <v>409</v>
      </c>
      <c r="C65" s="88" t="s">
        <v>410</v>
      </c>
      <c r="D65" s="92">
        <f>D64*D58/100</f>
        <v>67.365269461077844</v>
      </c>
      <c r="E65" s="88" t="s">
        <v>32</v>
      </c>
      <c r="F65" s="19"/>
    </row>
    <row r="67" spans="2:6" ht="15" hidden="1" customHeight="1">
      <c r="B67" s="16" t="s">
        <v>411</v>
      </c>
      <c r="C67" s="16" t="s">
        <v>231</v>
      </c>
      <c r="D67" s="16">
        <f>'Design Spec'!D95</f>
        <v>25</v>
      </c>
      <c r="E67" s="16" t="s">
        <v>21</v>
      </c>
    </row>
    <row r="69" spans="2:6" ht="18">
      <c r="B69" s="6" t="s">
        <v>412</v>
      </c>
    </row>
    <row r="70" spans="2:6" ht="18">
      <c r="B70" s="6"/>
    </row>
    <row r="71" spans="2:6" hidden="1">
      <c r="B71" s="7" t="s">
        <v>413</v>
      </c>
      <c r="C71" s="7" t="s">
        <v>414</v>
      </c>
      <c r="D71" s="26">
        <v>1.35</v>
      </c>
      <c r="E71" s="7" t="s">
        <v>21</v>
      </c>
    </row>
    <row r="72" spans="2:6" hidden="1">
      <c r="B72" s="7" t="s">
        <v>415</v>
      </c>
      <c r="C72" s="7" t="s">
        <v>416</v>
      </c>
      <c r="D72" s="7">
        <v>2.2999999999999998</v>
      </c>
      <c r="E72" s="7" t="s">
        <v>21</v>
      </c>
    </row>
    <row r="73" spans="2:6" hidden="1">
      <c r="B73" s="7" t="s">
        <v>417</v>
      </c>
      <c r="C73" s="7" t="s">
        <v>418</v>
      </c>
      <c r="D73" s="7">
        <v>2.5</v>
      </c>
      <c r="E73" s="7" t="s">
        <v>21</v>
      </c>
    </row>
    <row r="74" spans="2:6" hidden="1">
      <c r="B74" s="7" t="s">
        <v>419</v>
      </c>
      <c r="C74" s="7" t="s">
        <v>420</v>
      </c>
      <c r="D74" s="7">
        <v>25</v>
      </c>
      <c r="E74" s="7" t="s">
        <v>21</v>
      </c>
    </row>
    <row r="76" spans="2:6" ht="15.75">
      <c r="B76" s="111" t="s">
        <v>1</v>
      </c>
      <c r="C76" s="111" t="s">
        <v>2</v>
      </c>
      <c r="D76" s="111" t="s">
        <v>3</v>
      </c>
      <c r="E76" s="111" t="s">
        <v>4</v>
      </c>
    </row>
    <row r="77" spans="2:6">
      <c r="B77" s="88" t="s">
        <v>421</v>
      </c>
      <c r="C77" s="88" t="s">
        <v>422</v>
      </c>
      <c r="D77" s="85">
        <v>10</v>
      </c>
      <c r="E77" s="88" t="s">
        <v>26</v>
      </c>
    </row>
    <row r="78" spans="2:6">
      <c r="B78" s="88" t="s">
        <v>423</v>
      </c>
      <c r="C78" s="88" t="s">
        <v>424</v>
      </c>
      <c r="D78" s="92">
        <f>D67*(1+D77/100)</f>
        <v>27.500000000000004</v>
      </c>
      <c r="E78" s="88" t="s">
        <v>21</v>
      </c>
    </row>
    <row r="79" spans="2:6">
      <c r="B79" s="88" t="s">
        <v>425</v>
      </c>
      <c r="C79" s="88" t="s">
        <v>426</v>
      </c>
      <c r="D79" s="92">
        <f>D78*D73/D72</f>
        <v>29.891304347826097</v>
      </c>
      <c r="E79" s="88" t="s">
        <v>21</v>
      </c>
    </row>
    <row r="81" spans="2:6" ht="15.75">
      <c r="B81" s="111" t="s">
        <v>1</v>
      </c>
      <c r="C81" s="111" t="s">
        <v>2</v>
      </c>
      <c r="D81" s="111" t="s">
        <v>3</v>
      </c>
      <c r="E81" s="111" t="s">
        <v>4</v>
      </c>
      <c r="F81" s="111" t="s">
        <v>136</v>
      </c>
    </row>
    <row r="82" spans="2:6">
      <c r="B82" s="88" t="s">
        <v>427</v>
      </c>
      <c r="C82" s="88" t="s">
        <v>428</v>
      </c>
      <c r="D82" s="85">
        <v>120</v>
      </c>
      <c r="E82" s="88" t="s">
        <v>429</v>
      </c>
      <c r="F82" s="88"/>
    </row>
    <row r="83" spans="2:6">
      <c r="B83" s="88" t="s">
        <v>430</v>
      </c>
      <c r="C83" s="88" t="s">
        <v>431</v>
      </c>
      <c r="D83" s="86">
        <f>D74/((D79/'Design Spec'!D107))</f>
        <v>0.83636363636363609</v>
      </c>
      <c r="E83" s="88" t="s">
        <v>52</v>
      </c>
      <c r="F83" s="189">
        <v>3</v>
      </c>
    </row>
    <row r="84" spans="2:6">
      <c r="B84" s="93"/>
      <c r="C84" s="93"/>
      <c r="D84" s="122"/>
      <c r="E84" s="93"/>
      <c r="F84" s="93"/>
    </row>
    <row r="85" spans="2:6" ht="15.75">
      <c r="B85" s="111" t="s">
        <v>1</v>
      </c>
      <c r="C85" s="111" t="s">
        <v>2</v>
      </c>
      <c r="D85" s="111" t="s">
        <v>3</v>
      </c>
      <c r="E85" s="111" t="s">
        <v>4</v>
      </c>
      <c r="F85" s="111" t="s">
        <v>136</v>
      </c>
    </row>
    <row r="86" spans="2:6">
      <c r="B86" s="88" t="s">
        <v>432</v>
      </c>
      <c r="C86" s="88" t="s">
        <v>433</v>
      </c>
      <c r="D86" s="92">
        <f>F83*D78</f>
        <v>82.500000000000014</v>
      </c>
      <c r="E86" s="88" t="s">
        <v>21</v>
      </c>
      <c r="F86" s="88"/>
    </row>
    <row r="87" spans="2:6">
      <c r="B87" s="88" t="s">
        <v>434</v>
      </c>
      <c r="C87" s="88" t="s">
        <v>435</v>
      </c>
      <c r="D87" s="92">
        <f>D86/D72*D73</f>
        <v>89.673913043478279</v>
      </c>
      <c r="E87" s="88" t="s">
        <v>21</v>
      </c>
      <c r="F87" s="88"/>
    </row>
    <row r="88" spans="2:6">
      <c r="B88" s="88" t="s">
        <v>436</v>
      </c>
      <c r="C88" s="88" t="s">
        <v>437</v>
      </c>
      <c r="D88" s="92">
        <f>D86/D72*D71</f>
        <v>48.423913043478272</v>
      </c>
      <c r="E88" s="88" t="s">
        <v>21</v>
      </c>
      <c r="F88" s="88"/>
    </row>
    <row r="89" spans="2:6">
      <c r="B89" s="88" t="s">
        <v>438</v>
      </c>
      <c r="C89" s="88" t="s">
        <v>439</v>
      </c>
      <c r="D89" s="92">
        <f>D88/F83</f>
        <v>16.14130434782609</v>
      </c>
      <c r="E89" s="88" t="s">
        <v>21</v>
      </c>
      <c r="F89" s="88"/>
    </row>
    <row r="90" spans="2:6">
      <c r="B90" s="88" t="s">
        <v>440</v>
      </c>
      <c r="C90" s="88" t="s">
        <v>441</v>
      </c>
      <c r="D90" s="92">
        <f>D72/D82*1000</f>
        <v>19.166666666666664</v>
      </c>
      <c r="E90" s="88" t="s">
        <v>406</v>
      </c>
      <c r="F90" s="85">
        <v>19</v>
      </c>
    </row>
    <row r="91" spans="2:6">
      <c r="B91" s="88" t="s">
        <v>442</v>
      </c>
      <c r="C91" s="88" t="s">
        <v>443</v>
      </c>
      <c r="D91" s="92">
        <f>(F90*D86/D72)-F90</f>
        <v>662.52173913043498</v>
      </c>
      <c r="E91" s="88" t="s">
        <v>406</v>
      </c>
      <c r="F91" s="85">
        <v>680</v>
      </c>
    </row>
    <row r="92" spans="2:6">
      <c r="B92" s="21"/>
      <c r="C92" s="21"/>
      <c r="D92" s="23"/>
      <c r="E92" s="21"/>
      <c r="F92" s="21"/>
    </row>
    <row r="93" spans="2:6" ht="15.75">
      <c r="B93" s="111" t="s">
        <v>1</v>
      </c>
      <c r="C93" s="111" t="s">
        <v>2</v>
      </c>
      <c r="D93" s="111" t="s">
        <v>3</v>
      </c>
      <c r="E93" s="111" t="s">
        <v>4</v>
      </c>
      <c r="F93" s="25"/>
    </row>
    <row r="94" spans="2:6">
      <c r="B94" s="88" t="s">
        <v>444</v>
      </c>
      <c r="C94" s="88" t="s">
        <v>424</v>
      </c>
      <c r="D94" s="92">
        <f>(D72/F83)*((F91/F90)+1)</f>
        <v>28.205263157894734</v>
      </c>
      <c r="E94" s="88" t="s">
        <v>21</v>
      </c>
      <c r="F94" s="21"/>
    </row>
    <row r="95" spans="2:6">
      <c r="B95" s="88" t="s">
        <v>445</v>
      </c>
      <c r="C95" s="88" t="s">
        <v>426</v>
      </c>
      <c r="D95" s="92">
        <f>(D73/F83)*((F91/F90)+1)</f>
        <v>30.657894736842106</v>
      </c>
      <c r="E95" s="88" t="s">
        <v>21</v>
      </c>
      <c r="F95" s="21"/>
    </row>
    <row r="96" spans="2:6">
      <c r="B96" s="88" t="s">
        <v>446</v>
      </c>
      <c r="C96" s="88" t="s">
        <v>433</v>
      </c>
      <c r="D96" s="92">
        <f>F83*D94</f>
        <v>84.615789473684202</v>
      </c>
      <c r="E96" s="88" t="s">
        <v>21</v>
      </c>
      <c r="F96" s="21"/>
    </row>
    <row r="97" spans="2:15">
      <c r="B97" s="88" t="s">
        <v>447</v>
      </c>
      <c r="C97" s="88" t="s">
        <v>435</v>
      </c>
      <c r="D97" s="92">
        <f>F83*D95</f>
        <v>91.973684210526315</v>
      </c>
      <c r="E97" s="88" t="s">
        <v>21</v>
      </c>
      <c r="F97" s="21"/>
    </row>
    <row r="98" spans="2:15">
      <c r="B98" s="88" t="s">
        <v>448</v>
      </c>
      <c r="C98" s="88" t="s">
        <v>437</v>
      </c>
      <c r="D98" s="92">
        <f>(D96/D72)*(D71)</f>
        <v>49.665789473684214</v>
      </c>
      <c r="E98" s="88" t="s">
        <v>21</v>
      </c>
      <c r="F98" s="21"/>
    </row>
    <row r="99" spans="2:15">
      <c r="B99" s="88" t="s">
        <v>449</v>
      </c>
      <c r="C99" s="88" t="s">
        <v>439</v>
      </c>
      <c r="D99" s="92">
        <f>D98/F83</f>
        <v>16.555263157894739</v>
      </c>
      <c r="E99" s="88" t="s">
        <v>21</v>
      </c>
      <c r="F99" s="21"/>
    </row>
    <row r="100" spans="2:15">
      <c r="B100" s="88" t="s">
        <v>450</v>
      </c>
      <c r="C100" s="88" t="s">
        <v>451</v>
      </c>
      <c r="D100" s="92">
        <f>'Design Spec'!D95*F83</f>
        <v>75</v>
      </c>
      <c r="E100" s="88" t="s">
        <v>21</v>
      </c>
      <c r="F100" s="21"/>
    </row>
    <row r="101" spans="2:15">
      <c r="B101" s="21"/>
      <c r="C101" s="21"/>
      <c r="D101" s="21"/>
      <c r="E101" s="21"/>
      <c r="F101" s="21"/>
    </row>
    <row r="102" spans="2:15" hidden="1">
      <c r="B102" s="16" t="s">
        <v>452</v>
      </c>
      <c r="C102" s="16" t="s">
        <v>453</v>
      </c>
      <c r="D102" s="16">
        <f>'Design Spec'!D78</f>
        <v>90</v>
      </c>
      <c r="E102" s="16" t="s">
        <v>7</v>
      </c>
    </row>
    <row r="104" spans="2:15" ht="18">
      <c r="B104" s="6" t="s">
        <v>454</v>
      </c>
    </row>
    <row r="105" spans="2:15" ht="6" customHeight="1">
      <c r="B105" s="20"/>
    </row>
    <row r="106" spans="2:15" ht="15.75">
      <c r="B106" s="111" t="s">
        <v>1</v>
      </c>
      <c r="C106" s="111" t="s">
        <v>2</v>
      </c>
      <c r="D106" s="111" t="s">
        <v>3</v>
      </c>
      <c r="E106" s="111" t="s">
        <v>4</v>
      </c>
      <c r="F106" s="111" t="s">
        <v>136</v>
      </c>
      <c r="I106" s="114" t="s">
        <v>455</v>
      </c>
      <c r="J106" s="116"/>
      <c r="K106" s="116"/>
      <c r="L106" s="116"/>
      <c r="M106" s="116"/>
      <c r="N106" s="116"/>
      <c r="O106" s="117"/>
    </row>
    <row r="107" spans="2:15" hidden="1">
      <c r="B107" s="89" t="s">
        <v>456</v>
      </c>
      <c r="C107" s="89" t="s">
        <v>457</v>
      </c>
      <c r="D107" s="89">
        <v>4</v>
      </c>
      <c r="E107" s="89" t="s">
        <v>397</v>
      </c>
      <c r="F107" s="89"/>
    </row>
    <row r="108" spans="2:15">
      <c r="B108" s="88" t="s">
        <v>458</v>
      </c>
      <c r="C108" s="88" t="s">
        <v>459</v>
      </c>
      <c r="D108" s="92">
        <f>SQRT(2)*D102/D107</f>
        <v>31.81980515339464</v>
      </c>
      <c r="E108" s="88" t="s">
        <v>406</v>
      </c>
      <c r="F108" s="85">
        <v>30</v>
      </c>
      <c r="I108" s="59"/>
      <c r="J108" s="60"/>
      <c r="K108" s="60"/>
      <c r="L108" s="60"/>
      <c r="M108" s="60"/>
      <c r="N108" s="60"/>
      <c r="O108" s="61"/>
    </row>
    <row r="109" spans="2:15">
      <c r="B109" s="88" t="s">
        <v>460</v>
      </c>
      <c r="C109" s="88" t="s">
        <v>461</v>
      </c>
      <c r="D109" s="92">
        <f>F108*D107/SQRT(2)</f>
        <v>84.852813742385692</v>
      </c>
      <c r="E109" s="88" t="s">
        <v>21</v>
      </c>
      <c r="F109" s="88"/>
      <c r="I109" s="19"/>
      <c r="O109" s="62"/>
    </row>
    <row r="110" spans="2:15">
      <c r="B110" s="88" t="s">
        <v>462</v>
      </c>
      <c r="C110" s="201" t="str">
        <f>IF(OR('Design Spec'!D80=0,'Design Spec'!D80=1,'Design Spec'!D80=3),"Connect to driver","Short to GND")</f>
        <v>Connect to driver</v>
      </c>
      <c r="D110" s="202"/>
      <c r="E110" s="203"/>
      <c r="F110" s="88"/>
      <c r="I110" s="19"/>
      <c r="O110" s="62"/>
    </row>
    <row r="111" spans="2:15" ht="15" customHeight="1">
      <c r="B111" s="88" t="s">
        <v>463</v>
      </c>
      <c r="C111" s="201" t="str">
        <f>IF('Design Spec'!D80=0,IF(F108&lt;47.5,"Morphing enabled","Check R.CFG value"),IF('Design Spec'!D80=1,"FB configuration",IF('Design Spec'!D80=3,IF(F108&gt;47.5,"FB at high mains configuration","Check R.CFG value"),"Forced HB configuration - Splitted Cr mandatory")))</f>
        <v>Morphing enabled</v>
      </c>
      <c r="D111" s="202"/>
      <c r="E111" s="203"/>
      <c r="F111" s="88"/>
      <c r="I111" s="19"/>
      <c r="O111" s="62"/>
    </row>
    <row r="112" spans="2:15">
      <c r="I112" s="19"/>
      <c r="O112" s="62"/>
    </row>
    <row r="113" spans="2:15" ht="18">
      <c r="B113" s="125" t="s">
        <v>464</v>
      </c>
      <c r="C113" s="124"/>
      <c r="D113" s="124"/>
      <c r="E113" s="137"/>
      <c r="I113" s="19"/>
      <c r="O113" s="62"/>
    </row>
    <row r="114" spans="2:15">
      <c r="B114" s="19"/>
      <c r="E114" s="62"/>
      <c r="I114" s="19"/>
      <c r="O114" s="62"/>
    </row>
    <row r="115" spans="2:15">
      <c r="B115" s="19"/>
      <c r="E115" s="62"/>
      <c r="I115" s="19"/>
      <c r="O115" s="62"/>
    </row>
    <row r="116" spans="2:15">
      <c r="B116" s="19"/>
      <c r="E116" s="62"/>
      <c r="I116" s="19"/>
      <c r="O116" s="62"/>
    </row>
    <row r="117" spans="2:15">
      <c r="B117" s="19"/>
      <c r="E117" s="62"/>
      <c r="I117" s="19"/>
      <c r="O117" s="62"/>
    </row>
    <row r="118" spans="2:15">
      <c r="B118" s="19"/>
      <c r="E118" s="62"/>
      <c r="I118" s="63"/>
      <c r="J118" s="64"/>
      <c r="K118" s="64"/>
      <c r="L118" s="64"/>
      <c r="M118" s="64"/>
      <c r="N118" s="64"/>
      <c r="O118" s="65"/>
    </row>
    <row r="119" spans="2:15">
      <c r="B119" s="19"/>
      <c r="E119" s="62"/>
    </row>
    <row r="120" spans="2:15">
      <c r="B120" s="19"/>
      <c r="E120" s="62"/>
    </row>
    <row r="121" spans="2:15">
      <c r="B121" s="19"/>
      <c r="E121" s="62"/>
    </row>
    <row r="122" spans="2:15">
      <c r="B122" s="19"/>
      <c r="E122" s="62"/>
    </row>
    <row r="123" spans="2:15">
      <c r="B123" s="19"/>
      <c r="E123" s="62"/>
    </row>
    <row r="124" spans="2:15">
      <c r="B124" s="19"/>
      <c r="E124" s="62"/>
    </row>
    <row r="125" spans="2:15">
      <c r="B125" s="19"/>
      <c r="E125" s="62"/>
    </row>
    <row r="126" spans="2:15">
      <c r="B126" s="19"/>
      <c r="E126" s="62"/>
    </row>
    <row r="127" spans="2:15">
      <c r="B127" s="19"/>
      <c r="E127" s="62"/>
    </row>
    <row r="128" spans="2:15">
      <c r="B128" s="19"/>
      <c r="E128" s="62"/>
    </row>
    <row r="129" spans="2:5">
      <c r="B129" s="19"/>
      <c r="E129" s="62"/>
    </row>
    <row r="130" spans="2:5">
      <c r="B130" s="63"/>
      <c r="C130" s="64"/>
      <c r="D130" s="64"/>
      <c r="E130" s="65"/>
    </row>
  </sheetData>
  <mergeCells count="2">
    <mergeCell ref="C111:E111"/>
    <mergeCell ref="C110:E110"/>
  </mergeCells>
  <phoneticPr fontId="6" type="noConversion"/>
  <conditionalFormatting sqref="C111">
    <cfRule type="cellIs" dxfId="11" priority="1" operator="equal">
      <formula>"Check R.CFG value"</formula>
    </cfRule>
  </conditionalFormatting>
  <pageMargins left="0.7" right="0.7" top="0.75" bottom="0.75" header="0.3" footer="0.3"/>
  <customProperties>
    <customPr name="IbpWorksheetKeyString_GUID" r:id="rId1"/>
  </customPropertie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8279-5E19-48BF-88C6-30796CA3605D}">
  <sheetPr>
    <tabColor rgb="FF00B0F0"/>
  </sheetPr>
  <dimension ref="B1:BX251"/>
  <sheetViews>
    <sheetView topLeftCell="A8" zoomScaleNormal="100" workbookViewId="0">
      <selection activeCell="F112" sqref="F112"/>
    </sheetView>
  </sheetViews>
  <sheetFormatPr defaultColWidth="8.7109375" defaultRowHeight="14.25"/>
  <cols>
    <col min="1" max="1" width="8.7109375" style="21"/>
    <col min="2" max="2" width="75" style="21" customWidth="1"/>
    <col min="3" max="3" width="13.140625" style="21" bestFit="1" customWidth="1"/>
    <col min="4" max="4" width="11.85546875" style="21" bestFit="1" customWidth="1"/>
    <col min="5" max="5" width="8.7109375" style="21"/>
    <col min="6" max="6" width="18.5703125" style="21" customWidth="1"/>
    <col min="7" max="7" width="14.42578125" style="27" bestFit="1" customWidth="1"/>
    <col min="8" max="8" width="21.7109375" style="27" bestFit="1" customWidth="1"/>
    <col min="9" max="10" width="14.5703125" style="27" bestFit="1" customWidth="1"/>
    <col min="11" max="14" width="15.85546875" style="27" bestFit="1" customWidth="1"/>
    <col min="15" max="15" width="15.140625" style="27" bestFit="1" customWidth="1"/>
    <col min="16" max="16" width="14" style="27" bestFit="1" customWidth="1"/>
    <col min="17" max="17" width="16" style="27" bestFit="1" customWidth="1"/>
    <col min="18" max="19" width="16.7109375" style="27" bestFit="1" customWidth="1"/>
    <col min="20" max="32" width="16.28515625" style="27" bestFit="1" customWidth="1"/>
    <col min="33" max="36" width="16.7109375" style="27" bestFit="1" customWidth="1"/>
    <col min="37" max="37" width="16.28515625" style="27" bestFit="1" customWidth="1"/>
    <col min="38" max="38" width="16.7109375" style="27" bestFit="1" customWidth="1"/>
    <col min="39" max="39" width="16.28515625" style="27" bestFit="1" customWidth="1"/>
    <col min="40" max="42" width="16.7109375" style="27" bestFit="1" customWidth="1"/>
    <col min="43" max="43" width="16.28515625" style="27" bestFit="1" customWidth="1"/>
    <col min="44" max="45" width="16.7109375" style="27" bestFit="1" customWidth="1"/>
    <col min="46" max="46" width="14.42578125" style="27" bestFit="1" customWidth="1"/>
    <col min="47" max="47" width="18.28515625" style="27" bestFit="1" customWidth="1"/>
    <col min="48" max="48" width="15.5703125" style="27" customWidth="1"/>
    <col min="49" max="49" width="13.28515625" style="27" customWidth="1"/>
    <col min="50" max="76" width="8.7109375" style="27"/>
    <col min="77" max="16384" width="8.7109375" style="21"/>
  </cols>
  <sheetData>
    <row r="1" spans="2:11" hidden="1"/>
    <row r="2" spans="2:11" hidden="1">
      <c r="B2" s="81" t="s">
        <v>465</v>
      </c>
      <c r="C2" s="81" t="s">
        <v>466</v>
      </c>
      <c r="D2" s="81">
        <f>'Design Spec'!D79</f>
        <v>264</v>
      </c>
      <c r="E2" s="81"/>
      <c r="F2" s="81"/>
    </row>
    <row r="3" spans="2:11" hidden="1">
      <c r="B3" s="81" t="s">
        <v>465</v>
      </c>
      <c r="C3" s="81" t="s">
        <v>467</v>
      </c>
      <c r="D3" s="81">
        <f>'Design Spec'!D83</f>
        <v>173.24116140000001</v>
      </c>
      <c r="E3" s="81"/>
      <c r="F3" s="81"/>
    </row>
    <row r="4" spans="2:11" hidden="1">
      <c r="B4" s="81" t="s">
        <v>465</v>
      </c>
      <c r="C4" s="81" t="s">
        <v>231</v>
      </c>
      <c r="D4" s="81">
        <f>'Design Spec'!D95</f>
        <v>25</v>
      </c>
      <c r="E4" s="81" t="s">
        <v>21</v>
      </c>
      <c r="F4" s="81"/>
    </row>
    <row r="5" spans="2:11" hidden="1">
      <c r="B5" s="81" t="s">
        <v>468</v>
      </c>
      <c r="C5" s="81" t="s">
        <v>246</v>
      </c>
      <c r="D5" s="81">
        <f>'Power Components'!D26*10^-6</f>
        <v>7.5200000000000003E-2</v>
      </c>
      <c r="E5" s="81" t="s">
        <v>469</v>
      </c>
      <c r="F5" s="81"/>
    </row>
    <row r="6" spans="2:11" hidden="1">
      <c r="B6" s="81" t="s">
        <v>465</v>
      </c>
      <c r="C6" s="81" t="s">
        <v>12</v>
      </c>
      <c r="D6" s="81">
        <f>'Design Spec'!D90</f>
        <v>50</v>
      </c>
      <c r="E6" s="81" t="s">
        <v>13</v>
      </c>
      <c r="F6" s="81"/>
    </row>
    <row r="7" spans="2:11" hidden="1">
      <c r="B7" s="81" t="s">
        <v>465</v>
      </c>
      <c r="C7" s="81" t="s">
        <v>470</v>
      </c>
      <c r="D7" s="81">
        <f>'Design Spec'!D91</f>
        <v>47</v>
      </c>
      <c r="E7" s="81" t="s">
        <v>13</v>
      </c>
      <c r="F7" s="81"/>
    </row>
    <row r="11" spans="2:11" ht="18">
      <c r="B11" s="6" t="s">
        <v>471</v>
      </c>
    </row>
    <row r="12" spans="2:11" ht="6" customHeight="1">
      <c r="B12" s="82"/>
    </row>
    <row r="13" spans="2:11" ht="15" customHeight="1">
      <c r="B13" s="111" t="s">
        <v>1</v>
      </c>
      <c r="C13" s="111" t="s">
        <v>2</v>
      </c>
      <c r="D13" s="111" t="s">
        <v>3</v>
      </c>
      <c r="E13" s="111" t="s">
        <v>4</v>
      </c>
      <c r="H13" s="144" t="s">
        <v>472</v>
      </c>
      <c r="I13" s="145"/>
      <c r="J13" s="145"/>
      <c r="K13" s="146"/>
    </row>
    <row r="14" spans="2:11" ht="15" customHeight="1">
      <c r="B14" s="88" t="s">
        <v>473</v>
      </c>
      <c r="C14" s="88" t="s">
        <v>474</v>
      </c>
      <c r="D14" s="85">
        <v>12</v>
      </c>
      <c r="E14" s="88" t="s">
        <v>21</v>
      </c>
      <c r="H14" s="31"/>
      <c r="K14" s="158"/>
    </row>
    <row r="15" spans="2:11" ht="14.25" hidden="1" customHeight="1">
      <c r="B15" s="88" t="s">
        <v>475</v>
      </c>
      <c r="C15" s="88" t="s">
        <v>476</v>
      </c>
      <c r="D15" s="106">
        <f>300/D31</f>
        <v>566.03773584905662</v>
      </c>
      <c r="E15" s="88" t="s">
        <v>429</v>
      </c>
      <c r="H15" s="31"/>
      <c r="K15" s="158"/>
    </row>
    <row r="16" spans="2:11" ht="14.25" hidden="1" customHeight="1">
      <c r="B16" s="89" t="s">
        <v>477</v>
      </c>
      <c r="C16" s="89" t="s">
        <v>478</v>
      </c>
      <c r="D16" s="89">
        <v>150</v>
      </c>
      <c r="E16" s="89" t="s">
        <v>429</v>
      </c>
      <c r="H16" s="31"/>
      <c r="K16" s="158"/>
    </row>
    <row r="17" spans="2:11" ht="14.25" hidden="1" customHeight="1">
      <c r="B17" s="89" t="s">
        <v>479</v>
      </c>
      <c r="C17" s="89" t="s">
        <v>480</v>
      </c>
      <c r="D17" s="89">
        <v>35</v>
      </c>
      <c r="E17" s="89" t="s">
        <v>406</v>
      </c>
      <c r="H17" s="31"/>
      <c r="K17" s="158"/>
    </row>
    <row r="18" spans="2:11" ht="17.45" customHeight="1">
      <c r="B18" s="93"/>
      <c r="C18" s="93"/>
      <c r="D18" s="93"/>
      <c r="E18" s="93"/>
      <c r="H18" s="31"/>
      <c r="K18" s="158"/>
    </row>
    <row r="19" spans="2:11" ht="15.95" customHeight="1">
      <c r="B19" s="90" t="s">
        <v>481</v>
      </c>
      <c r="C19" s="197" t="s">
        <v>482</v>
      </c>
      <c r="D19" s="197"/>
      <c r="E19" s="197"/>
      <c r="H19" s="31"/>
      <c r="K19" s="158"/>
    </row>
    <row r="20" spans="2:11" ht="17.45" customHeight="1">
      <c r="B20" s="121"/>
      <c r="C20" s="93"/>
      <c r="D20" s="93"/>
      <c r="E20" s="93"/>
      <c r="H20" s="31"/>
      <c r="K20" s="158"/>
    </row>
    <row r="21" spans="2:11" ht="15.75">
      <c r="B21" s="111" t="s">
        <v>1</v>
      </c>
      <c r="C21" s="111" t="s">
        <v>2</v>
      </c>
      <c r="D21" s="111" t="s">
        <v>3</v>
      </c>
      <c r="E21" s="111" t="s">
        <v>4</v>
      </c>
      <c r="H21" s="31"/>
      <c r="K21" s="158"/>
    </row>
    <row r="22" spans="2:11">
      <c r="B22" s="88" t="s">
        <v>483</v>
      </c>
      <c r="C22" s="88" t="s">
        <v>484</v>
      </c>
      <c r="D22" s="85">
        <v>2.4950000000000001</v>
      </c>
      <c r="E22" s="88" t="s">
        <v>21</v>
      </c>
      <c r="H22" s="31"/>
      <c r="K22" s="158"/>
    </row>
    <row r="23" spans="2:11" ht="16.5" customHeight="1">
      <c r="B23" s="88" t="s">
        <v>485</v>
      </c>
      <c r="C23" s="88" t="s">
        <v>486</v>
      </c>
      <c r="D23" s="85">
        <v>0.8</v>
      </c>
      <c r="E23" s="88" t="s">
        <v>345</v>
      </c>
      <c r="H23" s="31"/>
      <c r="K23" s="158"/>
    </row>
    <row r="24" spans="2:11">
      <c r="B24" s="93"/>
      <c r="C24" s="93"/>
      <c r="D24" s="93"/>
      <c r="E24" s="93"/>
      <c r="H24" s="31"/>
      <c r="K24" s="158"/>
    </row>
    <row r="25" spans="2:11" ht="15">
      <c r="B25" s="90" t="s">
        <v>487</v>
      </c>
      <c r="C25" s="197" t="s">
        <v>488</v>
      </c>
      <c r="D25" s="197"/>
      <c r="E25" s="197"/>
      <c r="H25" s="31"/>
      <c r="K25" s="158"/>
    </row>
    <row r="26" spans="2:11">
      <c r="B26" s="93"/>
      <c r="C26" s="93"/>
      <c r="D26" s="93"/>
      <c r="E26" s="93"/>
      <c r="H26" s="31"/>
      <c r="K26" s="158"/>
    </row>
    <row r="27" spans="2:11" ht="15.75">
      <c r="B27" s="111" t="s">
        <v>1</v>
      </c>
      <c r="C27" s="111" t="s">
        <v>2</v>
      </c>
      <c r="D27" s="111" t="s">
        <v>3</v>
      </c>
      <c r="E27" s="111" t="s">
        <v>4</v>
      </c>
      <c r="H27" s="159"/>
      <c r="I27" s="160"/>
      <c r="J27" s="160"/>
      <c r="K27" s="161"/>
    </row>
    <row r="28" spans="2:11">
      <c r="B28" s="88" t="s">
        <v>489</v>
      </c>
      <c r="C28" s="88" t="s">
        <v>490</v>
      </c>
      <c r="D28" s="85">
        <v>1.1499999999999999</v>
      </c>
      <c r="E28" s="88" t="s">
        <v>21</v>
      </c>
    </row>
    <row r="29" spans="2:11">
      <c r="B29" s="88" t="s">
        <v>491</v>
      </c>
      <c r="C29" s="88" t="s">
        <v>492</v>
      </c>
      <c r="D29" s="85">
        <v>0.37</v>
      </c>
      <c r="E29" s="88"/>
    </row>
    <row r="30" spans="2:11">
      <c r="B30" s="88" t="s">
        <v>493</v>
      </c>
      <c r="C30" s="88" t="s">
        <v>494</v>
      </c>
      <c r="D30" s="85">
        <v>3</v>
      </c>
      <c r="E30" s="88" t="s">
        <v>71</v>
      </c>
    </row>
    <row r="31" spans="2:11">
      <c r="B31" s="88" t="s">
        <v>495</v>
      </c>
      <c r="C31" s="88" t="s">
        <v>496</v>
      </c>
      <c r="D31" s="85">
        <v>0.53</v>
      </c>
      <c r="E31" s="88" t="str">
        <f>"-"</f>
        <v>-</v>
      </c>
    </row>
    <row r="33" spans="2:6" ht="18">
      <c r="B33" s="6" t="s">
        <v>497</v>
      </c>
    </row>
    <row r="34" spans="2:6" ht="6" customHeight="1">
      <c r="B34" s="6"/>
    </row>
    <row r="35" spans="2:6" ht="15.75">
      <c r="B35" s="111" t="s">
        <v>1</v>
      </c>
      <c r="C35" s="111" t="s">
        <v>2</v>
      </c>
      <c r="D35" s="111" t="s">
        <v>3</v>
      </c>
      <c r="E35" s="111" t="s">
        <v>4</v>
      </c>
      <c r="F35" s="111" t="s">
        <v>16</v>
      </c>
    </row>
    <row r="36" spans="2:6">
      <c r="B36" s="88" t="s">
        <v>498</v>
      </c>
      <c r="C36" s="88" t="s">
        <v>499</v>
      </c>
      <c r="D36" s="97">
        <v>100</v>
      </c>
      <c r="E36" s="88" t="s">
        <v>406</v>
      </c>
      <c r="F36" s="88"/>
    </row>
    <row r="37" spans="2:6">
      <c r="B37" s="88" t="s">
        <v>500</v>
      </c>
      <c r="C37" s="88" t="s">
        <v>501</v>
      </c>
      <c r="D37" s="92">
        <f>D22/(D4-D22)*D36</f>
        <v>11.086425238835815</v>
      </c>
      <c r="E37" s="88" t="s">
        <v>406</v>
      </c>
      <c r="F37" s="85">
        <v>11</v>
      </c>
    </row>
    <row r="38" spans="2:6">
      <c r="B38" s="88" t="s">
        <v>502</v>
      </c>
      <c r="C38" s="88" t="s">
        <v>231</v>
      </c>
      <c r="D38" s="92">
        <f>D22*(D36+F37)/F37</f>
        <v>25.176818181818181</v>
      </c>
      <c r="E38" s="88" t="s">
        <v>21</v>
      </c>
      <c r="F38" s="88"/>
    </row>
    <row r="39" spans="2:6">
      <c r="B39" s="93"/>
      <c r="C39" s="93"/>
      <c r="D39" s="93"/>
      <c r="E39" s="93"/>
      <c r="F39" s="93"/>
    </row>
    <row r="40" spans="2:6" ht="15.75">
      <c r="B40" s="111" t="s">
        <v>1</v>
      </c>
      <c r="C40" s="111" t="s">
        <v>2</v>
      </c>
      <c r="D40" s="111" t="s">
        <v>3</v>
      </c>
      <c r="E40" s="111" t="s">
        <v>4</v>
      </c>
      <c r="F40" s="111" t="s">
        <v>16</v>
      </c>
    </row>
    <row r="41" spans="2:6">
      <c r="B41" s="88" t="s">
        <v>503</v>
      </c>
      <c r="C41" s="88" t="s">
        <v>504</v>
      </c>
      <c r="D41" s="92">
        <f>D28/D23</f>
        <v>1.4374999999999998</v>
      </c>
      <c r="E41" s="88" t="s">
        <v>406</v>
      </c>
      <c r="F41" s="85">
        <v>1.3</v>
      </c>
    </row>
    <row r="42" spans="2:6">
      <c r="B42" s="88" t="s">
        <v>505</v>
      </c>
      <c r="C42" s="88" t="s">
        <v>506</v>
      </c>
      <c r="D42" s="92">
        <f>(D14-(D22+D28))/(((D16*10^-6)/D29)+(D23*10^-3))/1000</f>
        <v>6.9312780269058294</v>
      </c>
      <c r="E42" s="88" t="s">
        <v>406</v>
      </c>
      <c r="F42" s="88"/>
    </row>
    <row r="43" spans="2:6">
      <c r="B43" s="88" t="s">
        <v>507</v>
      </c>
      <c r="C43" s="88" t="s">
        <v>508</v>
      </c>
      <c r="D43" s="92">
        <f>(D14-(D22+D28))/(((D15*10^-6)/D31)+(D23*10^-3))/1000</f>
        <v>4.4727083015703624</v>
      </c>
      <c r="E43" s="88" t="s">
        <v>406</v>
      </c>
      <c r="F43" s="85">
        <v>6.2</v>
      </c>
    </row>
    <row r="44" spans="2:6">
      <c r="B44" s="88" t="s">
        <v>509</v>
      </c>
      <c r="C44" s="88" t="s">
        <v>510</v>
      </c>
      <c r="D44" s="92">
        <f>((D14-(D22+D28))/(F43*1000)-(D23*10^-3))*D31*(10^6)</f>
        <v>290.2177419354839</v>
      </c>
      <c r="E44" s="88" t="s">
        <v>429</v>
      </c>
      <c r="F44" s="88"/>
    </row>
    <row r="45" spans="2:6">
      <c r="D45" s="23"/>
    </row>
    <row r="46" spans="2:6" hidden="1">
      <c r="B46" s="24" t="s">
        <v>511</v>
      </c>
      <c r="C46" s="24" t="s">
        <v>512</v>
      </c>
      <c r="D46" s="83">
        <f>3.34*(10^-3)</f>
        <v>3.3400000000000001E-3</v>
      </c>
      <c r="E46" s="28" t="str">
        <f>"-"</f>
        <v>-</v>
      </c>
    </row>
    <row r="47" spans="2:6" hidden="1">
      <c r="B47" s="24" t="s">
        <v>511</v>
      </c>
      <c r="C47" s="24" t="s">
        <v>513</v>
      </c>
      <c r="D47" s="24">
        <v>0.2</v>
      </c>
      <c r="E47" s="24" t="s">
        <v>514</v>
      </c>
    </row>
    <row r="48" spans="2:6" hidden="1">
      <c r="B48" s="24" t="s">
        <v>511</v>
      </c>
      <c r="C48" s="24" t="s">
        <v>515</v>
      </c>
      <c r="D48" s="24">
        <v>0.2</v>
      </c>
      <c r="E48" s="24" t="s">
        <v>516</v>
      </c>
    </row>
    <row r="49" spans="2:6" hidden="1">
      <c r="B49" s="24" t="s">
        <v>517</v>
      </c>
      <c r="C49" s="24" t="s">
        <v>518</v>
      </c>
      <c r="D49" s="24">
        <v>0.5</v>
      </c>
      <c r="E49" s="24" t="s">
        <v>21</v>
      </c>
    </row>
    <row r="50" spans="2:6" hidden="1">
      <c r="D50" s="23"/>
    </row>
    <row r="51" spans="2:6" hidden="1">
      <c r="B51" s="81" t="s">
        <v>519</v>
      </c>
      <c r="C51" s="81" t="s">
        <v>127</v>
      </c>
      <c r="D51" s="75">
        <f>'Preliminary Calculation'!D17/100</f>
        <v>0.98</v>
      </c>
      <c r="E51" s="81"/>
      <c r="F51" s="81"/>
    </row>
    <row r="52" spans="2:6" hidden="1">
      <c r="B52" s="81" t="s">
        <v>520</v>
      </c>
      <c r="C52" s="81" t="s">
        <v>386</v>
      </c>
      <c r="D52" s="81">
        <f>'Device Setting'!D46*10^(-3)</f>
        <v>2.4E-2</v>
      </c>
      <c r="E52" s="81" t="s">
        <v>46</v>
      </c>
      <c r="F52" s="81"/>
    </row>
    <row r="54" spans="2:6">
      <c r="D54" s="23"/>
    </row>
    <row r="55" spans="2:6" hidden="1">
      <c r="D55" s="23"/>
    </row>
    <row r="56" spans="2:6" ht="18">
      <c r="B56" s="6" t="s">
        <v>521</v>
      </c>
      <c r="D56" s="23"/>
    </row>
    <row r="57" spans="2:6" ht="6" customHeight="1">
      <c r="B57" s="6"/>
      <c r="D57" s="23"/>
    </row>
    <row r="58" spans="2:6" ht="15.75">
      <c r="B58" s="111" t="s">
        <v>1</v>
      </c>
      <c r="C58" s="111" t="s">
        <v>2</v>
      </c>
      <c r="D58" s="111" t="s">
        <v>3</v>
      </c>
      <c r="E58" s="111" t="s">
        <v>4</v>
      </c>
    </row>
    <row r="59" spans="2:6">
      <c r="B59" s="88" t="s">
        <v>522</v>
      </c>
      <c r="C59" s="88" t="s">
        <v>523</v>
      </c>
      <c r="D59" s="85">
        <v>50</v>
      </c>
      <c r="E59" s="88" t="s">
        <v>524</v>
      </c>
    </row>
    <row r="60" spans="2:6">
      <c r="B60" s="88" t="s">
        <v>525</v>
      </c>
      <c r="C60" s="88" t="s">
        <v>526</v>
      </c>
      <c r="D60" s="85">
        <v>5</v>
      </c>
      <c r="E60" s="88" t="s">
        <v>26</v>
      </c>
    </row>
    <row r="61" spans="2:6">
      <c r="B61" s="88" t="s">
        <v>527</v>
      </c>
      <c r="C61" s="88" t="s">
        <v>528</v>
      </c>
      <c r="D61" s="88">
        <f>'Design Spec'!D98</f>
        <v>657.5</v>
      </c>
      <c r="E61" s="88" t="s">
        <v>32</v>
      </c>
    </row>
    <row r="63" spans="2:6" ht="15.75">
      <c r="B63" s="111" t="s">
        <v>1</v>
      </c>
      <c r="C63" s="111" t="s">
        <v>2</v>
      </c>
      <c r="D63" s="111" t="s">
        <v>3</v>
      </c>
      <c r="E63" s="111" t="s">
        <v>4</v>
      </c>
      <c r="F63" s="25" t="s">
        <v>16</v>
      </c>
    </row>
    <row r="64" spans="2:6">
      <c r="B64" s="88" t="s">
        <v>529</v>
      </c>
      <c r="C64" s="88" t="s">
        <v>530</v>
      </c>
      <c r="D64" s="92">
        <f>(2*D46)/(D47*D48)*D61/D51*D52</f>
        <v>2.6890408163265302</v>
      </c>
      <c r="E64" s="88" t="s">
        <v>21</v>
      </c>
    </row>
    <row r="65" spans="2:6">
      <c r="B65" s="88" t="s">
        <v>531</v>
      </c>
      <c r="C65" s="88" t="s">
        <v>532</v>
      </c>
      <c r="D65" s="92">
        <f>(D61/D4)*(1/(2*PI()*D6))*(1/D5)</f>
        <v>1.1132380327970339</v>
      </c>
      <c r="E65" s="88" t="s">
        <v>21</v>
      </c>
    </row>
    <row r="66" spans="2:6">
      <c r="B66" s="88" t="s">
        <v>533</v>
      </c>
      <c r="C66" s="88" t="s">
        <v>534</v>
      </c>
      <c r="D66" s="92">
        <f>(D61/D4)*(1/(D64))*(1/D5)</f>
        <v>130.05903087442138</v>
      </c>
      <c r="E66" s="88" t="s">
        <v>13</v>
      </c>
    </row>
    <row r="67" spans="2:6">
      <c r="B67" s="88" t="s">
        <v>535</v>
      </c>
      <c r="C67" s="88" t="s">
        <v>536</v>
      </c>
      <c r="D67" s="92">
        <f>D64+D49</f>
        <v>3.1890408163265302</v>
      </c>
      <c r="E67" s="88" t="s">
        <v>21</v>
      </c>
    </row>
    <row r="68" spans="2:6">
      <c r="B68" s="88" t="s">
        <v>537</v>
      </c>
      <c r="C68" s="88" t="s">
        <v>538</v>
      </c>
      <c r="D68" s="92">
        <f>(D61/D4)*(1/(2*PI()*D7))*(1/D5)</f>
        <v>1.1842957795713125</v>
      </c>
      <c r="E68" s="88" t="s">
        <v>21</v>
      </c>
    </row>
    <row r="69" spans="2:6">
      <c r="D69" s="23"/>
    </row>
    <row r="70" spans="2:6" ht="15.75">
      <c r="B70" s="111" t="s">
        <v>1</v>
      </c>
      <c r="C70" s="111" t="s">
        <v>2</v>
      </c>
      <c r="D70" s="111" t="s">
        <v>3</v>
      </c>
      <c r="E70" s="111" t="s">
        <v>4</v>
      </c>
    </row>
    <row r="71" spans="2:6">
      <c r="B71" s="100" t="s">
        <v>539</v>
      </c>
      <c r="C71" s="100" t="s">
        <v>540</v>
      </c>
      <c r="D71" s="101">
        <f>(D61/D4)*(1/(D64))*(1/D5)</f>
        <v>130.05903087442138</v>
      </c>
      <c r="E71" s="100" t="s">
        <v>13</v>
      </c>
    </row>
    <row r="72" spans="2:6">
      <c r="B72" s="100" t="s">
        <v>541</v>
      </c>
      <c r="C72" s="100" t="s">
        <v>542</v>
      </c>
      <c r="D72" s="101">
        <f>D71/(2*PI())</f>
        <v>20.699537657405592</v>
      </c>
      <c r="E72" s="100" t="s">
        <v>13</v>
      </c>
    </row>
    <row r="73" spans="2:6">
      <c r="B73" s="100" t="s">
        <v>543</v>
      </c>
      <c r="C73" s="100" t="s">
        <v>544</v>
      </c>
      <c r="D73" s="102">
        <f>4*(((D67-D49)*D60/100)/(D65))</f>
        <v>0.48310257772459653</v>
      </c>
      <c r="E73" s="100" t="str">
        <f>"-"</f>
        <v>-</v>
      </c>
    </row>
    <row r="74" spans="2:6">
      <c r="B74" s="100" t="s">
        <v>545</v>
      </c>
      <c r="C74" s="100" t="s">
        <v>546</v>
      </c>
      <c r="D74" s="101">
        <f>0.744*D2/D3</f>
        <v>1.1337721267435465</v>
      </c>
      <c r="E74" s="100" t="str">
        <f>"-"</f>
        <v>-</v>
      </c>
      <c r="F74" s="27"/>
    </row>
    <row r="75" spans="2:6">
      <c r="B75" s="27"/>
      <c r="C75" s="27"/>
      <c r="D75" s="27"/>
      <c r="E75" s="27"/>
      <c r="F75" s="27"/>
    </row>
    <row r="76" spans="2:6" ht="15.75">
      <c r="B76" s="111" t="s">
        <v>1</v>
      </c>
      <c r="C76" s="111" t="s">
        <v>2</v>
      </c>
      <c r="D76" s="111" t="s">
        <v>3</v>
      </c>
      <c r="E76" s="111" t="s">
        <v>4</v>
      </c>
      <c r="F76" s="27"/>
    </row>
    <row r="77" spans="2:6">
      <c r="B77" s="100" t="s">
        <v>547</v>
      </c>
      <c r="C77" s="100" t="s">
        <v>548</v>
      </c>
      <c r="D77" s="100">
        <v>1.2</v>
      </c>
      <c r="E77" s="100" t="str">
        <f>"-"</f>
        <v>-</v>
      </c>
      <c r="F77" s="84" t="s">
        <v>549</v>
      </c>
    </row>
    <row r="78" spans="2:6">
      <c r="B78" s="100" t="s">
        <v>550</v>
      </c>
      <c r="C78" s="100" t="s">
        <v>551</v>
      </c>
      <c r="D78" s="101">
        <f>(1/(2*D77))*(((1+(D77^2))*(TAN((D59*PI()/180))))+((((1+(D77^2)*(TAN(D59*PI()/180)))^2)+(4*(D77^2)))^0.5))</f>
        <v>2.7218437818612142</v>
      </c>
      <c r="E78" s="100" t="str">
        <f>"-"</f>
        <v>-</v>
      </c>
    </row>
    <row r="80" spans="2:6" ht="18">
      <c r="B80" s="6" t="s">
        <v>552</v>
      </c>
    </row>
    <row r="81" spans="2:7" ht="5.0999999999999996" customHeight="1">
      <c r="B81" s="6"/>
    </row>
    <row r="82" spans="2:7" ht="15.75">
      <c r="B82" s="111" t="s">
        <v>1</v>
      </c>
      <c r="C82" s="111" t="s">
        <v>2</v>
      </c>
      <c r="D82" s="111" t="s">
        <v>3</v>
      </c>
      <c r="E82" s="112" t="s">
        <v>4</v>
      </c>
      <c r="F82" s="29"/>
    </row>
    <row r="83" spans="2:7">
      <c r="B83" s="88" t="s">
        <v>553</v>
      </c>
      <c r="C83" s="88" t="s">
        <v>554</v>
      </c>
      <c r="D83" s="92">
        <f>2*PI()*(2*D7)*(D73)/(D78^2)</f>
        <v>38.514182641532457</v>
      </c>
      <c r="E83" s="103" t="s">
        <v>13</v>
      </c>
      <c r="F83" s="30"/>
    </row>
    <row r="84" spans="2:7">
      <c r="B84" s="88" t="s">
        <v>555</v>
      </c>
      <c r="C84" s="88" t="s">
        <v>556</v>
      </c>
      <c r="D84" s="92">
        <f>(1/(2*PI()))*((D71*1*D78*D83)/(D74))^0.5</f>
        <v>17.452973974607403</v>
      </c>
      <c r="E84" s="103" t="s">
        <v>13</v>
      </c>
      <c r="F84" s="30"/>
    </row>
    <row r="85" spans="2:7">
      <c r="B85" s="88" t="s">
        <v>557</v>
      </c>
      <c r="C85" s="88" t="s">
        <v>558</v>
      </c>
      <c r="D85" s="92">
        <f>D78*D84</f>
        <v>47.504268687770761</v>
      </c>
      <c r="E85" s="103" t="s">
        <v>13</v>
      </c>
      <c r="F85" s="30"/>
    </row>
    <row r="86" spans="2:7">
      <c r="B86" s="88" t="s">
        <v>559</v>
      </c>
      <c r="C86" s="88" t="s">
        <v>560</v>
      </c>
      <c r="D86" s="92">
        <f>1/D78*D84</f>
        <v>6.4121879774720014</v>
      </c>
      <c r="E86" s="103" t="s">
        <v>13</v>
      </c>
      <c r="F86" s="30"/>
    </row>
    <row r="87" spans="2:7">
      <c r="B87" s="100" t="s">
        <v>561</v>
      </c>
      <c r="C87" s="100" t="s">
        <v>562</v>
      </c>
      <c r="D87" s="104">
        <v>1000</v>
      </c>
      <c r="E87" s="105" t="s">
        <v>13</v>
      </c>
      <c r="F87" s="31"/>
    </row>
    <row r="90" spans="2:7" ht="18">
      <c r="B90" s="6" t="s">
        <v>563</v>
      </c>
    </row>
    <row r="91" spans="2:7" ht="6" customHeight="1">
      <c r="B91" s="6"/>
    </row>
    <row r="92" spans="2:7" ht="15.75">
      <c r="B92" s="111" t="s">
        <v>1</v>
      </c>
      <c r="C92" s="111" t="s">
        <v>2</v>
      </c>
      <c r="D92" s="111" t="s">
        <v>3</v>
      </c>
      <c r="E92" s="111" t="s">
        <v>4</v>
      </c>
      <c r="F92" s="111" t="s">
        <v>16</v>
      </c>
    </row>
    <row r="93" spans="2:7">
      <c r="B93" s="88" t="s">
        <v>564</v>
      </c>
      <c r="C93" s="88" t="s">
        <v>565</v>
      </c>
      <c r="D93" s="101">
        <f>(D86/D85)*((D29*D17)/(D36*F43*1000*D83))*10^9</f>
        <v>73.20335776546581</v>
      </c>
      <c r="E93" s="88" t="s">
        <v>71</v>
      </c>
      <c r="F93" s="85">
        <v>82</v>
      </c>
      <c r="G93" s="157"/>
    </row>
    <row r="94" spans="2:7">
      <c r="B94" s="88" t="s">
        <v>566</v>
      </c>
      <c r="C94" s="88" t="s">
        <v>567</v>
      </c>
      <c r="D94" s="92">
        <f>IF(F93,F93,D93)*((D85/D86)-1)</f>
        <v>525.49155297423772</v>
      </c>
      <c r="E94" s="88" t="s">
        <v>71</v>
      </c>
      <c r="F94" s="85">
        <v>560</v>
      </c>
      <c r="G94" s="157"/>
    </row>
    <row r="95" spans="2:7">
      <c r="B95" s="88" t="s">
        <v>568</v>
      </c>
      <c r="C95" s="100" t="s">
        <v>569</v>
      </c>
      <c r="D95" s="101">
        <f>1/(2*PI()*(D86*IF(F94,F94,D94)*(10^-9)))/1000</f>
        <v>44.322664357274391</v>
      </c>
      <c r="E95" s="100" t="s">
        <v>406</v>
      </c>
      <c r="F95" s="85">
        <v>47</v>
      </c>
      <c r="G95" s="157"/>
    </row>
    <row r="96" spans="2:7">
      <c r="B96" s="88" t="s">
        <v>570</v>
      </c>
      <c r="C96" s="88" t="s">
        <v>571</v>
      </c>
      <c r="D96" s="101">
        <f>((1/(2*PI()*D87*D17*1000))-(D30*10^-9))*(10^9)</f>
        <v>1.5472840883398662</v>
      </c>
      <c r="E96" s="88" t="s">
        <v>71</v>
      </c>
      <c r="F96" s="85">
        <v>1.55</v>
      </c>
      <c r="G96" s="157"/>
    </row>
    <row r="98" spans="2:5" ht="18">
      <c r="B98" s="6" t="s">
        <v>572</v>
      </c>
    </row>
    <row r="99" spans="2:5" ht="4.5" customHeight="1">
      <c r="B99" s="6"/>
    </row>
    <row r="100" spans="2:5" ht="15.75">
      <c r="B100" s="111" t="s">
        <v>1</v>
      </c>
      <c r="C100" s="111" t="s">
        <v>2</v>
      </c>
      <c r="D100" s="111" t="s">
        <v>3</v>
      </c>
      <c r="E100" s="111" t="s">
        <v>4</v>
      </c>
    </row>
    <row r="101" spans="2:5">
      <c r="B101" s="88" t="s">
        <v>573</v>
      </c>
      <c r="C101" s="88" t="s">
        <v>574</v>
      </c>
      <c r="D101" s="92">
        <f>D29*D17/((IF(F94,F94,D94)+IF(F93,F93,D93))*(F43*D36))*10^6</f>
        <v>32.534418651391817</v>
      </c>
      <c r="E101" s="88" t="s">
        <v>13</v>
      </c>
    </row>
    <row r="102" spans="2:5">
      <c r="B102" s="88" t="s">
        <v>575</v>
      </c>
      <c r="C102" s="88" t="s">
        <v>576</v>
      </c>
      <c r="D102" s="92">
        <f>1/(2*PI()*(IF(F95,F95,D95)*IF(F94,F94,D94)))*10^6</f>
        <v>6.0469203302391854</v>
      </c>
      <c r="E102" s="88" t="s">
        <v>13</v>
      </c>
    </row>
    <row r="103" spans="2:5">
      <c r="B103" s="88" t="s">
        <v>575</v>
      </c>
      <c r="C103" s="88" t="s">
        <v>577</v>
      </c>
      <c r="D103" s="92">
        <f>1/(((2*PI()*IF(F95,F95,D95)*1000)*((IF(F94,F94,D94)*IF(F93,F93,D93))*(10^(-9))/(IF(F93,F93,D93)+IF(F94,F94,D94)))))</f>
        <v>47.342961609921424</v>
      </c>
      <c r="E103" s="88" t="s">
        <v>13</v>
      </c>
    </row>
    <row r="104" spans="2:5">
      <c r="B104" s="88" t="s">
        <v>578</v>
      </c>
      <c r="C104" s="88" t="s">
        <v>579</v>
      </c>
      <c r="D104" s="92">
        <f>1/(2*PI()*D17*1000*((D30+IF(F96,F96,D96))*10^-9))</f>
        <v>999.40309633843231</v>
      </c>
      <c r="E104" s="88" t="s">
        <v>13</v>
      </c>
    </row>
    <row r="107" spans="2:5" ht="18">
      <c r="B107" s="6" t="s">
        <v>580</v>
      </c>
    </row>
    <row r="108" spans="2:5" ht="4.5" customHeight="1">
      <c r="B108" s="6"/>
    </row>
    <row r="109" spans="2:5" ht="15.75">
      <c r="B109" s="111" t="s">
        <v>1</v>
      </c>
      <c r="C109" s="111" t="s">
        <v>2</v>
      </c>
      <c r="D109" s="111" t="s">
        <v>3</v>
      </c>
      <c r="E109" s="111" t="s">
        <v>4</v>
      </c>
    </row>
    <row r="110" spans="2:5">
      <c r="B110" s="88" t="s">
        <v>11</v>
      </c>
      <c r="C110" s="88" t="s">
        <v>12</v>
      </c>
      <c r="D110" s="85">
        <v>47</v>
      </c>
      <c r="E110" s="88" t="s">
        <v>13</v>
      </c>
    </row>
    <row r="111" spans="2:5">
      <c r="B111" s="88" t="s">
        <v>581</v>
      </c>
      <c r="C111" s="88" t="s">
        <v>582</v>
      </c>
      <c r="D111" s="85">
        <v>100</v>
      </c>
      <c r="E111" s="88" t="s">
        <v>26</v>
      </c>
    </row>
    <row r="112" spans="2:5">
      <c r="B112" s="88" t="s">
        <v>527</v>
      </c>
      <c r="C112" s="88" t="s">
        <v>583</v>
      </c>
      <c r="D112" s="88">
        <f>'Design Spec'!D27*D111/100</f>
        <v>657.5</v>
      </c>
      <c r="E112" s="88" t="s">
        <v>32</v>
      </c>
    </row>
    <row r="114" spans="2:49" ht="15.75">
      <c r="B114" s="111" t="s">
        <v>1</v>
      </c>
      <c r="C114" s="111" t="s">
        <v>2</v>
      </c>
      <c r="D114" s="111" t="s">
        <v>3</v>
      </c>
      <c r="E114" s="111" t="s">
        <v>4</v>
      </c>
      <c r="F114" s="143"/>
    </row>
    <row r="115" spans="2:49">
      <c r="B115" s="88" t="s">
        <v>535</v>
      </c>
      <c r="C115" s="88" t="s">
        <v>584</v>
      </c>
      <c r="D115" s="101">
        <f>(2*D46)/(D47*D48)*D112/D51*D52+D49</f>
        <v>3.1890408163265302</v>
      </c>
      <c r="E115" s="88" t="s">
        <v>21</v>
      </c>
      <c r="F115" s="143"/>
    </row>
    <row r="116" spans="2:49">
      <c r="B116" s="88" t="s">
        <v>585</v>
      </c>
      <c r="C116" s="88" t="s">
        <v>586</v>
      </c>
      <c r="D116" s="101">
        <f>(D112/D4)*(1/(2*PI()*D110))*(1/D5)</f>
        <v>1.1842957795713125</v>
      </c>
      <c r="E116" s="88" t="s">
        <v>21</v>
      </c>
      <c r="F116" s="143"/>
    </row>
    <row r="117" spans="2:49">
      <c r="B117" s="88" t="s">
        <v>587</v>
      </c>
      <c r="C117" s="88" t="s">
        <v>588</v>
      </c>
      <c r="D117" s="92">
        <f>(D112/D4)*(1/(((2*D46)/(D47*D48)*D112/D51*D52)))*(1/D5)</f>
        <v>130.05903087442138</v>
      </c>
      <c r="E117" s="88" t="s">
        <v>13</v>
      </c>
      <c r="F117" s="143"/>
    </row>
    <row r="118" spans="2:49">
      <c r="B118" s="88" t="s">
        <v>589</v>
      </c>
      <c r="C118" s="88" t="s">
        <v>590</v>
      </c>
      <c r="D118" s="92">
        <f>D117/(2*PI())</f>
        <v>20.699537657405592</v>
      </c>
      <c r="E118" s="88" t="s">
        <v>13</v>
      </c>
      <c r="F118" s="143"/>
    </row>
    <row r="119" spans="2:49">
      <c r="F119" s="143"/>
    </row>
    <row r="120" spans="2:49" ht="18">
      <c r="B120" s="6" t="s">
        <v>591</v>
      </c>
      <c r="F120" s="14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47" t="s">
        <v>592</v>
      </c>
      <c r="AU120" s="1"/>
      <c r="AV120" s="147" t="s">
        <v>593</v>
      </c>
    </row>
    <row r="121" spans="2:49" ht="3.6" customHeight="1">
      <c r="B121" s="6"/>
      <c r="F121" s="14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47"/>
      <c r="AU121" s="1"/>
      <c r="AV121" s="147"/>
    </row>
    <row r="122" spans="2:49" ht="15.75">
      <c r="B122" s="111" t="s">
        <v>1</v>
      </c>
      <c r="C122" s="111" t="s">
        <v>2</v>
      </c>
      <c r="D122" s="111" t="s">
        <v>3</v>
      </c>
      <c r="E122" s="111" t="s">
        <v>4</v>
      </c>
      <c r="F122" s="143"/>
      <c r="H122" s="147" t="s">
        <v>594</v>
      </c>
      <c r="I122" s="147">
        <v>0.1</v>
      </c>
      <c r="J122" s="147">
        <v>0.2</v>
      </c>
      <c r="K122" s="147">
        <v>0.3</v>
      </c>
      <c r="L122" s="147">
        <v>0.4</v>
      </c>
      <c r="M122" s="147">
        <v>0.5</v>
      </c>
      <c r="N122" s="147">
        <v>0.6</v>
      </c>
      <c r="O122" s="147">
        <v>0.7</v>
      </c>
      <c r="P122" s="147">
        <v>0.8</v>
      </c>
      <c r="Q122" s="147">
        <v>0.9</v>
      </c>
      <c r="R122" s="147">
        <v>1</v>
      </c>
      <c r="S122" s="147">
        <v>2</v>
      </c>
      <c r="T122" s="147">
        <v>3</v>
      </c>
      <c r="U122" s="147">
        <v>4</v>
      </c>
      <c r="V122" s="147">
        <v>5</v>
      </c>
      <c r="W122" s="147">
        <v>6</v>
      </c>
      <c r="X122" s="147">
        <v>7</v>
      </c>
      <c r="Y122" s="147">
        <v>8</v>
      </c>
      <c r="Z122" s="147">
        <v>9</v>
      </c>
      <c r="AA122" s="147">
        <v>10</v>
      </c>
      <c r="AB122" s="147">
        <v>20</v>
      </c>
      <c r="AC122" s="147">
        <v>30</v>
      </c>
      <c r="AD122" s="147">
        <v>40</v>
      </c>
      <c r="AE122" s="147">
        <v>50</v>
      </c>
      <c r="AF122" s="147">
        <v>60</v>
      </c>
      <c r="AG122" s="147">
        <v>70</v>
      </c>
      <c r="AH122" s="147">
        <v>80</v>
      </c>
      <c r="AI122" s="147">
        <v>90</v>
      </c>
      <c r="AJ122" s="147">
        <v>100</v>
      </c>
      <c r="AK122" s="147">
        <v>200</v>
      </c>
      <c r="AL122" s="147">
        <v>300</v>
      </c>
      <c r="AM122" s="147">
        <v>400</v>
      </c>
      <c r="AN122" s="147">
        <v>500</v>
      </c>
      <c r="AO122" s="147">
        <v>600</v>
      </c>
      <c r="AP122" s="147">
        <v>700</v>
      </c>
      <c r="AQ122" s="147">
        <v>800</v>
      </c>
      <c r="AR122" s="147">
        <v>900</v>
      </c>
      <c r="AS122" s="147">
        <v>1000</v>
      </c>
      <c r="AT122" s="148">
        <f>M167</f>
        <v>17.573492408543828</v>
      </c>
      <c r="AU122" s="147" t="s">
        <v>594</v>
      </c>
      <c r="AV122" s="147">
        <f>2*D110</f>
        <v>94</v>
      </c>
      <c r="AW122" s="149" t="s">
        <v>13</v>
      </c>
    </row>
    <row r="123" spans="2:49" ht="15.75">
      <c r="B123" s="88" t="s">
        <v>595</v>
      </c>
      <c r="C123" s="88" t="s">
        <v>596</v>
      </c>
      <c r="D123" s="101">
        <f>M167</f>
        <v>17.573492408543828</v>
      </c>
      <c r="E123" s="88" t="s">
        <v>13</v>
      </c>
      <c r="F123" s="143"/>
      <c r="H123" s="147" t="s">
        <v>597</v>
      </c>
      <c r="I123" s="150">
        <f>$D$117/(2*PI()*I122)</f>
        <v>206.99537657405594</v>
      </c>
      <c r="J123" s="150">
        <f t="shared" ref="J123:AT123" si="0">$D$117/(2*PI()*J122)</f>
        <v>103.49768828702797</v>
      </c>
      <c r="K123" s="150">
        <f t="shared" si="0"/>
        <v>68.998458858018651</v>
      </c>
      <c r="L123" s="150">
        <f t="shared" si="0"/>
        <v>51.748844143513985</v>
      </c>
      <c r="M123" s="150">
        <f t="shared" si="0"/>
        <v>41.399075314811185</v>
      </c>
      <c r="N123" s="150">
        <f t="shared" si="0"/>
        <v>34.499229429009326</v>
      </c>
      <c r="O123" s="150">
        <f t="shared" si="0"/>
        <v>29.570768082007991</v>
      </c>
      <c r="P123" s="150">
        <f t="shared" si="0"/>
        <v>25.874422071756992</v>
      </c>
      <c r="Q123" s="150">
        <f t="shared" si="0"/>
        <v>22.999486286006217</v>
      </c>
      <c r="R123" s="150">
        <f t="shared" si="0"/>
        <v>20.699537657405592</v>
      </c>
      <c r="S123" s="150">
        <f t="shared" si="0"/>
        <v>10.349768828702796</v>
      </c>
      <c r="T123" s="150">
        <f t="shared" si="0"/>
        <v>6.8998458858018648</v>
      </c>
      <c r="U123" s="150">
        <f t="shared" si="0"/>
        <v>5.1748844143513981</v>
      </c>
      <c r="V123" s="150">
        <f t="shared" si="0"/>
        <v>4.1399075314811187</v>
      </c>
      <c r="W123" s="150">
        <f t="shared" si="0"/>
        <v>3.4499229429009324</v>
      </c>
      <c r="X123" s="150">
        <f t="shared" si="0"/>
        <v>2.957076808200799</v>
      </c>
      <c r="Y123" s="150">
        <f t="shared" si="0"/>
        <v>2.5874422071756991</v>
      </c>
      <c r="Z123" s="150">
        <f t="shared" si="0"/>
        <v>2.2999486286006214</v>
      </c>
      <c r="AA123" s="150">
        <f t="shared" si="0"/>
        <v>2.0699537657405593</v>
      </c>
      <c r="AB123" s="150">
        <f t="shared" si="0"/>
        <v>1.0349768828702797</v>
      </c>
      <c r="AC123" s="150">
        <f t="shared" si="0"/>
        <v>0.68998458858018652</v>
      </c>
      <c r="AD123" s="150">
        <f t="shared" si="0"/>
        <v>0.51748844143513983</v>
      </c>
      <c r="AE123" s="150">
        <f t="shared" si="0"/>
        <v>0.41399075314811185</v>
      </c>
      <c r="AF123" s="150">
        <f t="shared" si="0"/>
        <v>0.34499229429009326</v>
      </c>
      <c r="AG123" s="150">
        <f t="shared" si="0"/>
        <v>0.29570768082007992</v>
      </c>
      <c r="AH123" s="150">
        <f t="shared" si="0"/>
        <v>0.25874422071756992</v>
      </c>
      <c r="AI123" s="150">
        <f t="shared" si="0"/>
        <v>0.22999486286006215</v>
      </c>
      <c r="AJ123" s="150">
        <f t="shared" si="0"/>
        <v>0.20699537657405592</v>
      </c>
      <c r="AK123" s="150">
        <f t="shared" si="0"/>
        <v>0.10349768828702796</v>
      </c>
      <c r="AL123" s="150">
        <f t="shared" si="0"/>
        <v>6.8998458858018655E-2</v>
      </c>
      <c r="AM123" s="150">
        <f t="shared" si="0"/>
        <v>5.1748844143513981E-2</v>
      </c>
      <c r="AN123" s="150">
        <f t="shared" si="0"/>
        <v>4.1399075314811191E-2</v>
      </c>
      <c r="AO123" s="150">
        <f t="shared" si="0"/>
        <v>3.4499229429009327E-2</v>
      </c>
      <c r="AP123" s="150">
        <f t="shared" si="0"/>
        <v>2.9570768082007995E-2</v>
      </c>
      <c r="AQ123" s="150">
        <f t="shared" si="0"/>
        <v>2.587442207175699E-2</v>
      </c>
      <c r="AR123" s="150">
        <f t="shared" si="0"/>
        <v>2.2999486286006215E-2</v>
      </c>
      <c r="AS123" s="150">
        <f t="shared" si="0"/>
        <v>2.0699537657405596E-2</v>
      </c>
      <c r="AT123" s="150">
        <f t="shared" si="0"/>
        <v>1.1778841209355719</v>
      </c>
      <c r="AU123" s="147" t="s">
        <v>597</v>
      </c>
      <c r="AV123" s="1"/>
    </row>
    <row r="124" spans="2:49" ht="15.75">
      <c r="B124" s="88" t="s">
        <v>598</v>
      </c>
      <c r="C124" s="88" t="s">
        <v>599</v>
      </c>
      <c r="D124" s="101">
        <f>180+AT139</f>
        <v>50.647307720609945</v>
      </c>
      <c r="E124" s="88" t="s">
        <v>600</v>
      </c>
      <c r="F124" s="143"/>
      <c r="H124" s="147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  <c r="AA124" s="150"/>
      <c r="AB124" s="150"/>
      <c r="AC124" s="150"/>
      <c r="AD124" s="150"/>
      <c r="AE124" s="150"/>
      <c r="AF124" s="150"/>
      <c r="AG124" s="150"/>
      <c r="AH124" s="150"/>
      <c r="AI124" s="150"/>
      <c r="AJ124" s="150"/>
      <c r="AK124" s="150"/>
      <c r="AL124" s="150"/>
      <c r="AM124" s="150"/>
      <c r="AN124" s="150"/>
      <c r="AO124" s="150"/>
      <c r="AP124" s="150"/>
      <c r="AQ124" s="150"/>
      <c r="AR124" s="150"/>
      <c r="AS124" s="150"/>
      <c r="AT124" s="151"/>
      <c r="AU124" s="147"/>
      <c r="AV124" s="1"/>
    </row>
    <row r="125" spans="2:49" ht="15.75">
      <c r="B125" s="88" t="s">
        <v>601</v>
      </c>
      <c r="C125" s="88" t="s">
        <v>602</v>
      </c>
      <c r="D125" s="86">
        <f>AV132</f>
        <v>0.38597844183181479</v>
      </c>
      <c r="E125" s="100" t="str">
        <f>"-"</f>
        <v>-</v>
      </c>
      <c r="F125" s="143"/>
      <c r="H125" s="147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  <c r="AA125" s="150"/>
      <c r="AB125" s="150"/>
      <c r="AC125" s="150"/>
      <c r="AD125" s="150"/>
      <c r="AE125" s="150"/>
      <c r="AF125" s="150"/>
      <c r="AG125" s="150"/>
      <c r="AH125" s="150"/>
      <c r="AI125" s="150"/>
      <c r="AJ125" s="150"/>
      <c r="AK125" s="150"/>
      <c r="AL125" s="150"/>
      <c r="AM125" s="150"/>
      <c r="AN125" s="150"/>
      <c r="AO125" s="150"/>
      <c r="AP125" s="150"/>
      <c r="AQ125" s="150"/>
      <c r="AR125" s="150"/>
      <c r="AS125" s="150"/>
      <c r="AT125" s="151"/>
      <c r="AU125" s="147"/>
      <c r="AV125" s="1"/>
    </row>
    <row r="126" spans="2:49" ht="15.75">
      <c r="B126" s="88" t="s">
        <v>603</v>
      </c>
      <c r="C126" s="88" t="s">
        <v>604</v>
      </c>
      <c r="D126" s="92">
        <f>D125*D116/(4*(D115-D49))*100</f>
        <v>4.2497740913002051</v>
      </c>
      <c r="E126" s="88" t="s">
        <v>26</v>
      </c>
      <c r="F126" s="143"/>
      <c r="H126" s="147" t="s">
        <v>605</v>
      </c>
      <c r="I126" s="151">
        <f>20*LOG10(I123)</f>
        <v>46.31921290423022</v>
      </c>
      <c r="J126" s="151">
        <f t="shared" ref="J126:AS126" si="1">20*LOG10(J123)</f>
        <v>40.298612990950595</v>
      </c>
      <c r="K126" s="151">
        <f t="shared" si="1"/>
        <v>36.776787809836968</v>
      </c>
      <c r="L126" s="151">
        <f t="shared" si="1"/>
        <v>34.27801307767097</v>
      </c>
      <c r="M126" s="151">
        <f t="shared" si="1"/>
        <v>32.339812817509838</v>
      </c>
      <c r="N126" s="151">
        <f t="shared" si="1"/>
        <v>30.756187896557343</v>
      </c>
      <c r="O126" s="151">
        <f t="shared" si="1"/>
        <v>29.417252103945074</v>
      </c>
      <c r="P126" s="151">
        <f t="shared" si="1"/>
        <v>28.257413164391345</v>
      </c>
      <c r="Q126" s="151">
        <f t="shared" si="1"/>
        <v>27.234362715443719</v>
      </c>
      <c r="R126" s="151">
        <f t="shared" si="1"/>
        <v>26.319212904230213</v>
      </c>
      <c r="S126" s="151">
        <f t="shared" si="1"/>
        <v>20.298612990950588</v>
      </c>
      <c r="T126" s="151">
        <f t="shared" si="1"/>
        <v>16.776787809836968</v>
      </c>
      <c r="U126" s="151">
        <f t="shared" si="1"/>
        <v>14.278013077670966</v>
      </c>
      <c r="V126" s="151">
        <f t="shared" si="1"/>
        <v>12.339812817509838</v>
      </c>
      <c r="W126" s="151">
        <f t="shared" si="1"/>
        <v>10.756187896557341</v>
      </c>
      <c r="X126" s="151">
        <f t="shared" si="1"/>
        <v>9.4172521039450778</v>
      </c>
      <c r="Y126" s="151">
        <f t="shared" si="1"/>
        <v>8.2574131643913411</v>
      </c>
      <c r="Z126" s="151">
        <f t="shared" si="1"/>
        <v>7.2343627154437158</v>
      </c>
      <c r="AA126" s="151">
        <f t="shared" si="1"/>
        <v>6.3192129042302136</v>
      </c>
      <c r="AB126" s="151">
        <f t="shared" si="1"/>
        <v>0.2986129909505898</v>
      </c>
      <c r="AC126" s="151">
        <f t="shared" si="1"/>
        <v>-3.223212190163034</v>
      </c>
      <c r="AD126" s="151">
        <f t="shared" si="1"/>
        <v>-5.7219869223290338</v>
      </c>
      <c r="AE126" s="151">
        <f t="shared" si="1"/>
        <v>-7.6601871824901622</v>
      </c>
      <c r="AF126" s="151">
        <f t="shared" si="1"/>
        <v>-9.2438121034426572</v>
      </c>
      <c r="AG126" s="151">
        <f t="shared" si="1"/>
        <v>-10.582747896054922</v>
      </c>
      <c r="AH126" s="151">
        <f t="shared" si="1"/>
        <v>-11.742586835608657</v>
      </c>
      <c r="AI126" s="151">
        <f t="shared" si="1"/>
        <v>-12.765637284556284</v>
      </c>
      <c r="AJ126" s="151">
        <f t="shared" si="1"/>
        <v>-13.680787095769787</v>
      </c>
      <c r="AK126" s="151">
        <f t="shared" si="1"/>
        <v>-19.701387009049412</v>
      </c>
      <c r="AL126" s="151">
        <f t="shared" si="1"/>
        <v>-23.223212190163032</v>
      </c>
      <c r="AM126" s="151">
        <f t="shared" si="1"/>
        <v>-25.721986922329037</v>
      </c>
      <c r="AN126" s="151">
        <f t="shared" si="1"/>
        <v>-27.660187182490162</v>
      </c>
      <c r="AO126" s="151">
        <f t="shared" si="1"/>
        <v>-29.243812103442657</v>
      </c>
      <c r="AP126" s="151">
        <f t="shared" si="1"/>
        <v>-30.582747896054919</v>
      </c>
      <c r="AQ126" s="151">
        <f t="shared" si="1"/>
        <v>-31.742586835608655</v>
      </c>
      <c r="AR126" s="151">
        <f t="shared" si="1"/>
        <v>-32.765637284556284</v>
      </c>
      <c r="AS126" s="151">
        <f t="shared" si="1"/>
        <v>-33.680787095769787</v>
      </c>
      <c r="AT126" s="151">
        <f>20*LOG10(AT123)</f>
        <v>1.4220513418966807</v>
      </c>
      <c r="AU126" s="147" t="s">
        <v>605</v>
      </c>
      <c r="AV126" s="1"/>
    </row>
    <row r="127" spans="2:49" ht="15.75">
      <c r="F127" s="143"/>
      <c r="H127" s="147" t="s">
        <v>606</v>
      </c>
      <c r="I127" s="147">
        <v>-90</v>
      </c>
      <c r="J127" s="147">
        <v>-90</v>
      </c>
      <c r="K127" s="147">
        <v>-90</v>
      </c>
      <c r="L127" s="147">
        <v>-90</v>
      </c>
      <c r="M127" s="147">
        <v>-90</v>
      </c>
      <c r="N127" s="147">
        <v>-90</v>
      </c>
      <c r="O127" s="147">
        <v>-90</v>
      </c>
      <c r="P127" s="147">
        <v>-90</v>
      </c>
      <c r="Q127" s="147">
        <v>-90</v>
      </c>
      <c r="R127" s="147">
        <v>-90</v>
      </c>
      <c r="S127" s="147">
        <v>-90</v>
      </c>
      <c r="T127" s="147">
        <v>-90</v>
      </c>
      <c r="U127" s="147">
        <v>-90</v>
      </c>
      <c r="V127" s="147">
        <v>-90</v>
      </c>
      <c r="W127" s="147">
        <v>-90</v>
      </c>
      <c r="X127" s="147">
        <v>-90</v>
      </c>
      <c r="Y127" s="147">
        <v>-90</v>
      </c>
      <c r="Z127" s="147">
        <v>-90</v>
      </c>
      <c r="AA127" s="147">
        <v>-90</v>
      </c>
      <c r="AB127" s="147">
        <v>-90</v>
      </c>
      <c r="AC127" s="147">
        <v>-90</v>
      </c>
      <c r="AD127" s="147">
        <v>-90</v>
      </c>
      <c r="AE127" s="147">
        <v>-90</v>
      </c>
      <c r="AF127" s="147">
        <v>-90</v>
      </c>
      <c r="AG127" s="147">
        <v>-90</v>
      </c>
      <c r="AH127" s="147">
        <v>-90</v>
      </c>
      <c r="AI127" s="147">
        <v>-90</v>
      </c>
      <c r="AJ127" s="147">
        <v>-90</v>
      </c>
      <c r="AK127" s="147">
        <v>-90</v>
      </c>
      <c r="AL127" s="147">
        <v>-90</v>
      </c>
      <c r="AM127" s="147">
        <v>-90</v>
      </c>
      <c r="AN127" s="147">
        <v>-90</v>
      </c>
      <c r="AO127" s="147">
        <v>-90</v>
      </c>
      <c r="AP127" s="147">
        <v>-90</v>
      </c>
      <c r="AQ127" s="147">
        <v>-90</v>
      </c>
      <c r="AR127" s="147">
        <v>-90</v>
      </c>
      <c r="AS127" s="147">
        <v>-90</v>
      </c>
      <c r="AT127" s="147">
        <v>-90</v>
      </c>
      <c r="AU127" s="147" t="s">
        <v>606</v>
      </c>
      <c r="AV127" s="1"/>
    </row>
    <row r="128" spans="2:49" ht="15.75">
      <c r="B128" s="88" t="s">
        <v>607</v>
      </c>
      <c r="C128" s="88" t="s">
        <v>608</v>
      </c>
      <c r="D128" s="92">
        <f>('Device Setting'!D57/D4)*(1/(2*PI()*D110))*(1/D5)*D125*1000</f>
        <v>52.142126197748617</v>
      </c>
      <c r="E128" s="88" t="s">
        <v>258</v>
      </c>
      <c r="F128" s="143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  <c r="AJ128" s="147"/>
      <c r="AK128" s="147"/>
      <c r="AL128" s="147"/>
      <c r="AM128" s="147"/>
      <c r="AN128" s="147"/>
      <c r="AO128" s="147"/>
      <c r="AP128" s="147"/>
      <c r="AQ128" s="147"/>
      <c r="AR128" s="147"/>
      <c r="AS128" s="147"/>
      <c r="AT128" s="147"/>
      <c r="AU128" s="147"/>
      <c r="AV128" s="1"/>
    </row>
    <row r="129" spans="2:49" ht="15.75">
      <c r="B129" s="88" t="s">
        <v>609</v>
      </c>
      <c r="C129" s="88" t="s">
        <v>610</v>
      </c>
      <c r="D129" s="92">
        <f>D128/(1000*2*0.01)</f>
        <v>2.6071063098874308</v>
      </c>
      <c r="E129" s="100" t="s">
        <v>406</v>
      </c>
      <c r="F129" s="14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47"/>
      <c r="AU129" s="1"/>
      <c r="AV129" s="1"/>
    </row>
    <row r="130" spans="2:49" ht="15.75">
      <c r="F130" s="14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47"/>
      <c r="AU130" s="1"/>
      <c r="AV130" s="1"/>
    </row>
    <row r="131" spans="2:49" ht="15.75">
      <c r="F131" s="14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47"/>
      <c r="AU131" s="1"/>
      <c r="AV131" s="1"/>
    </row>
    <row r="132" spans="2:49" ht="15.75">
      <c r="F132" s="143"/>
      <c r="H132" s="147" t="s">
        <v>611</v>
      </c>
      <c r="I132" s="150">
        <f>($D$101/(2*PI()*I122))*(((1+(I122/$D$102)^2))/(1+(I122/$D$103)^2))^0.5</f>
        <v>51.787099992218906</v>
      </c>
      <c r="J132" s="150">
        <f t="shared" ref="J132:AT132" si="2">($D$101/(2*PI()*J122))*(((1+(J122/$D$102)^2))/(1+(J122/$D$103)^2))^0.5</f>
        <v>25.903993754544462</v>
      </c>
      <c r="K132" s="150">
        <f t="shared" si="2"/>
        <v>17.280926698148864</v>
      </c>
      <c r="L132" s="150">
        <f t="shared" si="2"/>
        <v>12.972861979638841</v>
      </c>
      <c r="M132" s="150">
        <f t="shared" si="2"/>
        <v>10.390789877552852</v>
      </c>
      <c r="N132" s="150">
        <f t="shared" si="2"/>
        <v>8.6717052184301924</v>
      </c>
      <c r="O132" s="150">
        <f t="shared" si="2"/>
        <v>7.445747015501027</v>
      </c>
      <c r="P132" s="150">
        <f t="shared" si="2"/>
        <v>6.527983383709886</v>
      </c>
      <c r="Q132" s="150">
        <f t="shared" si="2"/>
        <v>5.8156731825555248</v>
      </c>
      <c r="R132" s="150">
        <f t="shared" si="2"/>
        <v>5.2471706770107707</v>
      </c>
      <c r="S132" s="150">
        <f t="shared" si="2"/>
        <v>2.7245125415837999</v>
      </c>
      <c r="T132" s="150">
        <f t="shared" si="2"/>
        <v>1.9228895773251431</v>
      </c>
      <c r="U132" s="150">
        <f t="shared" si="2"/>
        <v>1.5465846169245483</v>
      </c>
      <c r="V132" s="150">
        <f t="shared" si="2"/>
        <v>1.3363434681620026</v>
      </c>
      <c r="W132" s="150">
        <f t="shared" si="2"/>
        <v>1.2060962803228052</v>
      </c>
      <c r="X132" s="150">
        <f t="shared" si="2"/>
        <v>1.119395408565661</v>
      </c>
      <c r="Y132" s="150">
        <f t="shared" si="2"/>
        <v>1.0583987759497233</v>
      </c>
      <c r="Z132" s="150">
        <f t="shared" si="2"/>
        <v>1.0134840718665616</v>
      </c>
      <c r="AA132" s="150">
        <f t="shared" si="2"/>
        <v>0.97908574032951068</v>
      </c>
      <c r="AB132" s="150">
        <f t="shared" si="2"/>
        <v>0.82407259437776115</v>
      </c>
      <c r="AC132" s="150">
        <f t="shared" si="2"/>
        <v>0.73785927899893322</v>
      </c>
      <c r="AD132" s="150">
        <f t="shared" si="2"/>
        <v>0.66152878963256045</v>
      </c>
      <c r="AE132" s="150">
        <f t="shared" si="2"/>
        <v>0.5930428708672405</v>
      </c>
      <c r="AF132" s="150">
        <f t="shared" si="2"/>
        <v>0.5331163005487044</v>
      </c>
      <c r="AG132" s="150">
        <f t="shared" si="2"/>
        <v>0.48151344339571328</v>
      </c>
      <c r="AH132" s="150">
        <f t="shared" si="2"/>
        <v>0.43735138902015319</v>
      </c>
      <c r="AI132" s="150">
        <f t="shared" si="2"/>
        <v>0.3995523226651444</v>
      </c>
      <c r="AJ132" s="150">
        <f t="shared" si="2"/>
        <v>0.36708120607692118</v>
      </c>
      <c r="AK132" s="150">
        <f t="shared" si="2"/>
        <v>0.19733941794702145</v>
      </c>
      <c r="AL132" s="150">
        <f t="shared" si="2"/>
        <v>0.13350874809481425</v>
      </c>
      <c r="AM132" s="150">
        <f t="shared" si="2"/>
        <v>0.10065913499771732</v>
      </c>
      <c r="AN132" s="150">
        <f t="shared" si="2"/>
        <v>8.072498440651725E-2</v>
      </c>
      <c r="AO132" s="150">
        <f t="shared" si="2"/>
        <v>6.7360824959456861E-2</v>
      </c>
      <c r="AP132" s="150">
        <f t="shared" si="2"/>
        <v>5.7784520325141912E-2</v>
      </c>
      <c r="AQ132" s="150">
        <f t="shared" si="2"/>
        <v>5.0588014020898443E-2</v>
      </c>
      <c r="AR132" s="150">
        <f t="shared" si="2"/>
        <v>4.4983330971210801E-2</v>
      </c>
      <c r="AS132" s="150">
        <f t="shared" si="2"/>
        <v>4.0495441520336677E-2</v>
      </c>
      <c r="AT132" s="150">
        <f t="shared" si="2"/>
        <v>0.84897957603340857</v>
      </c>
      <c r="AU132" s="147" t="s">
        <v>611</v>
      </c>
      <c r="AV132" s="151">
        <f>($D$101/(2*PI()*AV122))*(((1+(AV122/$D$102)^2))/(1+(AV122/$D$103)^2))^0.5</f>
        <v>0.38597844183181479</v>
      </c>
      <c r="AW132" s="149" t="s">
        <v>612</v>
      </c>
    </row>
    <row r="133" spans="2:49" ht="15.75">
      <c r="F133" s="143"/>
      <c r="H133" s="147" t="s">
        <v>613</v>
      </c>
      <c r="I133" s="152">
        <f>20*LOG10(I132)</f>
        <v>34.284431835866627</v>
      </c>
      <c r="J133" s="152">
        <f t="shared" ref="J133:AS133" si="3">20*LOG10(J132)</f>
        <v>28.267334534017344</v>
      </c>
      <c r="K133" s="152">
        <f t="shared" si="3"/>
        <v>24.751340560428314</v>
      </c>
      <c r="L133" s="152">
        <f t="shared" si="3"/>
        <v>22.260715951673767</v>
      </c>
      <c r="M133" s="152">
        <f t="shared" si="3"/>
        <v>20.332971252248115</v>
      </c>
      <c r="N133" s="152">
        <f t="shared" si="3"/>
        <v>18.762090125156835</v>
      </c>
      <c r="O133" s="152">
        <f t="shared" si="3"/>
        <v>17.438165521777432</v>
      </c>
      <c r="P133" s="152">
        <f t="shared" si="3"/>
        <v>16.29558080593236</v>
      </c>
      <c r="Q133" s="152">
        <f t="shared" si="3"/>
        <v>15.291999858667706</v>
      </c>
      <c r="R133" s="152">
        <f t="shared" si="3"/>
        <v>14.398503818285128</v>
      </c>
      <c r="S133" s="152">
        <f t="shared" si="3"/>
        <v>8.7057762281250142</v>
      </c>
      <c r="T133" s="152">
        <f t="shared" si="3"/>
        <v>5.6790869085315769</v>
      </c>
      <c r="U133" s="152">
        <f t="shared" si="3"/>
        <v>3.7874737232287012</v>
      </c>
      <c r="V133" s="152">
        <f t="shared" si="3"/>
        <v>2.5183619046527372</v>
      </c>
      <c r="W133" s="152">
        <f t="shared" si="3"/>
        <v>1.627639561454127</v>
      </c>
      <c r="X133" s="152">
        <f t="shared" si="3"/>
        <v>0.97967042449467612</v>
      </c>
      <c r="Y133" s="152">
        <f t="shared" si="3"/>
        <v>0.49298657826409642</v>
      </c>
      <c r="Z133" s="152">
        <f t="shared" si="3"/>
        <v>0.11633855234537566</v>
      </c>
      <c r="AA133" s="152">
        <f t="shared" si="3"/>
        <v>-0.18358549138363844</v>
      </c>
      <c r="AB133" s="152">
        <f t="shared" si="3"/>
        <v>-1.6806905731212369</v>
      </c>
      <c r="AC133" s="152">
        <f t="shared" si="3"/>
        <v>-2.6405291370242576</v>
      </c>
      <c r="AD133" s="152">
        <f t="shared" si="3"/>
        <v>-3.5890250127046652</v>
      </c>
      <c r="AE133" s="152">
        <f t="shared" si="3"/>
        <v>-4.5382782100133889</v>
      </c>
      <c r="AF133" s="152">
        <f t="shared" si="3"/>
        <v>-5.463560765928186</v>
      </c>
      <c r="AG133" s="152">
        <f t="shared" si="3"/>
        <v>-6.3478316656560407</v>
      </c>
      <c r="AH133" s="152">
        <f t="shared" si="3"/>
        <v>-7.1833897964989246</v>
      </c>
      <c r="AI133" s="152">
        <f t="shared" si="3"/>
        <v>-7.9685268072585425</v>
      </c>
      <c r="AJ133" s="152">
        <f t="shared" si="3"/>
        <v>-8.7047570010684812</v>
      </c>
      <c r="AK133" s="152">
        <f t="shared" si="3"/>
        <v>-14.095723141683818</v>
      </c>
      <c r="AL133" s="152">
        <f t="shared" si="3"/>
        <v>-17.489805528710171</v>
      </c>
      <c r="AM133" s="152">
        <f t="shared" si="3"/>
        <v>-19.942936119614526</v>
      </c>
      <c r="AN133" s="152">
        <f t="shared" si="3"/>
        <v>-21.859840604051669</v>
      </c>
      <c r="AO133" s="152">
        <f t="shared" si="3"/>
        <v>-23.43185205453096</v>
      </c>
      <c r="AP133" s="152">
        <f t="shared" si="3"/>
        <v>-24.763769749844219</v>
      </c>
      <c r="AQ133" s="152">
        <f t="shared" si="3"/>
        <v>-25.919047394906226</v>
      </c>
      <c r="AR133" s="152">
        <f t="shared" si="3"/>
        <v>-26.938967772647828</v>
      </c>
      <c r="AS133" s="152">
        <f t="shared" si="3"/>
        <v>-27.851877231502137</v>
      </c>
      <c r="AT133" s="151">
        <f>20*LOG10(AT132)</f>
        <v>-1.4220551497188665</v>
      </c>
      <c r="AU133" s="147" t="s">
        <v>613</v>
      </c>
      <c r="AV133" s="1"/>
    </row>
    <row r="134" spans="2:49" ht="15.75">
      <c r="F134" s="143"/>
      <c r="H134" s="147" t="s">
        <v>614</v>
      </c>
      <c r="I134" s="153">
        <f>-90+(ATAN(I122/$D$102)/(2*PI())*360)-(ATAN(I122/$D$103)/(2*PI())*360)</f>
        <v>-89.173588986687108</v>
      </c>
      <c r="J134" s="153">
        <f t="shared" ref="J134:AT134" si="4">-90+(ATAN(J122/$D$102)/(2*PI())*360)-(ATAN(J122/$D$103)/(2*PI())*360)</f>
        <v>-88.347694731243124</v>
      </c>
      <c r="K134" s="153">
        <f t="shared" si="4"/>
        <v>-87.522832295399084</v>
      </c>
      <c r="L134" s="153">
        <f t="shared" si="4"/>
        <v>-86.699513362476367</v>
      </c>
      <c r="M134" s="153">
        <f t="shared" si="4"/>
        <v>-85.878244582635219</v>
      </c>
      <c r="N134" s="153">
        <f t="shared" si="4"/>
        <v>-85.059525958882119</v>
      </c>
      <c r="O134" s="153">
        <f t="shared" si="4"/>
        <v>-84.243849286460062</v>
      </c>
      <c r="P134" s="153">
        <f t="shared" si="4"/>
        <v>-83.431696657453045</v>
      </c>
      <c r="Q134" s="153">
        <f t="shared" si="4"/>
        <v>-82.623539041479063</v>
      </c>
      <c r="R134" s="153">
        <f t="shared" si="4"/>
        <v>-81.819834952249849</v>
      </c>
      <c r="S134" s="153">
        <f t="shared" si="4"/>
        <v>-74.117546098272243</v>
      </c>
      <c r="T134" s="153">
        <f t="shared" si="4"/>
        <v>-67.238892661274406</v>
      </c>
      <c r="U134" s="153">
        <f t="shared" si="4"/>
        <v>-61.345055428464406</v>
      </c>
      <c r="V134" s="153">
        <f t="shared" si="4"/>
        <v>-56.442562526010995</v>
      </c>
      <c r="W134" s="153">
        <f t="shared" si="4"/>
        <v>-52.446016383835847</v>
      </c>
      <c r="X134" s="153">
        <f t="shared" si="4"/>
        <v>-49.232614089059552</v>
      </c>
      <c r="Y134" s="153">
        <f t="shared" si="4"/>
        <v>-46.67557936098121</v>
      </c>
      <c r="Z134" s="153">
        <f t="shared" si="4"/>
        <v>-44.659982627566393</v>
      </c>
      <c r="AA134" s="153">
        <f t="shared" si="4"/>
        <v>-43.087984809047349</v>
      </c>
      <c r="AB134" s="153">
        <f t="shared" si="4"/>
        <v>-39.724074519388623</v>
      </c>
      <c r="AC134" s="153">
        <f t="shared" si="4"/>
        <v>-43.757440087228119</v>
      </c>
      <c r="AD134" s="153">
        <f t="shared" si="4"/>
        <v>-48.790902559438962</v>
      </c>
      <c r="AE134" s="153">
        <f t="shared" si="4"/>
        <v>-53.459307717406993</v>
      </c>
      <c r="AF134" s="153">
        <f t="shared" si="4"/>
        <v>-57.479768761487584</v>
      </c>
      <c r="AG134" s="153">
        <f t="shared" si="4"/>
        <v>-60.865624026719772</v>
      </c>
      <c r="AH134" s="153">
        <f t="shared" si="4"/>
        <v>-63.706072274135757</v>
      </c>
      <c r="AI134" s="153">
        <f t="shared" si="4"/>
        <v>-66.097965074146231</v>
      </c>
      <c r="AJ134" s="153">
        <f t="shared" si="4"/>
        <v>-68.126155745378895</v>
      </c>
      <c r="AK134" s="153">
        <f t="shared" si="4"/>
        <v>-78.414162635735792</v>
      </c>
      <c r="AL134" s="153">
        <f t="shared" si="4"/>
        <v>-82.186837918086496</v>
      </c>
      <c r="AM134" s="153">
        <f t="shared" si="4"/>
        <v>-84.116113916163499</v>
      </c>
      <c r="AN134" s="153">
        <f t="shared" si="4"/>
        <v>-85.283914595683271</v>
      </c>
      <c r="AO134" s="153">
        <f t="shared" si="4"/>
        <v>-86.065846496351867</v>
      </c>
      <c r="AP134" s="153">
        <f t="shared" si="4"/>
        <v>-86.62575300988135</v>
      </c>
      <c r="AQ134" s="153">
        <f t="shared" si="4"/>
        <v>-87.04633056069035</v>
      </c>
      <c r="AR134" s="153">
        <f t="shared" si="4"/>
        <v>-87.373781931266905</v>
      </c>
      <c r="AS134" s="153">
        <f t="shared" si="4"/>
        <v>-87.63593077845654</v>
      </c>
      <c r="AT134" s="153">
        <f t="shared" si="4"/>
        <v>-39.352692279390062</v>
      </c>
      <c r="AU134" s="147" t="s">
        <v>614</v>
      </c>
      <c r="AV134" s="1"/>
    </row>
    <row r="135" spans="2:49" ht="15.75">
      <c r="F135" s="14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47"/>
      <c r="AU135" s="1"/>
      <c r="AV135" s="1"/>
    </row>
    <row r="136" spans="2:49" ht="15.75">
      <c r="F136" s="14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47"/>
      <c r="AU136" s="1"/>
      <c r="AV136" s="1"/>
    </row>
    <row r="137" spans="2:49" ht="15.75">
      <c r="F137" s="14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54" t="s">
        <v>615</v>
      </c>
      <c r="AU137" s="1"/>
      <c r="AV137" s="1"/>
    </row>
    <row r="138" spans="2:49" ht="15.75">
      <c r="F138" s="143"/>
      <c r="H138" s="147" t="s">
        <v>616</v>
      </c>
      <c r="I138" s="148">
        <f>20*LOG10(I123*I132)</f>
        <v>80.603644740096854</v>
      </c>
      <c r="J138" s="148">
        <f t="shared" ref="J138:L138" si="5">20*LOG10(J123*J132)</f>
        <v>68.565947524967925</v>
      </c>
      <c r="K138" s="148">
        <f t="shared" si="5"/>
        <v>61.528128370265279</v>
      </c>
      <c r="L138" s="148">
        <f t="shared" si="5"/>
        <v>56.538729029344736</v>
      </c>
      <c r="M138" s="148">
        <f>20*LOG10(M123*M132)</f>
        <v>52.672784069757952</v>
      </c>
      <c r="N138" s="148">
        <f t="shared" ref="N138:AT138" si="6">20*LOG10(N123*N132)</f>
        <v>49.518278021714181</v>
      </c>
      <c r="O138" s="148">
        <f t="shared" si="6"/>
        <v>46.855417625722509</v>
      </c>
      <c r="P138" s="148">
        <f t="shared" si="6"/>
        <v>44.552993970323705</v>
      </c>
      <c r="Q138" s="148">
        <f t="shared" si="6"/>
        <v>42.526362574111417</v>
      </c>
      <c r="R138" s="148">
        <f t="shared" si="6"/>
        <v>40.717716722515348</v>
      </c>
      <c r="S138" s="148">
        <f t="shared" si="6"/>
        <v>29.004389219075605</v>
      </c>
      <c r="T138" s="148">
        <f t="shared" si="6"/>
        <v>22.455874718368541</v>
      </c>
      <c r="U138" s="148">
        <f t="shared" si="6"/>
        <v>18.06548680089967</v>
      </c>
      <c r="V138" s="148">
        <f t="shared" si="6"/>
        <v>14.858174722162573</v>
      </c>
      <c r="W138" s="148">
        <f t="shared" si="6"/>
        <v>12.383827458011469</v>
      </c>
      <c r="X138" s="148">
        <f t="shared" si="6"/>
        <v>10.396922528439752</v>
      </c>
      <c r="Y138" s="148">
        <f t="shared" si="6"/>
        <v>8.7503997426554374</v>
      </c>
      <c r="Z138" s="148">
        <f t="shared" si="6"/>
        <v>7.3507012677890913</v>
      </c>
      <c r="AA138" s="148">
        <f t="shared" si="6"/>
        <v>6.135627412846576</v>
      </c>
      <c r="AB138" s="148">
        <f t="shared" si="6"/>
        <v>-1.382077582170647</v>
      </c>
      <c r="AC138" s="148">
        <f t="shared" si="6"/>
        <v>-5.8637413271872934</v>
      </c>
      <c r="AD138" s="148">
        <f t="shared" si="6"/>
        <v>-9.3110119350336991</v>
      </c>
      <c r="AE138" s="148">
        <f t="shared" si="6"/>
        <v>-12.198465392503552</v>
      </c>
      <c r="AF138" s="148">
        <f t="shared" si="6"/>
        <v>-14.707372869370843</v>
      </c>
      <c r="AG138" s="148">
        <f t="shared" si="6"/>
        <v>-16.930579561710964</v>
      </c>
      <c r="AH138" s="148">
        <f t="shared" si="6"/>
        <v>-18.925976632107581</v>
      </c>
      <c r="AI138" s="148">
        <f t="shared" si="6"/>
        <v>-20.734164091814826</v>
      </c>
      <c r="AJ138" s="148">
        <f t="shared" si="6"/>
        <v>-22.385544096838267</v>
      </c>
      <c r="AK138" s="148">
        <f t="shared" si="6"/>
        <v>-33.797110150733232</v>
      </c>
      <c r="AL138" s="148">
        <f t="shared" si="6"/>
        <v>-40.713017718873203</v>
      </c>
      <c r="AM138" s="148">
        <f t="shared" si="6"/>
        <v>-45.66492304194356</v>
      </c>
      <c r="AN138" s="148">
        <f t="shared" si="6"/>
        <v>-49.520027786541831</v>
      </c>
      <c r="AO138" s="148">
        <f t="shared" si="6"/>
        <v>-52.675664157973614</v>
      </c>
      <c r="AP138" s="148">
        <f t="shared" si="6"/>
        <v>-55.346517645899141</v>
      </c>
      <c r="AQ138" s="148">
        <f t="shared" si="6"/>
        <v>-57.661634230514885</v>
      </c>
      <c r="AR138" s="148">
        <f t="shared" si="6"/>
        <v>-59.704605057204112</v>
      </c>
      <c r="AS138" s="148">
        <f t="shared" si="6"/>
        <v>-61.532664327271924</v>
      </c>
      <c r="AT138" s="148">
        <f t="shared" si="6"/>
        <v>-3.8078221857860352E-6</v>
      </c>
      <c r="AU138" s="147" t="s">
        <v>616</v>
      </c>
      <c r="AV138" s="1"/>
    </row>
    <row r="139" spans="2:49" ht="15.75">
      <c r="F139" s="143"/>
      <c r="H139" s="147" t="s">
        <v>617</v>
      </c>
      <c r="I139" s="153">
        <f>-180+(ATAN(I122/$D$102)/(2*PI())*360)-(ATAN(I122/$D$103)/(2*PI())*360)</f>
        <v>-179.17358898668712</v>
      </c>
      <c r="J139" s="153">
        <f t="shared" ref="J139:AT139" si="7">-180+(ATAN(J122/$D$102)/(2*PI())*360)-(ATAN(J122/$D$103)/(2*PI())*360)</f>
        <v>-178.34769473124311</v>
      </c>
      <c r="K139" s="153">
        <f t="shared" si="7"/>
        <v>-177.5228322953991</v>
      </c>
      <c r="L139" s="153">
        <f t="shared" si="7"/>
        <v>-176.69951336247635</v>
      </c>
      <c r="M139" s="153">
        <f t="shared" si="7"/>
        <v>-175.87824458263523</v>
      </c>
      <c r="N139" s="153">
        <f t="shared" si="7"/>
        <v>-175.05952595888212</v>
      </c>
      <c r="O139" s="153">
        <f t="shared" si="7"/>
        <v>-174.24384928646006</v>
      </c>
      <c r="P139" s="153">
        <f t="shared" si="7"/>
        <v>-173.43169665745305</v>
      </c>
      <c r="Q139" s="153">
        <f t="shared" si="7"/>
        <v>-172.62353904147906</v>
      </c>
      <c r="R139" s="153">
        <f t="shared" si="7"/>
        <v>-171.81983495224986</v>
      </c>
      <c r="S139" s="153">
        <f t="shared" si="7"/>
        <v>-164.11754609827224</v>
      </c>
      <c r="T139" s="153">
        <f t="shared" si="7"/>
        <v>-157.23889266127441</v>
      </c>
      <c r="U139" s="153">
        <f t="shared" si="7"/>
        <v>-151.34505542846441</v>
      </c>
      <c r="V139" s="153">
        <f t="shared" si="7"/>
        <v>-146.44256252601102</v>
      </c>
      <c r="W139" s="153">
        <f t="shared" si="7"/>
        <v>-142.44601638383585</v>
      </c>
      <c r="X139" s="153">
        <f t="shared" si="7"/>
        <v>-139.23261408905955</v>
      </c>
      <c r="Y139" s="153">
        <f t="shared" si="7"/>
        <v>-136.6755793609812</v>
      </c>
      <c r="Z139" s="153">
        <f t="shared" si="7"/>
        <v>-134.65998262756639</v>
      </c>
      <c r="AA139" s="153">
        <f t="shared" si="7"/>
        <v>-133.08798480904736</v>
      </c>
      <c r="AB139" s="153">
        <f t="shared" si="7"/>
        <v>-129.72407451938864</v>
      </c>
      <c r="AC139" s="153">
        <f t="shared" si="7"/>
        <v>-133.75744008722813</v>
      </c>
      <c r="AD139" s="153">
        <f t="shared" si="7"/>
        <v>-138.79090255943896</v>
      </c>
      <c r="AE139" s="153">
        <f t="shared" si="7"/>
        <v>-143.459307717407</v>
      </c>
      <c r="AF139" s="153">
        <f t="shared" si="7"/>
        <v>-147.47976876148758</v>
      </c>
      <c r="AG139" s="153">
        <f t="shared" si="7"/>
        <v>-150.86562402671979</v>
      </c>
      <c r="AH139" s="153">
        <f t="shared" si="7"/>
        <v>-153.70607227413575</v>
      </c>
      <c r="AI139" s="153">
        <f t="shared" si="7"/>
        <v>-156.09796507414623</v>
      </c>
      <c r="AJ139" s="153">
        <f t="shared" si="7"/>
        <v>-158.1261557453789</v>
      </c>
      <c r="AK139" s="153">
        <f t="shared" si="7"/>
        <v>-168.41416263573581</v>
      </c>
      <c r="AL139" s="153">
        <f t="shared" si="7"/>
        <v>-172.1868379180865</v>
      </c>
      <c r="AM139" s="153">
        <f t="shared" si="7"/>
        <v>-174.1161139161635</v>
      </c>
      <c r="AN139" s="153">
        <f t="shared" si="7"/>
        <v>-175.28391459568326</v>
      </c>
      <c r="AO139" s="153">
        <f t="shared" si="7"/>
        <v>-176.06584649635187</v>
      </c>
      <c r="AP139" s="153">
        <f t="shared" si="7"/>
        <v>-176.62575300988135</v>
      </c>
      <c r="AQ139" s="153">
        <f t="shared" si="7"/>
        <v>-177.04633056069036</v>
      </c>
      <c r="AR139" s="153">
        <f t="shared" si="7"/>
        <v>-177.3737819312669</v>
      </c>
      <c r="AS139" s="153">
        <f t="shared" si="7"/>
        <v>-177.63593077845655</v>
      </c>
      <c r="AT139" s="153">
        <f t="shared" si="7"/>
        <v>-129.35269227939006</v>
      </c>
      <c r="AU139" s="147" t="s">
        <v>617</v>
      </c>
      <c r="AV139" s="1"/>
    </row>
    <row r="140" spans="2:49" ht="15">
      <c r="F140" s="143"/>
      <c r="H140" s="1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  <c r="AC140" s="155"/>
      <c r="AD140" s="155"/>
      <c r="AE140" s="155"/>
      <c r="AF140" s="155"/>
      <c r="AG140" s="155"/>
      <c r="AH140" s="155"/>
      <c r="AI140" s="155"/>
      <c r="AJ140" s="155"/>
      <c r="AK140" s="155"/>
      <c r="AL140" s="155"/>
      <c r="AM140" s="155"/>
      <c r="AN140" s="155"/>
      <c r="AO140" s="155"/>
      <c r="AP140" s="155"/>
      <c r="AQ140" s="155"/>
      <c r="AR140" s="155"/>
      <c r="AS140" s="155"/>
      <c r="AT140" s="155"/>
      <c r="AU140" s="1"/>
      <c r="AV140" s="1"/>
    </row>
    <row r="141" spans="2:49" ht="15.75">
      <c r="F141" s="143"/>
      <c r="H141" s="154">
        <v>1</v>
      </c>
      <c r="I141" s="156">
        <v>0.1</v>
      </c>
      <c r="J141" s="156">
        <v>1000</v>
      </c>
      <c r="K141" s="156">
        <f>((($D$101/(2*PI()*I141))*(((1+(I141/$D$102)^2))/(1+(I141/$D$103)^2))^0.5)*$D$117/(2*PI()*I141))-1</f>
        <v>10718.690264567642</v>
      </c>
      <c r="L141" s="156">
        <f>(($D$101/(2*PI()*J141))*(((1+(J141/$D$102)^2))/(1+(J141/$D$103)^2))^0.5*$D$117/(2*PI()*J141))-1</f>
        <v>-0.99916176308329652</v>
      </c>
      <c r="M141" s="156">
        <f t="shared" ref="M141" si="8">(I141+J141)/2</f>
        <v>500.05</v>
      </c>
      <c r="N141" s="156">
        <f>(($D$101/(2*PI()*M141))*(((1+(M141/$D$102)^2))/(1+(M141/$D$103)^2))^0.5*$D$117/(2*PI()*M141))-1</f>
        <v>-0.99665872565878788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2:49" ht="15.75">
      <c r="F142" s="143"/>
      <c r="H142" s="154">
        <v>2</v>
      </c>
      <c r="I142" s="156">
        <f>IF(N141&lt;0,I141,M141)</f>
        <v>0.1</v>
      </c>
      <c r="J142" s="156">
        <f>IF(N141&lt;0,M141,J141)</f>
        <v>500.05</v>
      </c>
      <c r="K142" s="156">
        <f t="shared" ref="K142:K167" si="9">((($D$101/(2*PI()*I142))*(((1+(I142/$D$102)^2))/(1+(I142/$D$103)^2))^0.5)*$D$117/(2*PI()*I142))-1</f>
        <v>10718.690264567642</v>
      </c>
      <c r="L142" s="156">
        <f t="shared" ref="L142:L167" si="10">(($D$101/(2*PI()*J142))*(((1+(J142/$D$102)^2))/(1+(J142/$D$103)^2))^0.5*$D$117/(2*PI()*J142))-1</f>
        <v>-0.99665872565878788</v>
      </c>
      <c r="M142" s="156">
        <f t="shared" ref="M142:M167" si="11">(I142+J142)/2</f>
        <v>250.07500000000002</v>
      </c>
      <c r="N142" s="156">
        <f t="shared" ref="N142:N167" si="12">(($D$101/(2*PI()*M142))*(((1+(M142/$D$102)^2))/(1+(M142/$D$103)^2))^0.5*$D$117/(2*PI()*M142))-1</f>
        <v>-0.98681181601158541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2:49" ht="15.75">
      <c r="F143" s="143"/>
      <c r="H143" s="154">
        <v>3</v>
      </c>
      <c r="I143" s="156">
        <f t="shared" ref="I143:I156" si="13">IF(N142&lt;0,I142,M142)</f>
        <v>0.1</v>
      </c>
      <c r="J143" s="156">
        <f t="shared" ref="J143:J156" si="14">IF(N142&lt;0,M142,J142)</f>
        <v>250.07500000000002</v>
      </c>
      <c r="K143" s="156">
        <f t="shared" si="9"/>
        <v>10718.690264567642</v>
      </c>
      <c r="L143" s="156">
        <f t="shared" si="10"/>
        <v>-0.98681181601158541</v>
      </c>
      <c r="M143" s="156">
        <f t="shared" si="11"/>
        <v>125.08750000000001</v>
      </c>
      <c r="N143" s="156">
        <f t="shared" si="12"/>
        <v>-0.9497826073051282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2:49" ht="15.75">
      <c r="F144" s="143"/>
      <c r="H144" s="154">
        <v>4</v>
      </c>
      <c r="I144" s="156">
        <f t="shared" si="13"/>
        <v>0.1</v>
      </c>
      <c r="J144" s="156">
        <f t="shared" si="14"/>
        <v>125.08750000000001</v>
      </c>
      <c r="K144" s="156">
        <f t="shared" si="9"/>
        <v>10718.690264567642</v>
      </c>
      <c r="L144" s="156">
        <f t="shared" si="10"/>
        <v>-0.9497826073051282</v>
      </c>
      <c r="M144" s="156">
        <f t="shared" si="11"/>
        <v>62.59375</v>
      </c>
      <c r="N144" s="156">
        <f t="shared" si="12"/>
        <v>-0.82838140627714496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6:48" ht="15.75">
      <c r="F145" s="143"/>
      <c r="H145" s="154">
        <v>5</v>
      </c>
      <c r="I145" s="156">
        <f t="shared" si="13"/>
        <v>0.1</v>
      </c>
      <c r="J145" s="156">
        <f t="shared" si="14"/>
        <v>62.59375</v>
      </c>
      <c r="K145" s="156">
        <f t="shared" si="9"/>
        <v>10718.690264567642</v>
      </c>
      <c r="L145" s="156">
        <f t="shared" si="10"/>
        <v>-0.82838140627714496</v>
      </c>
      <c r="M145" s="156">
        <f t="shared" si="11"/>
        <v>31.346875000000001</v>
      </c>
      <c r="N145" s="156">
        <f t="shared" si="12"/>
        <v>-0.51983763217648593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6:48" ht="15.75">
      <c r="F146" s="143"/>
      <c r="H146" s="154">
        <v>6</v>
      </c>
      <c r="I146" s="156">
        <f t="shared" si="13"/>
        <v>0.1</v>
      </c>
      <c r="J146" s="156">
        <f t="shared" si="14"/>
        <v>31.346875000000001</v>
      </c>
      <c r="K146" s="156">
        <f t="shared" si="9"/>
        <v>10718.690264567642</v>
      </c>
      <c r="L146" s="156">
        <f t="shared" si="10"/>
        <v>-0.51983763217648593</v>
      </c>
      <c r="M146" s="156">
        <f t="shared" si="11"/>
        <v>15.723437500000001</v>
      </c>
      <c r="N146" s="156">
        <f t="shared" si="12"/>
        <v>0.14623549781516343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6:48" ht="15.75">
      <c r="F147" s="143"/>
      <c r="H147" s="154">
        <v>7</v>
      </c>
      <c r="I147" s="156">
        <f t="shared" si="13"/>
        <v>15.723437500000001</v>
      </c>
      <c r="J147" s="156">
        <f t="shared" si="14"/>
        <v>31.346875000000001</v>
      </c>
      <c r="K147" s="156">
        <f t="shared" si="9"/>
        <v>0.14623549781516343</v>
      </c>
      <c r="L147" s="156">
        <f t="shared" si="10"/>
        <v>-0.51983763217648593</v>
      </c>
      <c r="M147" s="156">
        <f t="shared" si="11"/>
        <v>23.53515625</v>
      </c>
      <c r="N147" s="156">
        <f t="shared" si="12"/>
        <v>-0.3036970345341875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6:48" ht="15.75">
      <c r="F148" s="143"/>
      <c r="H148" s="154">
        <v>8</v>
      </c>
      <c r="I148" s="156">
        <f t="shared" si="13"/>
        <v>15.723437500000001</v>
      </c>
      <c r="J148" s="156">
        <f t="shared" si="14"/>
        <v>23.53515625</v>
      </c>
      <c r="K148" s="156">
        <f t="shared" si="9"/>
        <v>0.14623549781516343</v>
      </c>
      <c r="L148" s="156">
        <f t="shared" si="10"/>
        <v>-0.3036970345341875</v>
      </c>
      <c r="M148" s="156">
        <f t="shared" si="11"/>
        <v>19.629296875000001</v>
      </c>
      <c r="N148" s="156">
        <f t="shared" si="12"/>
        <v>-0.12717976446986023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6:48" ht="15.75">
      <c r="F149" s="143"/>
      <c r="H149" s="154">
        <v>9</v>
      </c>
      <c r="I149" s="156">
        <f t="shared" si="13"/>
        <v>15.723437500000001</v>
      </c>
      <c r="J149" s="156">
        <f t="shared" si="14"/>
        <v>19.629296875000001</v>
      </c>
      <c r="K149" s="156">
        <f t="shared" si="9"/>
        <v>0.14623549781516343</v>
      </c>
      <c r="L149" s="156">
        <f t="shared" si="10"/>
        <v>-0.12717976446986023</v>
      </c>
      <c r="M149" s="156">
        <f t="shared" si="11"/>
        <v>17.676367187500002</v>
      </c>
      <c r="N149" s="156">
        <f t="shared" si="12"/>
        <v>-7.1369553145834708E-3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6:48" ht="15.75">
      <c r="F150" s="143"/>
      <c r="H150" s="154">
        <v>10</v>
      </c>
      <c r="I150" s="156">
        <f t="shared" si="13"/>
        <v>15.723437500000001</v>
      </c>
      <c r="J150" s="156">
        <f t="shared" si="14"/>
        <v>17.676367187500002</v>
      </c>
      <c r="K150" s="156">
        <f t="shared" si="9"/>
        <v>0.14623549781516343</v>
      </c>
      <c r="L150" s="156">
        <f t="shared" si="10"/>
        <v>-7.1369553145834708E-3</v>
      </c>
      <c r="M150" s="156">
        <f t="shared" si="11"/>
        <v>16.699902343750001</v>
      </c>
      <c r="N150" s="156">
        <f t="shared" si="12"/>
        <v>6.4541470432460724E-2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6:48" ht="15.75">
      <c r="F151" s="143"/>
      <c r="H151" s="154">
        <v>11</v>
      </c>
      <c r="I151" s="156">
        <f t="shared" si="13"/>
        <v>16.699902343750001</v>
      </c>
      <c r="J151" s="156">
        <f t="shared" si="14"/>
        <v>17.676367187500002</v>
      </c>
      <c r="K151" s="156">
        <f t="shared" si="9"/>
        <v>6.4541470432460724E-2</v>
      </c>
      <c r="L151" s="156">
        <f t="shared" si="10"/>
        <v>-7.1369553145834708E-3</v>
      </c>
      <c r="M151" s="156">
        <f t="shared" si="11"/>
        <v>17.188134765625001</v>
      </c>
      <c r="N151" s="156">
        <f t="shared" si="12"/>
        <v>2.7572898501577958E-2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6:48" ht="15.75">
      <c r="F152" s="143"/>
      <c r="H152" s="154">
        <v>12</v>
      </c>
      <c r="I152" s="156">
        <f t="shared" si="13"/>
        <v>17.188134765625001</v>
      </c>
      <c r="J152" s="156">
        <f t="shared" si="14"/>
        <v>17.676367187500002</v>
      </c>
      <c r="K152" s="156">
        <f t="shared" si="9"/>
        <v>2.7572898501577958E-2</v>
      </c>
      <c r="L152" s="156">
        <f t="shared" si="10"/>
        <v>-7.1369553145834708E-3</v>
      </c>
      <c r="M152" s="156">
        <f t="shared" si="11"/>
        <v>17.4322509765625</v>
      </c>
      <c r="N152" s="156">
        <f t="shared" si="12"/>
        <v>9.9492118704420651E-3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6:48" ht="15.75">
      <c r="F153" s="143"/>
      <c r="H153" s="154">
        <v>13</v>
      </c>
      <c r="I153" s="156">
        <f t="shared" si="13"/>
        <v>17.4322509765625</v>
      </c>
      <c r="J153" s="156">
        <f t="shared" si="14"/>
        <v>17.676367187500002</v>
      </c>
      <c r="K153" s="156">
        <f t="shared" si="9"/>
        <v>9.9492118704420651E-3</v>
      </c>
      <c r="L153" s="156">
        <f t="shared" si="10"/>
        <v>-7.1369553145834708E-3</v>
      </c>
      <c r="M153" s="156">
        <f t="shared" si="11"/>
        <v>17.554309082031253</v>
      </c>
      <c r="N153" s="156">
        <f t="shared" si="12"/>
        <v>1.3405399965515929E-3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6:48" ht="15.75">
      <c r="F154" s="143"/>
      <c r="H154" s="154">
        <v>14</v>
      </c>
      <c r="I154" s="156">
        <f t="shared" si="13"/>
        <v>17.554309082031253</v>
      </c>
      <c r="J154" s="156">
        <f t="shared" si="14"/>
        <v>17.676367187500002</v>
      </c>
      <c r="K154" s="156">
        <f t="shared" si="9"/>
        <v>1.3405399965515929E-3</v>
      </c>
      <c r="L154" s="156">
        <f t="shared" si="10"/>
        <v>-7.1369553145834708E-3</v>
      </c>
      <c r="M154" s="156">
        <f t="shared" si="11"/>
        <v>17.615338134765629</v>
      </c>
      <c r="N154" s="156">
        <f t="shared" si="12"/>
        <v>-2.9144101542016854E-3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6:48" ht="15.75">
      <c r="F155" s="143"/>
      <c r="H155" s="154">
        <v>15</v>
      </c>
      <c r="I155" s="156">
        <f t="shared" si="13"/>
        <v>17.554309082031253</v>
      </c>
      <c r="J155" s="156">
        <f t="shared" si="14"/>
        <v>17.615338134765629</v>
      </c>
      <c r="K155" s="156">
        <f t="shared" si="9"/>
        <v>1.3405399965515929E-3</v>
      </c>
      <c r="L155" s="156">
        <f t="shared" si="10"/>
        <v>-2.9144101542016854E-3</v>
      </c>
      <c r="M155" s="156">
        <f t="shared" si="11"/>
        <v>17.584823608398441</v>
      </c>
      <c r="N155" s="156">
        <f t="shared" si="12"/>
        <v>-7.9100977969326358E-4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6:48" ht="15.75">
      <c r="F156" s="143"/>
      <c r="H156" s="154">
        <v>16</v>
      </c>
      <c r="I156" s="156">
        <f t="shared" si="13"/>
        <v>17.554309082031253</v>
      </c>
      <c r="J156" s="156">
        <f t="shared" si="14"/>
        <v>17.584823608398441</v>
      </c>
      <c r="K156" s="156">
        <f t="shared" si="9"/>
        <v>1.3405399965515929E-3</v>
      </c>
      <c r="L156" s="156">
        <f t="shared" si="10"/>
        <v>-7.9100977969326358E-4</v>
      </c>
      <c r="M156" s="156">
        <f t="shared" si="11"/>
        <v>17.569566345214845</v>
      </c>
      <c r="N156" s="156">
        <f t="shared" si="12"/>
        <v>2.7374340235009065E-4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6:48" ht="15.75">
      <c r="F157" s="143"/>
      <c r="H157" s="154">
        <v>17</v>
      </c>
      <c r="I157" s="156">
        <f>IF(N156&lt;0,I156,M156)</f>
        <v>17.569566345214845</v>
      </c>
      <c r="J157" s="156">
        <f>IF(N156&lt;0,M156,J156)</f>
        <v>17.584823608398441</v>
      </c>
      <c r="K157" s="156">
        <f t="shared" si="9"/>
        <v>2.7374340235009065E-4</v>
      </c>
      <c r="L157" s="156">
        <f t="shared" si="10"/>
        <v>-7.9100977969326358E-4</v>
      </c>
      <c r="M157" s="156">
        <f t="shared" si="11"/>
        <v>17.577194976806645</v>
      </c>
      <c r="N157" s="156">
        <f t="shared" si="12"/>
        <v>-2.5888823537989492E-4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6:48" ht="15.75">
      <c r="F158" s="143"/>
      <c r="H158" s="154">
        <v>18</v>
      </c>
      <c r="I158" s="156">
        <f t="shared" ref="I158:I164" si="15">IF(N157&lt;0,I157,M157)</f>
        <v>17.569566345214845</v>
      </c>
      <c r="J158" s="156">
        <f t="shared" ref="J158:J164" si="16">IF(N157&lt;0,M157,J157)</f>
        <v>17.577194976806645</v>
      </c>
      <c r="K158" s="156">
        <f t="shared" si="9"/>
        <v>2.7374340235009065E-4</v>
      </c>
      <c r="L158" s="156">
        <f t="shared" si="10"/>
        <v>-2.5888823537989492E-4</v>
      </c>
      <c r="M158" s="156">
        <f t="shared" si="11"/>
        <v>17.573380661010745</v>
      </c>
      <c r="N158" s="156">
        <f t="shared" si="12"/>
        <v>7.3637743909227282E-6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6:48" ht="15.75">
      <c r="F159" s="143"/>
      <c r="H159" s="154">
        <v>19</v>
      </c>
      <c r="I159" s="156">
        <f t="shared" si="15"/>
        <v>17.573380661010745</v>
      </c>
      <c r="J159" s="156">
        <f t="shared" si="16"/>
        <v>17.577194976806645</v>
      </c>
      <c r="K159" s="156">
        <f t="shared" si="9"/>
        <v>7.3637743909227282E-6</v>
      </c>
      <c r="L159" s="156">
        <f t="shared" si="10"/>
        <v>-2.5888823537989492E-4</v>
      </c>
      <c r="M159" s="156">
        <f t="shared" si="11"/>
        <v>17.575287818908695</v>
      </c>
      <c r="N159" s="156">
        <f t="shared" si="12"/>
        <v>-1.2577817683701031E-4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6:48" ht="15.75">
      <c r="F160" s="143"/>
      <c r="H160" s="154">
        <v>20</v>
      </c>
      <c r="I160" s="156">
        <f t="shared" si="15"/>
        <v>17.573380661010745</v>
      </c>
      <c r="J160" s="156">
        <f t="shared" si="16"/>
        <v>17.575287818908695</v>
      </c>
      <c r="K160" s="156">
        <f t="shared" si="9"/>
        <v>7.3637743909227282E-6</v>
      </c>
      <c r="L160" s="156">
        <f t="shared" si="10"/>
        <v>-1.2577817683701031E-4</v>
      </c>
      <c r="M160" s="156">
        <f t="shared" si="11"/>
        <v>17.574334239959718</v>
      </c>
      <c r="N160" s="156">
        <f t="shared" si="12"/>
        <v>-5.9211188549457283E-5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6:48" ht="15.75">
      <c r="F161" s="143"/>
      <c r="H161" s="154">
        <v>21</v>
      </c>
      <c r="I161" s="156">
        <f t="shared" si="15"/>
        <v>17.573380661010745</v>
      </c>
      <c r="J161" s="156">
        <f t="shared" si="16"/>
        <v>17.574334239959718</v>
      </c>
      <c r="K161" s="156">
        <f t="shared" si="9"/>
        <v>7.3637743909227282E-6</v>
      </c>
      <c r="L161" s="156">
        <f t="shared" si="10"/>
        <v>-5.9211188549457283E-5</v>
      </c>
      <c r="M161" s="156">
        <f t="shared" si="11"/>
        <v>17.573857450485232</v>
      </c>
      <c r="N161" s="156">
        <f t="shared" si="12"/>
        <v>-2.5924704003532639E-5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6:48" ht="15.75">
      <c r="F162" s="143"/>
      <c r="H162" s="154">
        <v>22</v>
      </c>
      <c r="I162" s="156">
        <f t="shared" si="15"/>
        <v>17.573380661010745</v>
      </c>
      <c r="J162" s="156">
        <f t="shared" si="16"/>
        <v>17.573857450485232</v>
      </c>
      <c r="K162" s="156">
        <f t="shared" si="9"/>
        <v>7.3637743909227282E-6</v>
      </c>
      <c r="L162" s="156">
        <f t="shared" si="10"/>
        <v>-2.5924704003532639E-5</v>
      </c>
      <c r="M162" s="156">
        <f t="shared" si="11"/>
        <v>17.57361905574799</v>
      </c>
      <c r="N162" s="156">
        <f t="shared" si="12"/>
        <v>-9.2807140487094486E-6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6:48" ht="15.75">
      <c r="F163" s="143"/>
      <c r="H163" s="154">
        <v>23</v>
      </c>
      <c r="I163" s="156">
        <f t="shared" si="15"/>
        <v>17.573380661010745</v>
      </c>
      <c r="J163" s="156">
        <f t="shared" si="16"/>
        <v>17.57361905574799</v>
      </c>
      <c r="K163" s="156">
        <f t="shared" si="9"/>
        <v>7.3637743909227282E-6</v>
      </c>
      <c r="L163" s="156">
        <f t="shared" si="10"/>
        <v>-9.2807140487094486E-6</v>
      </c>
      <c r="M163" s="156">
        <f t="shared" si="11"/>
        <v>17.573499858379368</v>
      </c>
      <c r="N163" s="156">
        <f t="shared" si="12"/>
        <v>-9.5853214088226224E-7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6:48" ht="15.75">
      <c r="F164" s="143"/>
      <c r="H164" s="154">
        <v>24</v>
      </c>
      <c r="I164" s="156">
        <f t="shared" si="15"/>
        <v>17.573380661010745</v>
      </c>
      <c r="J164" s="156">
        <f t="shared" si="16"/>
        <v>17.573499858379368</v>
      </c>
      <c r="K164" s="156">
        <f t="shared" si="9"/>
        <v>7.3637743909227282E-6</v>
      </c>
      <c r="L164" s="156">
        <f t="shared" si="10"/>
        <v>-9.5853214088226224E-7</v>
      </c>
      <c r="M164" s="156">
        <f t="shared" si="11"/>
        <v>17.573440259695055</v>
      </c>
      <c r="N164" s="156">
        <f t="shared" si="12"/>
        <v>3.2026055472034187E-6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6:48" ht="15.75">
      <c r="F165" s="143"/>
      <c r="H165" s="154">
        <v>25</v>
      </c>
      <c r="I165" s="156">
        <f>IF(N164&lt;0,I164,M164)</f>
        <v>17.573440259695055</v>
      </c>
      <c r="J165" s="156">
        <f>IF(N164&lt;0,M164,J164)</f>
        <v>17.573499858379368</v>
      </c>
      <c r="K165" s="156">
        <f t="shared" si="9"/>
        <v>3.2026055472034187E-6</v>
      </c>
      <c r="L165" s="156">
        <f t="shared" si="10"/>
        <v>-9.5853214088226224E-7</v>
      </c>
      <c r="M165" s="156">
        <f t="shared" si="11"/>
        <v>17.573470059037213</v>
      </c>
      <c r="N165" s="156">
        <f t="shared" si="12"/>
        <v>1.1220328086647413E-6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6:48" ht="15.75">
      <c r="F166" s="143"/>
      <c r="H166" s="154">
        <v>26</v>
      </c>
      <c r="I166" s="156">
        <f t="shared" ref="I166:I167" si="17">IF(N165&lt;0,I165,M165)</f>
        <v>17.573470059037213</v>
      </c>
      <c r="J166" s="156">
        <f t="shared" ref="J166:J167" si="18">IF(N165&lt;0,M165,J165)</f>
        <v>17.573499858379368</v>
      </c>
      <c r="K166" s="156">
        <f t="shared" si="9"/>
        <v>1.1220328086647413E-6</v>
      </c>
      <c r="L166" s="156">
        <f t="shared" si="10"/>
        <v>-9.5853214088226224E-7</v>
      </c>
      <c r="M166" s="156">
        <f t="shared" si="11"/>
        <v>17.573484958708292</v>
      </c>
      <c r="N166" s="156">
        <f t="shared" si="12"/>
        <v>8.1749360170135787E-8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6:48" ht="15.75">
      <c r="F167" s="143"/>
      <c r="H167" s="154">
        <v>27</v>
      </c>
      <c r="I167" s="156">
        <f t="shared" si="17"/>
        <v>17.573484958708292</v>
      </c>
      <c r="J167" s="156">
        <f t="shared" si="18"/>
        <v>17.573499858379368</v>
      </c>
      <c r="K167" s="156">
        <f t="shared" si="9"/>
        <v>8.1749360170135787E-8</v>
      </c>
      <c r="L167" s="156">
        <f t="shared" si="10"/>
        <v>-9.5853214088226224E-7</v>
      </c>
      <c r="M167" s="156">
        <f t="shared" si="11"/>
        <v>17.573492408543828</v>
      </c>
      <c r="N167" s="156">
        <f t="shared" si="12"/>
        <v>-4.3839163399450598E-7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6:48" ht="15.75">
      <c r="F168" s="143"/>
      <c r="H168" s="154"/>
      <c r="I168" s="156"/>
      <c r="J168" s="156"/>
      <c r="K168" s="156"/>
      <c r="L168" s="156"/>
      <c r="M168" s="156"/>
      <c r="N168" s="156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6:48" ht="15.75">
      <c r="F169" s="143"/>
      <c r="H169" s="154"/>
      <c r="I169" s="156"/>
      <c r="J169" s="156"/>
      <c r="K169" s="156"/>
      <c r="L169" s="156"/>
      <c r="M169" s="156"/>
      <c r="N169" s="156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6:48" ht="15.75">
      <c r="F170" s="143"/>
      <c r="H170" s="154"/>
      <c r="I170" s="156"/>
      <c r="J170" s="156"/>
      <c r="K170" s="156"/>
      <c r="L170" s="156"/>
      <c r="M170" s="156"/>
      <c r="N170" s="156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6:48" ht="15.75">
      <c r="F171" s="143"/>
      <c r="H171" s="154"/>
      <c r="I171" s="156"/>
      <c r="J171" s="156"/>
      <c r="K171" s="156"/>
      <c r="L171" s="156"/>
      <c r="M171" s="156"/>
      <c r="N171" s="156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6:48" ht="15.75">
      <c r="F172" s="143"/>
      <c r="H172" s="154"/>
      <c r="I172" s="156"/>
      <c r="J172" s="156"/>
      <c r="K172" s="156"/>
      <c r="L172" s="156"/>
      <c r="M172" s="156"/>
      <c r="N172" s="156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6:48" ht="15.75">
      <c r="F173" s="143"/>
      <c r="H173" s="154"/>
      <c r="I173" s="156"/>
      <c r="J173" s="156"/>
      <c r="K173" s="156"/>
      <c r="L173" s="156"/>
      <c r="M173" s="156"/>
      <c r="N173" s="156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6:48" ht="15.75">
      <c r="F174" s="143"/>
      <c r="H174" s="154"/>
      <c r="I174" s="156"/>
      <c r="J174" s="156"/>
      <c r="K174" s="156"/>
      <c r="L174" s="156"/>
      <c r="M174" s="156"/>
      <c r="N174" s="156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6:48" ht="15.75">
      <c r="F175" s="143"/>
      <c r="H175" s="154"/>
      <c r="I175" s="156"/>
      <c r="J175" s="156"/>
      <c r="K175" s="156"/>
      <c r="L175" s="156"/>
      <c r="M175" s="156"/>
      <c r="N175" s="156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6:48" ht="15.75">
      <c r="F176" s="143"/>
      <c r="H176" s="154"/>
      <c r="I176" s="156"/>
      <c r="J176" s="156"/>
      <c r="K176" s="156"/>
      <c r="L176" s="156"/>
      <c r="M176" s="156"/>
      <c r="N176" s="156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6:48" ht="15.75">
      <c r="F177" s="143"/>
      <c r="H177" s="154"/>
      <c r="I177" s="156"/>
      <c r="J177" s="156"/>
      <c r="K177" s="156"/>
      <c r="L177" s="156"/>
      <c r="M177" s="156"/>
      <c r="N177" s="156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6:48" ht="15.75">
      <c r="F178" s="143"/>
      <c r="H178" s="154"/>
      <c r="I178" s="156"/>
      <c r="J178" s="156"/>
      <c r="K178" s="156"/>
      <c r="L178" s="156"/>
      <c r="M178" s="156"/>
      <c r="N178" s="156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6:48" ht="15.75">
      <c r="H179" s="154"/>
      <c r="I179" s="156"/>
      <c r="J179" s="156"/>
      <c r="K179" s="156"/>
      <c r="L179" s="156"/>
      <c r="M179" s="156"/>
      <c r="N179" s="156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6:48" ht="15.75">
      <c r="H180" s="154"/>
      <c r="I180" s="156"/>
      <c r="J180" s="156"/>
      <c r="K180" s="156"/>
      <c r="L180" s="156"/>
      <c r="M180" s="156"/>
      <c r="N180" s="156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6:48" ht="15"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6:48" ht="15"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6:48" ht="15"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6:48" ht="15"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6:48" ht="15"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6:48" ht="15"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6:48" ht="15"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6:48" ht="15"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6:48" ht="15"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6:48" ht="15"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6:48" ht="15"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6:48" ht="15"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8:48" ht="15"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8:48" ht="15"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8:48" ht="15"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8:48" ht="15"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8:48" ht="15"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8:48" ht="15"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8:48" ht="15"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8:48" ht="15"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8:48" ht="15.75">
      <c r="H201" s="14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8:48" ht="15.75">
      <c r="H202" s="14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8:48" ht="15.75">
      <c r="H203" s="14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8:48" ht="15"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8:48" ht="15"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8:48" ht="15"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8:48" ht="15"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8:48" ht="15"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8:48" ht="15"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8:48" ht="15"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8:48" ht="15"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8:48" ht="15"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8:48" ht="15"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8:48" ht="15"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8:48" ht="15"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8:48" ht="15"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8:48" ht="15"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8:48" ht="15"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8:48" ht="15"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8:48" ht="15"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8:48" ht="15"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8:48" ht="15"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8:48" ht="15"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8:48" ht="15"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8:48" ht="15"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8:48" ht="15"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8:48" ht="15"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8:48" ht="15"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8:48" ht="15"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8:48" ht="15"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8:48" ht="15"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8:48" ht="15"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8:48" ht="15"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8:48" ht="15"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8:48" ht="15"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8:48" ht="15"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8:48" ht="15"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8:48" ht="15"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8:48" ht="15"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8:48" ht="15"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8:48" ht="15"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8:48" ht="15"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8:48" ht="15"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8:48" ht="15"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8:48" ht="15"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8:48" ht="15"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8:48" ht="15"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8:48" ht="15"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8:48" ht="15"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8:48" ht="15"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8:48" ht="15"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</sheetData>
  <mergeCells count="2">
    <mergeCell ref="C19:E19"/>
    <mergeCell ref="C25:E25"/>
  </mergeCells>
  <pageMargins left="0.7" right="0.7" top="0.75" bottom="0.75" header="0.3" footer="0.3"/>
  <customProperties>
    <customPr name="IbpWorksheetKeyString_GUID" r:id="rId1"/>
  </customPropertie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8C85-0F9D-4404-AD8D-1E45BA97AE20}">
  <sheetPr>
    <tabColor theme="5"/>
  </sheetPr>
  <dimension ref="B2:X91"/>
  <sheetViews>
    <sheetView topLeftCell="A52" zoomScaleNormal="100" workbookViewId="0">
      <selection activeCell="G18" sqref="G18"/>
    </sheetView>
  </sheetViews>
  <sheetFormatPr defaultColWidth="8.7109375" defaultRowHeight="14.25"/>
  <cols>
    <col min="1" max="2" width="8.7109375" style="21"/>
    <col min="3" max="3" width="31.42578125" style="21" bestFit="1" customWidth="1"/>
    <col min="4" max="4" width="25" style="21" customWidth="1"/>
    <col min="5" max="5" width="14.140625" style="21" customWidth="1"/>
    <col min="6" max="6" width="10.42578125" style="21" customWidth="1"/>
    <col min="7" max="7" width="24.7109375" style="21" customWidth="1"/>
    <col min="8" max="16384" width="8.7109375" style="21"/>
  </cols>
  <sheetData>
    <row r="2" spans="2:23" ht="15" thickBot="1"/>
    <row r="3" spans="2:23" ht="15.75">
      <c r="B3" s="162"/>
      <c r="C3" s="163"/>
      <c r="D3" s="163"/>
      <c r="E3" s="163"/>
      <c r="F3" s="163"/>
      <c r="G3" s="164"/>
      <c r="I3" s="114" t="s">
        <v>618</v>
      </c>
      <c r="J3" s="115"/>
      <c r="K3" s="115"/>
      <c r="L3" s="115"/>
      <c r="M3" s="116"/>
      <c r="N3" s="115"/>
      <c r="O3" s="115"/>
      <c r="P3" s="115"/>
      <c r="Q3" s="116"/>
      <c r="R3" s="115"/>
      <c r="S3" s="165"/>
      <c r="T3" s="165"/>
      <c r="U3" s="165"/>
      <c r="V3" s="165"/>
      <c r="W3" s="166"/>
    </row>
    <row r="4" spans="2:23" ht="26.25">
      <c r="B4" s="167"/>
      <c r="C4" s="168" t="s">
        <v>619</v>
      </c>
      <c r="G4" s="169"/>
      <c r="I4" s="30"/>
      <c r="W4" s="129"/>
    </row>
    <row r="5" spans="2:23">
      <c r="B5" s="167"/>
      <c r="G5" s="169"/>
      <c r="I5" s="30"/>
      <c r="W5" s="129"/>
    </row>
    <row r="6" spans="2:23" ht="18">
      <c r="B6" s="167"/>
      <c r="C6" s="6" t="s">
        <v>620</v>
      </c>
      <c r="G6" s="169"/>
      <c r="I6" s="30"/>
      <c r="W6" s="129"/>
    </row>
    <row r="7" spans="2:23" ht="5.0999999999999996" customHeight="1">
      <c r="B7" s="167"/>
      <c r="C7" s="66"/>
      <c r="G7" s="169"/>
      <c r="I7" s="30"/>
      <c r="W7" s="129"/>
    </row>
    <row r="8" spans="2:23" ht="15.75">
      <c r="B8" s="167"/>
      <c r="C8" s="111" t="s">
        <v>1</v>
      </c>
      <c r="D8" s="111" t="s">
        <v>2</v>
      </c>
      <c r="E8" s="111" t="s">
        <v>3</v>
      </c>
      <c r="F8" s="111" t="s">
        <v>4</v>
      </c>
      <c r="G8" s="128" t="str" cm="1">
        <f t="array" ref="G8">IF(AND(VALUE(E9:E13)),"","Please compile on sheet")</f>
        <v/>
      </c>
      <c r="I8" s="30"/>
      <c r="W8" s="129"/>
    </row>
    <row r="9" spans="2:23">
      <c r="B9" s="167"/>
      <c r="C9" s="88" t="s">
        <v>191</v>
      </c>
      <c r="D9" s="88" t="s">
        <v>192</v>
      </c>
      <c r="E9" s="171">
        <f>'Res. Tank Design'!F45</f>
        <v>24</v>
      </c>
      <c r="F9" s="88" t="s">
        <v>190</v>
      </c>
      <c r="G9" s="128" t="str">
        <f>IF(E9,"","Res. Tank Design")</f>
        <v/>
      </c>
      <c r="I9" s="30"/>
      <c r="W9" s="129"/>
    </row>
    <row r="10" spans="2:23">
      <c r="B10" s="167"/>
      <c r="C10" s="88" t="s">
        <v>188</v>
      </c>
      <c r="D10" s="88" t="s">
        <v>189</v>
      </c>
      <c r="E10" s="171">
        <f>'Res. Tank Design'!F44</f>
        <v>11</v>
      </c>
      <c r="F10" s="88" t="s">
        <v>190</v>
      </c>
      <c r="G10" s="128" t="str">
        <f>IF(E10,"","Res. Tank Design")</f>
        <v/>
      </c>
      <c r="I10" s="30"/>
      <c r="W10" s="129"/>
    </row>
    <row r="11" spans="2:23">
      <c r="B11" s="167"/>
      <c r="C11" s="88" t="s">
        <v>186</v>
      </c>
      <c r="D11" s="88" t="s">
        <v>187</v>
      </c>
      <c r="E11" s="171">
        <f>'Res. Tank Design'!F43</f>
        <v>100</v>
      </c>
      <c r="F11" s="88" t="s">
        <v>71</v>
      </c>
      <c r="G11" s="128" t="str">
        <f>IF(E11,"","Res. Tank Design")</f>
        <v/>
      </c>
      <c r="I11" s="30"/>
      <c r="W11" s="129"/>
    </row>
    <row r="12" spans="2:23">
      <c r="B12" s="167"/>
      <c r="C12" s="88" t="s">
        <v>621</v>
      </c>
      <c r="D12" s="88" t="s">
        <v>138</v>
      </c>
      <c r="E12" s="171">
        <f>'Res. Tank Design'!F9</f>
        <v>7.4527000000000001</v>
      </c>
      <c r="F12" s="88" t="str">
        <f>"-"</f>
        <v>-</v>
      </c>
      <c r="G12" s="128" t="str">
        <f>IF(E12,"","Res. Tank Design")</f>
        <v/>
      </c>
      <c r="I12" s="30"/>
      <c r="W12" s="129"/>
    </row>
    <row r="13" spans="2:23">
      <c r="B13" s="167"/>
      <c r="C13" s="100" t="s">
        <v>622</v>
      </c>
      <c r="D13" s="100" t="s">
        <v>623</v>
      </c>
      <c r="E13" s="171">
        <f>'Device Setting'!$F$83</f>
        <v>3</v>
      </c>
      <c r="F13" s="100" t="str">
        <f>"-"</f>
        <v>-</v>
      </c>
      <c r="G13" s="128" t="str">
        <f>IF(E13,"","Device Setting")</f>
        <v/>
      </c>
      <c r="I13" s="30"/>
      <c r="W13" s="129"/>
    </row>
    <row r="14" spans="2:23">
      <c r="B14" s="167"/>
      <c r="G14" s="169"/>
      <c r="I14" s="30"/>
      <c r="W14" s="129"/>
    </row>
    <row r="15" spans="2:23" ht="18">
      <c r="B15" s="167"/>
      <c r="C15" s="6" t="s">
        <v>624</v>
      </c>
      <c r="G15" s="169"/>
      <c r="I15" s="30"/>
      <c r="W15" s="129"/>
    </row>
    <row r="16" spans="2:23" ht="5.0999999999999996" customHeight="1">
      <c r="B16" s="167"/>
      <c r="C16" s="66"/>
      <c r="G16" s="169"/>
      <c r="I16" s="30"/>
      <c r="W16" s="129"/>
    </row>
    <row r="17" spans="2:23" ht="15.75">
      <c r="B17" s="167"/>
      <c r="C17" s="111" t="s">
        <v>1</v>
      </c>
      <c r="D17" s="111" t="s">
        <v>2</v>
      </c>
      <c r="E17" s="111" t="s">
        <v>3</v>
      </c>
      <c r="F17" s="111" t="s">
        <v>4</v>
      </c>
      <c r="G17" s="170" t="str" cm="1">
        <f t="array" ref="G17">IF(AND(VALUE(E18:E21)),"","Please compile on sheet")</f>
        <v/>
      </c>
      <c r="I17" s="30"/>
      <c r="W17" s="129"/>
    </row>
    <row r="18" spans="2:23">
      <c r="B18" s="167"/>
      <c r="C18" s="88" t="s">
        <v>625</v>
      </c>
      <c r="D18" s="88" t="s">
        <v>626</v>
      </c>
      <c r="E18" s="172">
        <f>'Power Components'!$F$7</f>
        <v>2200</v>
      </c>
      <c r="F18" s="88" t="s">
        <v>71</v>
      </c>
      <c r="G18" s="128" t="str">
        <f>IF(E18,"","Power Components")</f>
        <v/>
      </c>
      <c r="I18" s="30"/>
      <c r="W18" s="129"/>
    </row>
    <row r="19" spans="2:23">
      <c r="B19" s="167"/>
      <c r="C19" s="88" t="s">
        <v>627</v>
      </c>
      <c r="D19" s="88" t="s">
        <v>240</v>
      </c>
      <c r="E19" s="172">
        <f>'Power Components'!$D$23</f>
        <v>160</v>
      </c>
      <c r="F19" s="88" t="s">
        <v>52</v>
      </c>
      <c r="G19" s="128" t="str">
        <f>IF(E19,"","Power Components")</f>
        <v/>
      </c>
      <c r="I19" s="30"/>
      <c r="W19" s="129"/>
    </row>
    <row r="20" spans="2:23">
      <c r="B20" s="167"/>
      <c r="C20" s="88" t="s">
        <v>628</v>
      </c>
      <c r="D20" s="88" t="s">
        <v>246</v>
      </c>
      <c r="E20" s="172">
        <f>'Power Components'!$D$24</f>
        <v>470</v>
      </c>
      <c r="F20" s="88" t="s">
        <v>629</v>
      </c>
      <c r="G20" s="128" t="str">
        <f>IF(E20,"","Power Components")</f>
        <v/>
      </c>
      <c r="I20" s="30"/>
      <c r="W20" s="129"/>
    </row>
    <row r="21" spans="2:23">
      <c r="B21" s="167"/>
      <c r="C21" s="88" t="s">
        <v>630</v>
      </c>
      <c r="D21" s="88" t="s">
        <v>631</v>
      </c>
      <c r="E21" s="172">
        <f>'Power Components'!D38</f>
        <v>10</v>
      </c>
      <c r="F21" s="88" t="s">
        <v>629</v>
      </c>
      <c r="G21" s="128" t="str">
        <f>IF(E21,"","Power Components")</f>
        <v/>
      </c>
      <c r="I21" s="30"/>
      <c r="W21" s="129"/>
    </row>
    <row r="22" spans="2:23">
      <c r="B22" s="167"/>
      <c r="G22" s="128"/>
      <c r="I22" s="30"/>
      <c r="W22" s="129"/>
    </row>
    <row r="23" spans="2:23" ht="18">
      <c r="B23" s="167"/>
      <c r="C23" s="6" t="s">
        <v>632</v>
      </c>
      <c r="G23" s="128"/>
      <c r="I23" s="30"/>
      <c r="W23" s="129"/>
    </row>
    <row r="24" spans="2:23" ht="3" customHeight="1">
      <c r="B24" s="167"/>
      <c r="C24" s="6"/>
      <c r="G24" s="128"/>
      <c r="I24" s="30"/>
      <c r="W24" s="129"/>
    </row>
    <row r="25" spans="2:23" ht="15.75">
      <c r="B25" s="167"/>
      <c r="C25" s="111" t="s">
        <v>633</v>
      </c>
      <c r="D25" s="111" t="s">
        <v>634</v>
      </c>
      <c r="G25" s="128"/>
      <c r="I25" s="30"/>
      <c r="W25" s="129"/>
    </row>
    <row r="26" spans="2:23">
      <c r="B26" s="167"/>
      <c r="C26" s="88" t="s">
        <v>635</v>
      </c>
      <c r="D26" s="171" t="s">
        <v>636</v>
      </c>
      <c r="G26" s="128"/>
      <c r="I26" s="30"/>
      <c r="W26" s="129"/>
    </row>
    <row r="27" spans="2:23">
      <c r="B27" s="167"/>
      <c r="G27" s="128"/>
      <c r="I27" s="30"/>
      <c r="W27" s="129"/>
    </row>
    <row r="28" spans="2:23" ht="18">
      <c r="B28" s="167"/>
      <c r="C28" s="6" t="s">
        <v>637</v>
      </c>
      <c r="G28" s="128"/>
      <c r="I28" s="30"/>
      <c r="W28" s="129"/>
    </row>
    <row r="29" spans="2:23" ht="3.6" customHeight="1">
      <c r="B29" s="167"/>
      <c r="C29" s="6"/>
      <c r="G29" s="128"/>
      <c r="I29" s="30"/>
      <c r="W29" s="129"/>
    </row>
    <row r="30" spans="2:23" ht="15.75">
      <c r="B30" s="167"/>
      <c r="C30" s="111" t="s">
        <v>633</v>
      </c>
      <c r="D30" s="111" t="s">
        <v>634</v>
      </c>
      <c r="G30" s="128"/>
      <c r="I30" s="30"/>
      <c r="W30" s="129"/>
    </row>
    <row r="31" spans="2:23">
      <c r="B31" s="167"/>
      <c r="C31" s="88" t="s">
        <v>637</v>
      </c>
      <c r="D31" s="171" t="str">
        <f>'Power Components'!$C$50</f>
        <v>GBJ1506U</v>
      </c>
      <c r="G31" s="128" t="str">
        <f>IF(ISBLANK(D31),"Power Components","")</f>
        <v/>
      </c>
      <c r="I31" s="30"/>
      <c r="W31" s="129"/>
    </row>
    <row r="32" spans="2:23">
      <c r="B32" s="167"/>
      <c r="G32" s="169"/>
      <c r="I32" s="30"/>
      <c r="W32" s="129"/>
    </row>
    <row r="33" spans="2:23" ht="18">
      <c r="B33" s="167"/>
      <c r="C33" s="6" t="s">
        <v>638</v>
      </c>
      <c r="G33" s="169"/>
      <c r="I33" s="30"/>
      <c r="W33" s="129"/>
    </row>
    <row r="34" spans="2:23" ht="3.95" customHeight="1">
      <c r="B34" s="167"/>
      <c r="C34" s="66"/>
      <c r="G34" s="169"/>
      <c r="I34" s="30"/>
      <c r="W34" s="129"/>
    </row>
    <row r="35" spans="2:23" ht="15.75">
      <c r="B35" s="167"/>
      <c r="C35" s="111" t="s">
        <v>1</v>
      </c>
      <c r="D35" s="111" t="s">
        <v>2</v>
      </c>
      <c r="E35" s="111" t="s">
        <v>3</v>
      </c>
      <c r="F35" s="111" t="s">
        <v>4</v>
      </c>
      <c r="G35" s="170" t="str" cm="1">
        <f t="array" ref="G35">IF(AND(VALUE(E36:E38)),"","Please compile on sheet")</f>
        <v/>
      </c>
      <c r="I35" s="30"/>
      <c r="W35" s="129"/>
    </row>
    <row r="36" spans="2:23">
      <c r="B36" s="167"/>
      <c r="C36" s="88" t="s">
        <v>639</v>
      </c>
      <c r="D36" s="88" t="str">
        <f>'Device Setting'!C$46</f>
        <v>R.CS</v>
      </c>
      <c r="E36" s="171">
        <f>'Device Setting'!$D$46</f>
        <v>24</v>
      </c>
      <c r="F36" s="88" t="s">
        <v>244</v>
      </c>
      <c r="G36" s="128" t="str">
        <f>IF(E36,"","Device Setting")</f>
        <v/>
      </c>
      <c r="I36" s="30"/>
      <c r="W36" s="129"/>
    </row>
    <row r="37" spans="2:23">
      <c r="B37" s="167"/>
      <c r="C37" s="88" t="s">
        <v>640</v>
      </c>
      <c r="D37" s="88" t="str">
        <f>'Device Setting'!C$45</f>
        <v>R.CS.single</v>
      </c>
      <c r="E37" s="171">
        <f>'Device Setting'!D$45</f>
        <v>120</v>
      </c>
      <c r="F37" s="88" t="s">
        <v>244</v>
      </c>
      <c r="G37" s="128" t="str">
        <f t="shared" ref="G37:G38" si="0">IF(E37,"","Device Setting")</f>
        <v/>
      </c>
      <c r="I37" s="30"/>
      <c r="W37" s="129"/>
    </row>
    <row r="38" spans="2:23">
      <c r="B38" s="167"/>
      <c r="C38" s="88" t="s">
        <v>641</v>
      </c>
      <c r="D38" s="88" t="str">
        <f>'Device Setting'!C$43</f>
        <v>N.Rcs.parall</v>
      </c>
      <c r="E38" s="172">
        <f>'Device Setting'!$D$43</f>
        <v>5</v>
      </c>
      <c r="F38" s="88" t="s">
        <v>244</v>
      </c>
      <c r="G38" s="128" t="str">
        <f t="shared" si="0"/>
        <v/>
      </c>
      <c r="I38" s="30"/>
      <c r="W38" s="129"/>
    </row>
    <row r="39" spans="2:23">
      <c r="B39" s="167"/>
      <c r="G39" s="169"/>
      <c r="I39" s="30"/>
      <c r="W39" s="129"/>
    </row>
    <row r="40" spans="2:23" ht="18">
      <c r="B40" s="167"/>
      <c r="C40" s="6" t="s">
        <v>642</v>
      </c>
      <c r="G40" s="169"/>
      <c r="I40" s="30"/>
      <c r="W40" s="129"/>
    </row>
    <row r="41" spans="2:23" ht="3.6" customHeight="1">
      <c r="B41" s="167"/>
      <c r="C41" s="66"/>
      <c r="G41" s="169"/>
      <c r="I41" s="30"/>
      <c r="W41" s="129"/>
    </row>
    <row r="42" spans="2:23" ht="15.75">
      <c r="B42" s="167"/>
      <c r="C42" s="111" t="s">
        <v>1</v>
      </c>
      <c r="D42" s="111" t="s">
        <v>2</v>
      </c>
      <c r="E42" s="111" t="s">
        <v>3</v>
      </c>
      <c r="F42" s="111" t="s">
        <v>4</v>
      </c>
      <c r="G42" s="170" t="str" cm="1">
        <f t="array" ref="G42">IF(AND(VALUE(E43:E50)),"","Please compile on sheet")</f>
        <v/>
      </c>
      <c r="I42" s="30"/>
      <c r="W42" s="129"/>
    </row>
    <row r="43" spans="2:23">
      <c r="B43" s="167"/>
      <c r="C43" s="88" t="s">
        <v>643</v>
      </c>
      <c r="D43" s="88" t="s">
        <v>644</v>
      </c>
      <c r="E43" s="173">
        <f>IF('CompensationNet&amp;Check'!F93,'CompensationNet&amp;Check'!F93,'CompensationNet&amp;Check'!D93)</f>
        <v>82</v>
      </c>
      <c r="F43" s="88" t="s">
        <v>71</v>
      </c>
      <c r="G43" s="128" t="str">
        <f>IF(E43,"","CompensationNet&amp;Checks")</f>
        <v/>
      </c>
      <c r="I43" s="30"/>
      <c r="W43" s="129"/>
    </row>
    <row r="44" spans="2:23">
      <c r="B44" s="167"/>
      <c r="C44" s="88" t="s">
        <v>645</v>
      </c>
      <c r="D44" s="88" t="s">
        <v>567</v>
      </c>
      <c r="E44" s="173">
        <f>IF('CompensationNet&amp;Check'!F94,'CompensationNet&amp;Check'!F94,'CompensationNet&amp;Check'!D94)</f>
        <v>560</v>
      </c>
      <c r="F44" s="88" t="s">
        <v>629</v>
      </c>
      <c r="G44" s="128" t="str">
        <f t="shared" ref="G44:G50" si="1">IF(E44,"","CompensationNet&amp;Checks")</f>
        <v/>
      </c>
      <c r="I44" s="30"/>
      <c r="W44" s="129"/>
    </row>
    <row r="45" spans="2:23">
      <c r="B45" s="167"/>
      <c r="C45" s="88" t="s">
        <v>646</v>
      </c>
      <c r="D45" s="88" t="s">
        <v>569</v>
      </c>
      <c r="E45" s="173">
        <f>IF('CompensationNet&amp;Check'!F95,'CompensationNet&amp;Check'!F95,'CompensationNet&amp;Check'!D95)</f>
        <v>47</v>
      </c>
      <c r="F45" s="88" t="s">
        <v>406</v>
      </c>
      <c r="G45" s="128" t="str">
        <f t="shared" si="1"/>
        <v/>
      </c>
      <c r="I45" s="30"/>
      <c r="W45" s="129"/>
    </row>
    <row r="46" spans="2:23">
      <c r="B46" s="167"/>
      <c r="C46" s="88" t="s">
        <v>647</v>
      </c>
      <c r="D46" s="88" t="s">
        <v>571</v>
      </c>
      <c r="E46" s="173">
        <f>IF('CompensationNet&amp;Check'!F96,'CompensationNet&amp;Check'!F96,'CompensationNet&amp;Check'!D96)</f>
        <v>1.55</v>
      </c>
      <c r="F46" s="88" t="s">
        <v>71</v>
      </c>
      <c r="G46" s="128" t="str">
        <f t="shared" si="1"/>
        <v/>
      </c>
      <c r="I46" s="30"/>
      <c r="W46" s="129"/>
    </row>
    <row r="47" spans="2:23">
      <c r="B47" s="167"/>
      <c r="C47" s="88" t="s">
        <v>648</v>
      </c>
      <c r="D47" s="88" t="s">
        <v>499</v>
      </c>
      <c r="E47" s="173">
        <f>'CompensationNet&amp;Check'!$D$36</f>
        <v>100</v>
      </c>
      <c r="F47" s="88" t="s">
        <v>406</v>
      </c>
      <c r="G47" s="128" t="str">
        <f t="shared" si="1"/>
        <v/>
      </c>
      <c r="I47" s="30"/>
      <c r="W47" s="129"/>
    </row>
    <row r="48" spans="2:23">
      <c r="B48" s="167"/>
      <c r="C48" s="88" t="s">
        <v>649</v>
      </c>
      <c r="D48" s="88" t="s">
        <v>650</v>
      </c>
      <c r="E48" s="173">
        <f>IF('CompensationNet&amp;Check'!$F$37,'CompensationNet&amp;Check'!$F$37,'CompensationNet&amp;Check'!$D$37)</f>
        <v>11</v>
      </c>
      <c r="F48" s="88" t="s">
        <v>406</v>
      </c>
      <c r="G48" s="128" t="str">
        <f t="shared" si="1"/>
        <v/>
      </c>
      <c r="I48" s="130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2"/>
    </row>
    <row r="49" spans="2:24">
      <c r="B49" s="167"/>
      <c r="C49" s="88" t="s">
        <v>651</v>
      </c>
      <c r="D49" s="88" t="s">
        <v>652</v>
      </c>
      <c r="E49" s="173">
        <f>IF('CompensationNet&amp;Check'!$F$41,'CompensationNet&amp;Check'!$F$41,'CompensationNet&amp;Check'!$D$41)</f>
        <v>1.3</v>
      </c>
      <c r="F49" s="88" t="s">
        <v>406</v>
      </c>
      <c r="G49" s="128" t="str">
        <f>IF(E49,"","CompensationNet&amp;Checks")</f>
        <v/>
      </c>
    </row>
    <row r="50" spans="2:24" ht="15.75">
      <c r="B50" s="167"/>
      <c r="C50" s="88" t="s">
        <v>653</v>
      </c>
      <c r="D50" s="88" t="s">
        <v>654</v>
      </c>
      <c r="E50" s="173">
        <f>IF('CompensationNet&amp;Check'!$F$43,'CompensationNet&amp;Check'!$F$43,'CompensationNet&amp;Check'!$D$43)</f>
        <v>6.2</v>
      </c>
      <c r="F50" s="88" t="s">
        <v>406</v>
      </c>
      <c r="G50" s="128" t="str">
        <f t="shared" si="1"/>
        <v/>
      </c>
      <c r="I50" s="114" t="s">
        <v>655</v>
      </c>
      <c r="J50" s="115"/>
      <c r="K50" s="115"/>
      <c r="L50" s="115"/>
      <c r="M50" s="116"/>
      <c r="N50" s="115"/>
      <c r="O50" s="115"/>
      <c r="P50" s="115"/>
      <c r="Q50" s="116"/>
      <c r="R50" s="115"/>
      <c r="S50" s="165"/>
      <c r="T50" s="165"/>
      <c r="U50" s="165"/>
      <c r="V50" s="165"/>
      <c r="W50" s="166"/>
    </row>
    <row r="51" spans="2:24">
      <c r="B51" s="167"/>
      <c r="G51" s="169"/>
      <c r="I51" s="30"/>
      <c r="W51" s="129"/>
    </row>
    <row r="52" spans="2:24" ht="18">
      <c r="B52" s="167"/>
      <c r="C52" s="6" t="s">
        <v>656</v>
      </c>
      <c r="G52" s="169"/>
      <c r="I52" s="30"/>
      <c r="W52" s="129"/>
    </row>
    <row r="53" spans="2:24" ht="3.95" customHeight="1">
      <c r="B53" s="167"/>
      <c r="C53" s="66"/>
      <c r="G53" s="169"/>
      <c r="I53" s="30"/>
      <c r="W53" s="129"/>
    </row>
    <row r="54" spans="2:24" ht="15.75">
      <c r="B54" s="167"/>
      <c r="C54" s="111" t="s">
        <v>1</v>
      </c>
      <c r="D54" s="111" t="s">
        <v>2</v>
      </c>
      <c r="E54" s="111" t="s">
        <v>3</v>
      </c>
      <c r="F54" s="111" t="s">
        <v>4</v>
      </c>
      <c r="G54" s="170" t="str" cm="1">
        <f t="array" ref="G54">IF(AND(VALUE(E55:E60)),"","Please compile on sheet")</f>
        <v/>
      </c>
      <c r="I54" s="30"/>
      <c r="W54" s="129"/>
    </row>
    <row r="55" spans="2:24">
      <c r="B55" s="167"/>
      <c r="C55" s="88" t="s">
        <v>657</v>
      </c>
      <c r="D55" s="88" t="s">
        <v>658</v>
      </c>
      <c r="E55" s="173">
        <f>IF('Device Setting'!F90,'Device Setting'!F90,'Device Setting'!D90)</f>
        <v>19</v>
      </c>
      <c r="F55" s="88" t="s">
        <v>406</v>
      </c>
      <c r="G55" s="128" t="str">
        <f>IF(E55,"","Device Setting")</f>
        <v/>
      </c>
      <c r="I55" s="30"/>
      <c r="W55" s="129"/>
      <c r="X55" s="143"/>
    </row>
    <row r="56" spans="2:24">
      <c r="B56" s="167"/>
      <c r="C56" s="88" t="s">
        <v>659</v>
      </c>
      <c r="D56" s="88" t="s">
        <v>660</v>
      </c>
      <c r="E56" s="173">
        <f>IF('Device Setting'!F91,'Device Setting'!F91,'Device Setting'!D91)</f>
        <v>680</v>
      </c>
      <c r="F56" s="88" t="s">
        <v>406</v>
      </c>
      <c r="G56" s="128" t="str">
        <f t="shared" ref="G56:G60" si="2">IF(E56,"","Device Setting")</f>
        <v/>
      </c>
      <c r="I56" s="30"/>
      <c r="W56" s="129"/>
    </row>
    <row r="57" spans="2:24">
      <c r="B57" s="167"/>
      <c r="C57" s="88" t="s">
        <v>661</v>
      </c>
      <c r="D57" s="88" t="s">
        <v>662</v>
      </c>
      <c r="E57" s="173">
        <f>'Device Setting'!$D$21</f>
        <v>470</v>
      </c>
      <c r="F57" s="88" t="s">
        <v>65</v>
      </c>
      <c r="G57" s="128" t="str">
        <f t="shared" si="2"/>
        <v/>
      </c>
      <c r="I57" s="30"/>
      <c r="W57" s="129"/>
    </row>
    <row r="58" spans="2:24">
      <c r="B58" s="167"/>
      <c r="C58" s="88" t="s">
        <v>663</v>
      </c>
      <c r="D58" s="88" t="s">
        <v>664</v>
      </c>
      <c r="E58" s="173">
        <f>'Device Setting'!$F$24</f>
        <v>11</v>
      </c>
      <c r="F58" s="88" t="s">
        <v>406</v>
      </c>
      <c r="G58" s="128" t="str">
        <f t="shared" si="2"/>
        <v/>
      </c>
      <c r="I58" s="30"/>
      <c r="W58" s="129"/>
    </row>
    <row r="59" spans="2:24">
      <c r="B59" s="167"/>
      <c r="C59" s="88" t="s">
        <v>665</v>
      </c>
      <c r="D59" s="88" t="s">
        <v>666</v>
      </c>
      <c r="E59" s="173">
        <f>'Device Setting'!$F$61</f>
        <v>30</v>
      </c>
      <c r="F59" s="88" t="s">
        <v>406</v>
      </c>
      <c r="G59" s="128" t="str">
        <f t="shared" si="2"/>
        <v/>
      </c>
      <c r="I59" s="30"/>
      <c r="W59" s="129"/>
    </row>
    <row r="60" spans="2:24">
      <c r="B60" s="167"/>
      <c r="C60" s="88" t="s">
        <v>667</v>
      </c>
      <c r="D60" s="88" t="s">
        <v>668</v>
      </c>
      <c r="E60" s="173">
        <f>'Device Setting'!$F$108</f>
        <v>30</v>
      </c>
      <c r="F60" s="88" t="s">
        <v>406</v>
      </c>
      <c r="G60" s="128" t="str">
        <f t="shared" si="2"/>
        <v/>
      </c>
      <c r="I60" s="30"/>
      <c r="W60" s="129"/>
    </row>
    <row r="61" spans="2:24">
      <c r="B61" s="167"/>
      <c r="G61" s="169"/>
      <c r="I61" s="30"/>
      <c r="W61" s="129"/>
    </row>
    <row r="62" spans="2:24">
      <c r="B62" s="167"/>
      <c r="C62" s="174"/>
      <c r="D62" s="175"/>
      <c r="E62" s="175"/>
      <c r="F62" s="176"/>
      <c r="G62" s="169"/>
      <c r="I62" s="30"/>
      <c r="W62" s="129"/>
    </row>
    <row r="63" spans="2:24">
      <c r="B63" s="167"/>
      <c r="C63" s="30"/>
      <c r="F63" s="129"/>
      <c r="G63" s="169"/>
      <c r="I63" s="30"/>
      <c r="W63" s="129"/>
    </row>
    <row r="64" spans="2:24">
      <c r="B64" s="167"/>
      <c r="C64" s="30"/>
      <c r="F64" s="129"/>
      <c r="G64" s="169"/>
      <c r="I64" s="30"/>
      <c r="W64" s="129"/>
    </row>
    <row r="65" spans="2:23">
      <c r="B65" s="167"/>
      <c r="C65" s="30"/>
      <c r="F65" s="129"/>
      <c r="G65" s="169"/>
      <c r="I65" s="30"/>
      <c r="W65" s="129"/>
    </row>
    <row r="66" spans="2:23">
      <c r="B66" s="167"/>
      <c r="C66" s="30"/>
      <c r="F66" s="129"/>
      <c r="G66" s="169"/>
      <c r="I66" s="30"/>
      <c r="W66" s="129"/>
    </row>
    <row r="67" spans="2:23">
      <c r="B67" s="167"/>
      <c r="C67" s="30"/>
      <c r="F67" s="129"/>
      <c r="G67" s="169"/>
      <c r="I67" s="30"/>
      <c r="W67" s="129"/>
    </row>
    <row r="68" spans="2:23">
      <c r="B68" s="167"/>
      <c r="C68" s="30"/>
      <c r="F68" s="129"/>
      <c r="G68" s="169"/>
      <c r="I68" s="30"/>
      <c r="W68" s="129"/>
    </row>
    <row r="69" spans="2:23">
      <c r="B69" s="167"/>
      <c r="C69" s="30"/>
      <c r="F69" s="129"/>
      <c r="G69" s="169"/>
      <c r="I69" s="30"/>
      <c r="W69" s="129"/>
    </row>
    <row r="70" spans="2:23">
      <c r="B70" s="167"/>
      <c r="C70" s="130"/>
      <c r="D70" s="131"/>
      <c r="E70" s="131"/>
      <c r="F70" s="132"/>
      <c r="G70" s="169"/>
      <c r="I70" s="30"/>
      <c r="W70" s="129"/>
    </row>
    <row r="71" spans="2:23">
      <c r="B71" s="167"/>
      <c r="G71" s="169"/>
      <c r="I71" s="30"/>
      <c r="W71" s="129"/>
    </row>
    <row r="72" spans="2:23" ht="18">
      <c r="B72" s="167"/>
      <c r="C72" s="6" t="s">
        <v>669</v>
      </c>
      <c r="G72" s="169"/>
      <c r="I72" s="30"/>
      <c r="W72" s="129"/>
    </row>
    <row r="73" spans="2:23" ht="3.95" customHeight="1">
      <c r="B73" s="167"/>
      <c r="G73" s="169"/>
      <c r="I73" s="30"/>
      <c r="W73" s="129"/>
    </row>
    <row r="74" spans="2:23" ht="15.75">
      <c r="B74" s="167"/>
      <c r="C74" s="177" t="s">
        <v>1</v>
      </c>
      <c r="D74" s="177" t="s">
        <v>2</v>
      </c>
      <c r="E74" s="178" t="s">
        <v>634</v>
      </c>
      <c r="F74" s="179"/>
      <c r="G74" s="169" t="str">
        <f>IF(ISBLANK(E75),"Please compile on sheet","")</f>
        <v/>
      </c>
      <c r="I74" s="30"/>
      <c r="W74" s="129"/>
    </row>
    <row r="75" spans="2:23">
      <c r="B75" s="167"/>
      <c r="C75" s="100" t="s">
        <v>670</v>
      </c>
      <c r="D75" s="100" t="s">
        <v>671</v>
      </c>
      <c r="E75" s="173" t="str">
        <f>'Power Components'!$C$67</f>
        <v xml:space="preserve"> STO60N045DM9</v>
      </c>
      <c r="F75" s="180"/>
      <c r="G75" s="128" t="str">
        <f>IF(ISBLANK(E75),"Power Components","")</f>
        <v/>
      </c>
      <c r="I75" s="30"/>
      <c r="W75" s="129"/>
    </row>
    <row r="76" spans="2:23">
      <c r="B76" s="167"/>
      <c r="C76" s="143"/>
      <c r="D76" s="143"/>
      <c r="E76" s="143"/>
      <c r="G76" s="169"/>
      <c r="I76" s="30"/>
      <c r="W76" s="129"/>
    </row>
    <row r="77" spans="2:23" ht="18">
      <c r="B77" s="167"/>
      <c r="C77" s="138" t="s">
        <v>672</v>
      </c>
      <c r="D77" s="27"/>
      <c r="E77" s="27"/>
      <c r="G77" s="169"/>
      <c r="I77" s="30"/>
      <c r="W77" s="129"/>
    </row>
    <row r="78" spans="2:23" ht="3.6" customHeight="1">
      <c r="B78" s="167"/>
      <c r="C78" s="27"/>
      <c r="D78" s="27"/>
      <c r="E78" s="27"/>
      <c r="G78" s="169"/>
      <c r="I78" s="30"/>
      <c r="W78" s="129"/>
    </row>
    <row r="79" spans="2:23" ht="15.75">
      <c r="B79" s="167"/>
      <c r="C79" s="177" t="s">
        <v>1</v>
      </c>
      <c r="D79" s="177" t="s">
        <v>2</v>
      </c>
      <c r="E79" s="177" t="s">
        <v>634</v>
      </c>
      <c r="G79" s="169" t="str">
        <f>IF(ISBLANK(E80),"Please compile on sheet","")</f>
        <v/>
      </c>
      <c r="I79" s="130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2"/>
    </row>
    <row r="80" spans="2:23">
      <c r="B80" s="167"/>
      <c r="C80" s="100" t="str">
        <f>IF('Design Spec'!D107=1,"Center Tap diodes","Full Bridge diodes")</f>
        <v>Center Tap diodes</v>
      </c>
      <c r="D80" s="100" t="str">
        <f>IF('Design Spec'!D107=1,"D1, D2","D1, D2, D3, D4")</f>
        <v>D1, D2</v>
      </c>
      <c r="E80" s="173" t="str">
        <f>'Power Components'!$C$92</f>
        <v>TPH3R70APL1</v>
      </c>
      <c r="G80" s="128" t="str">
        <f>IF(ISBLANK(E80),"Power Components","")</f>
        <v/>
      </c>
    </row>
    <row r="81" spans="2:7">
      <c r="B81" s="167"/>
      <c r="G81" s="169"/>
    </row>
    <row r="82" spans="2:7" ht="18">
      <c r="B82" s="167"/>
      <c r="C82" s="6" t="s">
        <v>673</v>
      </c>
      <c r="G82" s="169"/>
    </row>
    <row r="83" spans="2:7" ht="3.6" customHeight="1">
      <c r="B83" s="167"/>
      <c r="C83" s="6"/>
      <c r="G83" s="169"/>
    </row>
    <row r="84" spans="2:7" ht="15.75">
      <c r="B84" s="167"/>
      <c r="C84" s="111" t="s">
        <v>1</v>
      </c>
      <c r="D84" s="111" t="s">
        <v>634</v>
      </c>
      <c r="G84" s="169" t="str">
        <f>IF(ISBLANK(D85),"Please compile on sheet","")</f>
        <v/>
      </c>
    </row>
    <row r="85" spans="2:7">
      <c r="B85" s="167"/>
      <c r="C85" s="88" t="s">
        <v>674</v>
      </c>
      <c r="D85" s="173" t="str">
        <f>'CompensationNet&amp;Check'!$C$25</f>
        <v>SFH617A</v>
      </c>
      <c r="G85" s="128" t="str">
        <f>IF(ISBLANK(D85),"CompensationNet&amp;Checks","")</f>
        <v/>
      </c>
    </row>
    <row r="86" spans="2:7">
      <c r="B86" s="167"/>
      <c r="G86" s="169"/>
    </row>
    <row r="87" spans="2:7" ht="18">
      <c r="B87" s="167"/>
      <c r="C87" s="6" t="s">
        <v>675</v>
      </c>
      <c r="G87" s="169"/>
    </row>
    <row r="88" spans="2:7" ht="4.5" customHeight="1">
      <c r="B88" s="167"/>
      <c r="C88" s="6"/>
      <c r="G88" s="169"/>
    </row>
    <row r="89" spans="2:7" ht="15.75">
      <c r="B89" s="167"/>
      <c r="C89" s="111" t="s">
        <v>1</v>
      </c>
      <c r="D89" s="111" t="s">
        <v>634</v>
      </c>
      <c r="G89" s="169" t="str">
        <f>IF(ISBLANK(D90),"Please compile on sheet","")</f>
        <v/>
      </c>
    </row>
    <row r="90" spans="2:7">
      <c r="B90" s="167"/>
      <c r="C90" s="88" t="s">
        <v>676</v>
      </c>
      <c r="D90" s="173" t="str">
        <f>'CompensationNet&amp;Check'!$C$19</f>
        <v>TL431AIT</v>
      </c>
      <c r="G90" s="128" t="str">
        <f>IF(ISBLANK(D90),"CompensationNet&amp;Checks","")</f>
        <v/>
      </c>
    </row>
    <row r="91" spans="2:7" ht="15" thickBot="1">
      <c r="B91" s="181"/>
      <c r="C91" s="182"/>
      <c r="D91" s="182"/>
      <c r="E91" s="182"/>
      <c r="F91" s="182"/>
      <c r="G91" s="183"/>
    </row>
  </sheetData>
  <phoneticPr fontId="6" type="noConversion"/>
  <conditionalFormatting sqref="D26">
    <cfRule type="cellIs" dxfId="10" priority="9" operator="equal">
      <formula>0</formula>
    </cfRule>
  </conditionalFormatting>
  <conditionalFormatting sqref="D31">
    <cfRule type="cellIs" dxfId="9" priority="8" operator="equal">
      <formula>0</formula>
    </cfRule>
  </conditionalFormatting>
  <conditionalFormatting sqref="D85">
    <cfRule type="cellIs" dxfId="8" priority="2" operator="equal">
      <formula>0</formula>
    </cfRule>
  </conditionalFormatting>
  <conditionalFormatting sqref="D90">
    <cfRule type="cellIs" dxfId="7" priority="1" operator="equal">
      <formula>0</formula>
    </cfRule>
  </conditionalFormatting>
  <conditionalFormatting sqref="E9:E13">
    <cfRule type="cellIs" dxfId="6" priority="13" operator="equal">
      <formula>0</formula>
    </cfRule>
  </conditionalFormatting>
  <conditionalFormatting sqref="E18:E21">
    <cfRule type="cellIs" dxfId="5" priority="11" operator="equal">
      <formula>0</formula>
    </cfRule>
  </conditionalFormatting>
  <conditionalFormatting sqref="E36:E38">
    <cfRule type="cellIs" dxfId="4" priority="7" operator="equal">
      <formula>0</formula>
    </cfRule>
  </conditionalFormatting>
  <conditionalFormatting sqref="E43:E50">
    <cfRule type="cellIs" dxfId="3" priority="6" operator="equal">
      <formula>0</formula>
    </cfRule>
  </conditionalFormatting>
  <conditionalFormatting sqref="E55:E60">
    <cfRule type="cellIs" dxfId="2" priority="5" operator="equal">
      <formula>0</formula>
    </cfRule>
  </conditionalFormatting>
  <conditionalFormatting sqref="E75">
    <cfRule type="cellIs" dxfId="1" priority="4" operator="equal">
      <formula>0</formula>
    </cfRule>
  </conditionalFormatting>
  <conditionalFormatting sqref="E80">
    <cfRule type="cellIs" dxfId="0" priority="3" operator="equal">
      <formula>0</formula>
    </cfRule>
  </conditionalFormatting>
  <pageMargins left="0.7" right="0.7" top="0.75" bottom="0.75" header="0.3" footer="0.3"/>
  <pageSetup orientation="portrait" horizontalDpi="1200" verticalDpi="1200" r:id="rId1"/>
  <customProperties>
    <customPr name="IbpWorksheetKeyString_GUID" r:id="rId2"/>
  </customPropertie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6A90-2649-4AFF-A62A-FE8BED315E78}">
  <sheetPr>
    <tabColor rgb="FFFF0000"/>
  </sheetPr>
  <dimension ref="A3:CL218"/>
  <sheetViews>
    <sheetView zoomScale="55" zoomScaleNormal="55" workbookViewId="0">
      <selection sqref="A1:XFD1048576"/>
    </sheetView>
  </sheetViews>
  <sheetFormatPr defaultColWidth="8.7109375" defaultRowHeight="15"/>
  <cols>
    <col min="1" max="1" width="8.7109375" style="2"/>
    <col min="2" max="2" width="41" style="2" customWidth="1"/>
    <col min="3" max="3" width="12.42578125" style="2" bestFit="1" customWidth="1"/>
    <col min="4" max="96" width="8.7109375" style="2"/>
    <col min="97" max="97" width="14.140625" style="2" bestFit="1" customWidth="1"/>
    <col min="98" max="98" width="9.85546875" style="2" bestFit="1" customWidth="1"/>
    <col min="99" max="16384" width="8.7109375" style="2"/>
  </cols>
  <sheetData>
    <row r="3" spans="2:86"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L3" s="2">
        <v>10</v>
      </c>
      <c r="M3" s="2">
        <v>11</v>
      </c>
      <c r="N3" s="2">
        <v>12</v>
      </c>
      <c r="O3" s="2">
        <v>13</v>
      </c>
      <c r="P3" s="2">
        <v>14</v>
      </c>
      <c r="Q3" s="2">
        <v>15</v>
      </c>
      <c r="R3" s="2">
        <v>16</v>
      </c>
      <c r="S3" s="2">
        <v>17</v>
      </c>
      <c r="T3" s="2">
        <v>18</v>
      </c>
      <c r="U3" s="2">
        <v>19</v>
      </c>
      <c r="V3" s="2">
        <v>20</v>
      </c>
      <c r="W3" s="2">
        <v>21</v>
      </c>
      <c r="X3" s="2">
        <v>22</v>
      </c>
      <c r="Y3" s="2">
        <v>23</v>
      </c>
      <c r="Z3" s="2">
        <v>24</v>
      </c>
      <c r="AA3" s="2">
        <v>25</v>
      </c>
      <c r="AB3" s="2">
        <v>26</v>
      </c>
      <c r="AC3" s="2">
        <v>27</v>
      </c>
      <c r="AD3" s="2">
        <v>28</v>
      </c>
      <c r="AE3" s="2">
        <v>29</v>
      </c>
      <c r="AF3" s="2">
        <v>30</v>
      </c>
      <c r="AG3" s="2">
        <v>31</v>
      </c>
      <c r="AH3" s="2">
        <v>32</v>
      </c>
      <c r="AI3" s="2">
        <v>33</v>
      </c>
      <c r="AJ3" s="2">
        <v>34</v>
      </c>
      <c r="AK3" s="2">
        <v>35</v>
      </c>
      <c r="AL3" s="2">
        <v>36</v>
      </c>
      <c r="AM3" s="2">
        <v>37</v>
      </c>
      <c r="AN3" s="2">
        <v>38</v>
      </c>
      <c r="AO3" s="2">
        <v>39</v>
      </c>
      <c r="AP3" s="2">
        <v>40</v>
      </c>
      <c r="AQ3" s="2">
        <v>41</v>
      </c>
      <c r="AR3" s="2">
        <v>42</v>
      </c>
      <c r="AS3" s="2">
        <v>43</v>
      </c>
      <c r="AT3" s="2">
        <v>44</v>
      </c>
      <c r="AU3" s="2">
        <v>45</v>
      </c>
      <c r="AV3" s="2">
        <v>46</v>
      </c>
      <c r="AW3" s="2">
        <v>47</v>
      </c>
      <c r="AX3" s="2">
        <v>48</v>
      </c>
      <c r="AY3" s="2">
        <v>49</v>
      </c>
      <c r="AZ3" s="2">
        <v>50</v>
      </c>
      <c r="BA3" s="2">
        <v>51</v>
      </c>
      <c r="BB3" s="2">
        <v>52</v>
      </c>
      <c r="BC3" s="2">
        <v>53</v>
      </c>
      <c r="BD3" s="2">
        <v>54</v>
      </c>
      <c r="BE3" s="2">
        <v>55</v>
      </c>
      <c r="BF3" s="2">
        <v>56</v>
      </c>
      <c r="BG3" s="2">
        <v>57</v>
      </c>
      <c r="BH3" s="2">
        <v>58</v>
      </c>
      <c r="BI3" s="2">
        <v>59</v>
      </c>
      <c r="BJ3" s="2">
        <v>60</v>
      </c>
      <c r="BK3" s="2">
        <v>61</v>
      </c>
      <c r="BL3" s="2">
        <v>62</v>
      </c>
      <c r="BM3" s="2">
        <v>63</v>
      </c>
      <c r="BN3" s="2">
        <v>64</v>
      </c>
      <c r="BO3" s="2">
        <v>65</v>
      </c>
      <c r="BP3" s="2">
        <v>66</v>
      </c>
      <c r="BQ3" s="2">
        <v>67</v>
      </c>
      <c r="BR3" s="2">
        <v>68</v>
      </c>
      <c r="BS3" s="2">
        <v>69</v>
      </c>
      <c r="BT3" s="2">
        <v>70</v>
      </c>
      <c r="BU3" s="2">
        <v>71</v>
      </c>
      <c r="BV3" s="2">
        <v>72</v>
      </c>
      <c r="BW3" s="2">
        <v>73</v>
      </c>
      <c r="BX3" s="2">
        <v>74</v>
      </c>
      <c r="BY3" s="2">
        <v>75</v>
      </c>
      <c r="BZ3" s="2">
        <v>76</v>
      </c>
      <c r="CA3" s="2">
        <v>77</v>
      </c>
      <c r="CB3" s="2">
        <v>78</v>
      </c>
      <c r="CC3" s="2">
        <v>79</v>
      </c>
      <c r="CD3" s="2">
        <v>80</v>
      </c>
      <c r="CE3" s="2">
        <v>81</v>
      </c>
      <c r="CF3" s="2">
        <v>82</v>
      </c>
      <c r="CG3" s="2">
        <v>83</v>
      </c>
    </row>
    <row r="4" spans="2:86">
      <c r="B4" s="2" t="s">
        <v>677</v>
      </c>
      <c r="C4" s="2">
        <v>0.1</v>
      </c>
      <c r="D4" s="2">
        <v>0.2</v>
      </c>
      <c r="E4" s="2">
        <v>0.3</v>
      </c>
      <c r="F4" s="2">
        <v>0.4</v>
      </c>
      <c r="G4" s="2">
        <v>0.5</v>
      </c>
      <c r="H4" s="2">
        <v>0.6</v>
      </c>
      <c r="I4" s="2">
        <v>0.7</v>
      </c>
      <c r="J4" s="2">
        <v>0.8</v>
      </c>
      <c r="K4" s="2">
        <v>0.9</v>
      </c>
      <c r="L4" s="2">
        <v>1</v>
      </c>
      <c r="M4" s="2">
        <v>1.1000000000000001</v>
      </c>
      <c r="N4" s="2">
        <v>1.2</v>
      </c>
      <c r="O4" s="2">
        <v>1.3</v>
      </c>
      <c r="P4" s="2">
        <v>1.4</v>
      </c>
      <c r="Q4" s="2">
        <v>1.5</v>
      </c>
      <c r="R4" s="2">
        <v>1.6</v>
      </c>
      <c r="S4" s="2">
        <v>1.7</v>
      </c>
      <c r="T4" s="2">
        <v>1.8</v>
      </c>
      <c r="U4" s="2">
        <v>1.9</v>
      </c>
      <c r="V4" s="2">
        <v>2</v>
      </c>
      <c r="W4" s="2">
        <v>2.1</v>
      </c>
      <c r="X4" s="2">
        <v>2.2000000000000002</v>
      </c>
      <c r="Y4" s="2">
        <v>2.2999999999999998</v>
      </c>
      <c r="Z4" s="2">
        <v>2.4</v>
      </c>
      <c r="AA4" s="2">
        <v>2.5</v>
      </c>
      <c r="AB4" s="2">
        <v>2.6</v>
      </c>
      <c r="AC4" s="2">
        <v>2.7</v>
      </c>
      <c r="AD4" s="2">
        <v>2.8</v>
      </c>
      <c r="AE4" s="2">
        <v>2.9</v>
      </c>
      <c r="AF4" s="2">
        <v>3</v>
      </c>
      <c r="AG4" s="2">
        <v>3.09</v>
      </c>
      <c r="AH4" s="2">
        <v>3.1</v>
      </c>
    </row>
    <row r="5" spans="2:86">
      <c r="B5" s="2" t="s">
        <v>20</v>
      </c>
      <c r="C5" s="2">
        <f>'Design Spec'!$D$95</f>
        <v>25</v>
      </c>
      <c r="D5" s="2">
        <f>'Design Spec'!$D$95</f>
        <v>25</v>
      </c>
      <c r="E5" s="2">
        <f>'Design Spec'!$D$95</f>
        <v>25</v>
      </c>
      <c r="F5" s="2">
        <f>'Design Spec'!$D$95</f>
        <v>25</v>
      </c>
      <c r="G5" s="2">
        <f>'Design Spec'!$D$95</f>
        <v>25</v>
      </c>
      <c r="H5" s="2">
        <f>'Design Spec'!$D$95</f>
        <v>25</v>
      </c>
      <c r="I5" s="2">
        <f>'Design Spec'!$D$95</f>
        <v>25</v>
      </c>
      <c r="J5" s="2">
        <f>'Design Spec'!$D$95</f>
        <v>25</v>
      </c>
      <c r="K5" s="2">
        <f>'Design Spec'!$D$95</f>
        <v>25</v>
      </c>
      <c r="L5" s="2">
        <f>'Design Spec'!$D$95</f>
        <v>25</v>
      </c>
      <c r="M5" s="2">
        <f>'Design Spec'!$D$95</f>
        <v>25</v>
      </c>
      <c r="N5" s="2">
        <f>'Design Spec'!$D$95</f>
        <v>25</v>
      </c>
      <c r="O5" s="2">
        <f>'Design Spec'!$D$95</f>
        <v>25</v>
      </c>
      <c r="P5" s="2">
        <f>'Design Spec'!$D$95</f>
        <v>25</v>
      </c>
      <c r="Q5" s="2">
        <f>'Design Spec'!$D$95</f>
        <v>25</v>
      </c>
      <c r="R5" s="2">
        <f>'Design Spec'!$D$95</f>
        <v>25</v>
      </c>
      <c r="S5" s="2">
        <f>'Design Spec'!$D$95</f>
        <v>25</v>
      </c>
      <c r="T5" s="2">
        <f>'Design Spec'!$D$95</f>
        <v>25</v>
      </c>
      <c r="U5" s="2">
        <f>'Design Spec'!$D$95</f>
        <v>25</v>
      </c>
      <c r="V5" s="2">
        <f>'Design Spec'!$D$95</f>
        <v>25</v>
      </c>
      <c r="W5" s="2">
        <f>'Design Spec'!$D$95</f>
        <v>25</v>
      </c>
      <c r="X5" s="2">
        <f>'Design Spec'!$D$95</f>
        <v>25</v>
      </c>
      <c r="Y5" s="2">
        <f>'Design Spec'!$D$95</f>
        <v>25</v>
      </c>
      <c r="Z5" s="2">
        <f>'Design Spec'!$D$95</f>
        <v>25</v>
      </c>
      <c r="AA5" s="2">
        <f>'Design Spec'!$D$95</f>
        <v>25</v>
      </c>
      <c r="AB5" s="2">
        <f>'Design Spec'!$D$95</f>
        <v>25</v>
      </c>
      <c r="AC5" s="2">
        <f>'Design Spec'!$D$95</f>
        <v>25</v>
      </c>
      <c r="AD5" s="2">
        <f>'Design Spec'!$D$95</f>
        <v>25</v>
      </c>
      <c r="AE5" s="2">
        <f>'Design Spec'!$D$95</f>
        <v>25</v>
      </c>
      <c r="AF5" s="2">
        <f>'Design Spec'!$D$95</f>
        <v>25</v>
      </c>
      <c r="AG5" s="2">
        <f>'Design Spec'!$D$95</f>
        <v>25</v>
      </c>
      <c r="AH5" s="2">
        <f>'Design Spec'!$D$95</f>
        <v>25</v>
      </c>
      <c r="AI5" s="2">
        <f>'Design Spec'!$D$95</f>
        <v>25</v>
      </c>
      <c r="AJ5" s="2">
        <f>'Design Spec'!$D$95</f>
        <v>25</v>
      </c>
      <c r="AK5" s="2">
        <f>'Design Spec'!$D$95</f>
        <v>25</v>
      </c>
      <c r="AL5" s="2">
        <f>'Design Spec'!$D$95</f>
        <v>25</v>
      </c>
      <c r="AM5" s="2">
        <f>'Design Spec'!$D$95</f>
        <v>25</v>
      </c>
      <c r="AN5" s="2">
        <f>'Design Spec'!$D$95</f>
        <v>25</v>
      </c>
      <c r="AO5" s="2">
        <f>'Design Spec'!$D$95</f>
        <v>25</v>
      </c>
      <c r="AP5" s="2">
        <f>'Design Spec'!$D$95</f>
        <v>25</v>
      </c>
      <c r="AQ5" s="2">
        <f>'Design Spec'!$D$95</f>
        <v>25</v>
      </c>
      <c r="AR5" s="2">
        <f>'Design Spec'!$D$95</f>
        <v>25</v>
      </c>
      <c r="AS5" s="2">
        <f>'Design Spec'!$D$95</f>
        <v>25</v>
      </c>
      <c r="AT5" s="2">
        <f>'Design Spec'!$D$95</f>
        <v>25</v>
      </c>
      <c r="AU5" s="2">
        <f>'Design Spec'!$D$95</f>
        <v>25</v>
      </c>
      <c r="AV5" s="2">
        <f>'Design Spec'!$D$95</f>
        <v>25</v>
      </c>
      <c r="AW5" s="2">
        <f>'Design Spec'!$D$95</f>
        <v>25</v>
      </c>
      <c r="AX5" s="2">
        <f>'Design Spec'!$D$95</f>
        <v>25</v>
      </c>
      <c r="AY5" s="2">
        <f>'Design Spec'!$D$95</f>
        <v>25</v>
      </c>
      <c r="AZ5" s="2">
        <f>'Design Spec'!$D$95</f>
        <v>25</v>
      </c>
      <c r="BA5" s="2">
        <f>'Design Spec'!$D$95</f>
        <v>25</v>
      </c>
      <c r="BB5" s="2">
        <f>'Design Spec'!$D$95</f>
        <v>25</v>
      </c>
      <c r="BC5" s="2">
        <f>'Design Spec'!$D$95</f>
        <v>25</v>
      </c>
      <c r="BD5" s="2">
        <f>'Design Spec'!$D$95</f>
        <v>25</v>
      </c>
      <c r="BE5" s="2">
        <f>'Design Spec'!$D$95</f>
        <v>25</v>
      </c>
      <c r="BF5" s="2">
        <f>'Design Spec'!$D$95</f>
        <v>25</v>
      </c>
      <c r="BG5" s="2">
        <f>'Design Spec'!$D$95</f>
        <v>25</v>
      </c>
      <c r="BH5" s="2">
        <f>'Design Spec'!$D$95</f>
        <v>25</v>
      </c>
      <c r="BI5" s="2">
        <f>'Design Spec'!$D$95</f>
        <v>25</v>
      </c>
      <c r="BJ5" s="2">
        <f>'Design Spec'!$D$95</f>
        <v>25</v>
      </c>
      <c r="BK5" s="2">
        <f>'Design Spec'!$D$95</f>
        <v>25</v>
      </c>
      <c r="BL5" s="2">
        <f>'Design Spec'!$D$95</f>
        <v>25</v>
      </c>
      <c r="BM5" s="2">
        <f>'Design Spec'!$D$95</f>
        <v>25</v>
      </c>
      <c r="BN5" s="2">
        <f>'Design Spec'!$D$95</f>
        <v>25</v>
      </c>
      <c r="BO5" s="2">
        <f>'Design Spec'!$D$95</f>
        <v>25</v>
      </c>
      <c r="BP5" s="2">
        <f>'Design Spec'!$D$95</f>
        <v>25</v>
      </c>
      <c r="BQ5" s="2">
        <f>'Design Spec'!$D$95</f>
        <v>25</v>
      </c>
      <c r="BR5" s="2">
        <f>'Design Spec'!$D$95</f>
        <v>25</v>
      </c>
      <c r="BS5" s="2">
        <f>'Design Spec'!$D$95</f>
        <v>25</v>
      </c>
      <c r="BT5" s="2">
        <f>'Design Spec'!$D$95</f>
        <v>25</v>
      </c>
      <c r="BU5" s="2">
        <f>'Design Spec'!$D$95</f>
        <v>25</v>
      </c>
      <c r="BV5" s="2">
        <f>'Design Spec'!$D$95</f>
        <v>25</v>
      </c>
      <c r="BW5" s="2">
        <f>'Design Spec'!$D$95</f>
        <v>25</v>
      </c>
      <c r="BX5" s="2">
        <f>'Design Spec'!$D$95</f>
        <v>25</v>
      </c>
      <c r="BY5" s="2">
        <f>'Design Spec'!$D$95</f>
        <v>25</v>
      </c>
      <c r="BZ5" s="2">
        <f>'Design Spec'!$D$95</f>
        <v>25</v>
      </c>
      <c r="CA5" s="2">
        <f>'Design Spec'!$D$95</f>
        <v>25</v>
      </c>
      <c r="CB5" s="2">
        <f>'Design Spec'!$D$95</f>
        <v>25</v>
      </c>
      <c r="CC5" s="2">
        <f>'Design Spec'!$D$95</f>
        <v>25</v>
      </c>
      <c r="CD5" s="2">
        <f>'Design Spec'!$D$95</f>
        <v>25</v>
      </c>
      <c r="CE5" s="2">
        <f>'Design Spec'!$D$95</f>
        <v>25</v>
      </c>
      <c r="CF5" s="2">
        <f>'Design Spec'!$D$95</f>
        <v>25</v>
      </c>
      <c r="CG5" s="2">
        <f>'Design Spec'!$D$95</f>
        <v>25</v>
      </c>
    </row>
    <row r="6" spans="2:86">
      <c r="B6" s="2" t="s">
        <v>678</v>
      </c>
      <c r="C6" s="2">
        <f>'Design Spec'!$D$106</f>
        <v>0</v>
      </c>
      <c r="D6" s="2">
        <f>'Design Spec'!$D$106</f>
        <v>0</v>
      </c>
      <c r="E6" s="2">
        <f>'Design Spec'!$D$106</f>
        <v>0</v>
      </c>
      <c r="F6" s="2">
        <f>'Design Spec'!$D$106</f>
        <v>0</v>
      </c>
      <c r="G6" s="2">
        <f>'Design Spec'!$D$106</f>
        <v>0</v>
      </c>
      <c r="H6" s="2">
        <f>'Design Spec'!$D$106</f>
        <v>0</v>
      </c>
      <c r="I6" s="2">
        <f>'Design Spec'!$D$106</f>
        <v>0</v>
      </c>
      <c r="J6" s="2">
        <f>'Design Spec'!$D$106</f>
        <v>0</v>
      </c>
      <c r="K6" s="2">
        <f>'Design Spec'!$D$106</f>
        <v>0</v>
      </c>
      <c r="L6" s="2">
        <f>'Design Spec'!$D$106</f>
        <v>0</v>
      </c>
      <c r="M6" s="2">
        <f>'Design Spec'!$D$106</f>
        <v>0</v>
      </c>
      <c r="N6" s="2">
        <f>'Design Spec'!$D$106</f>
        <v>0</v>
      </c>
      <c r="O6" s="2">
        <f>'Design Spec'!$D$106</f>
        <v>0</v>
      </c>
      <c r="P6" s="2">
        <f>'Design Spec'!$D$106</f>
        <v>0</v>
      </c>
      <c r="Q6" s="2">
        <f>'Design Spec'!$D$106</f>
        <v>0</v>
      </c>
      <c r="R6" s="2">
        <f>'Design Spec'!$D$106</f>
        <v>0</v>
      </c>
      <c r="S6" s="2">
        <f>'Design Spec'!$D$106</f>
        <v>0</v>
      </c>
      <c r="T6" s="2">
        <f>'Design Spec'!$D$106</f>
        <v>0</v>
      </c>
      <c r="U6" s="2">
        <f>'Design Spec'!$D$106</f>
        <v>0</v>
      </c>
      <c r="V6" s="2">
        <f>'Design Spec'!$D$106</f>
        <v>0</v>
      </c>
      <c r="W6" s="2">
        <f>'Design Spec'!$D$106</f>
        <v>0</v>
      </c>
      <c r="X6" s="2">
        <f>'Design Spec'!$D$106</f>
        <v>0</v>
      </c>
      <c r="Y6" s="2">
        <f>'Design Spec'!$D$106</f>
        <v>0</v>
      </c>
      <c r="Z6" s="2">
        <f>'Design Spec'!$D$106</f>
        <v>0</v>
      </c>
      <c r="AA6" s="2">
        <f>'Design Spec'!$D$106</f>
        <v>0</v>
      </c>
      <c r="AB6" s="2">
        <f>'Design Spec'!$D$106</f>
        <v>0</v>
      </c>
      <c r="AC6" s="2">
        <f>'Design Spec'!$D$106</f>
        <v>0</v>
      </c>
      <c r="AD6" s="2">
        <f>'Design Spec'!$D$106</f>
        <v>0</v>
      </c>
      <c r="AE6" s="2">
        <f>'Design Spec'!$D$106</f>
        <v>0</v>
      </c>
      <c r="AF6" s="2">
        <f>'Design Spec'!$D$106</f>
        <v>0</v>
      </c>
      <c r="AG6" s="2">
        <f>'Design Spec'!$D$106</f>
        <v>0</v>
      </c>
      <c r="AH6" s="2">
        <f>'Design Spec'!$D$106</f>
        <v>0</v>
      </c>
      <c r="AI6" s="2">
        <f>'Design Spec'!$D$106</f>
        <v>0</v>
      </c>
      <c r="AJ6" s="2">
        <f>'Design Spec'!$D$106</f>
        <v>0</v>
      </c>
      <c r="AK6" s="2">
        <f>'Design Spec'!$D$106</f>
        <v>0</v>
      </c>
      <c r="AL6" s="2">
        <f>'Design Spec'!$D$106</f>
        <v>0</v>
      </c>
      <c r="AM6" s="2">
        <f>'Design Spec'!$D$106</f>
        <v>0</v>
      </c>
      <c r="AN6" s="2">
        <f>'Design Spec'!$D$106</f>
        <v>0</v>
      </c>
      <c r="AO6" s="2">
        <f>'Design Spec'!$D$106</f>
        <v>0</v>
      </c>
      <c r="AP6" s="2">
        <f>'Design Spec'!$D$106</f>
        <v>0</v>
      </c>
      <c r="AQ6" s="2">
        <f>'Design Spec'!$D$106</f>
        <v>0</v>
      </c>
      <c r="AR6" s="2">
        <f>'Design Spec'!$D$106</f>
        <v>0</v>
      </c>
      <c r="AS6" s="2">
        <f>'Design Spec'!$D$106</f>
        <v>0</v>
      </c>
      <c r="AT6" s="2">
        <f>'Design Spec'!$D$106</f>
        <v>0</v>
      </c>
      <c r="AU6" s="2">
        <f>'Design Spec'!$D$106</f>
        <v>0</v>
      </c>
      <c r="AV6" s="2">
        <f>'Design Spec'!$D$106</f>
        <v>0</v>
      </c>
      <c r="AW6" s="2">
        <f>'Design Spec'!$D$106</f>
        <v>0</v>
      </c>
      <c r="AX6" s="2">
        <f>'Design Spec'!$D$106</f>
        <v>0</v>
      </c>
      <c r="AY6" s="2">
        <f>'Design Spec'!$D$106</f>
        <v>0</v>
      </c>
      <c r="AZ6" s="2">
        <f>'Design Spec'!$D$106</f>
        <v>0</v>
      </c>
      <c r="BA6" s="2">
        <f>'Design Spec'!$D$106</f>
        <v>0</v>
      </c>
      <c r="BB6" s="2">
        <f>'Design Spec'!$D$106</f>
        <v>0</v>
      </c>
      <c r="BC6" s="2">
        <f>'Design Spec'!$D$106</f>
        <v>0</v>
      </c>
      <c r="BD6" s="2">
        <f>'Design Spec'!$D$106</f>
        <v>0</v>
      </c>
      <c r="BE6" s="2">
        <f>'Design Spec'!$D$106</f>
        <v>0</v>
      </c>
      <c r="BF6" s="2">
        <f>'Design Spec'!$D$106</f>
        <v>0</v>
      </c>
      <c r="BG6" s="2">
        <f>'Design Spec'!$D$106</f>
        <v>0</v>
      </c>
      <c r="BH6" s="2">
        <f>'Design Spec'!$D$106</f>
        <v>0</v>
      </c>
      <c r="BI6" s="2">
        <f>'Design Spec'!$D$106</f>
        <v>0</v>
      </c>
      <c r="BJ6" s="2">
        <f>'Design Spec'!$D$106</f>
        <v>0</v>
      </c>
      <c r="BK6" s="2">
        <f>'Design Spec'!$D$106</f>
        <v>0</v>
      </c>
      <c r="BL6" s="2">
        <f>'Design Spec'!$D$106</f>
        <v>0</v>
      </c>
      <c r="BM6" s="2">
        <f>'Design Spec'!$D$106</f>
        <v>0</v>
      </c>
      <c r="BN6" s="2">
        <f>'Design Spec'!$D$106</f>
        <v>0</v>
      </c>
      <c r="BO6" s="2">
        <f>'Design Spec'!$D$106</f>
        <v>0</v>
      </c>
      <c r="BP6" s="2">
        <f>'Design Spec'!$D$106</f>
        <v>0</v>
      </c>
      <c r="BQ6" s="2">
        <f>'Design Spec'!$D$106</f>
        <v>0</v>
      </c>
      <c r="BR6" s="2">
        <f>'Design Spec'!$D$106</f>
        <v>0</v>
      </c>
      <c r="BS6" s="2">
        <f>'Design Spec'!$D$106</f>
        <v>0</v>
      </c>
      <c r="BT6" s="2">
        <f>'Design Spec'!$D$106</f>
        <v>0</v>
      </c>
      <c r="BU6" s="2">
        <f>'Design Spec'!$D$106</f>
        <v>0</v>
      </c>
      <c r="BV6" s="2">
        <f>'Design Spec'!$D$106</f>
        <v>0</v>
      </c>
      <c r="BW6" s="2">
        <f>'Design Spec'!$D$106</f>
        <v>0</v>
      </c>
      <c r="BX6" s="2">
        <f>'Design Spec'!$D$106</f>
        <v>0</v>
      </c>
      <c r="BY6" s="2">
        <f>'Design Spec'!$D$106</f>
        <v>0</v>
      </c>
      <c r="BZ6" s="2">
        <f>'Design Spec'!$D$106</f>
        <v>0</v>
      </c>
      <c r="CA6" s="2">
        <f>'Design Spec'!$D$106</f>
        <v>0</v>
      </c>
      <c r="CB6" s="2">
        <f>'Design Spec'!$D$106</f>
        <v>0</v>
      </c>
      <c r="CC6" s="2">
        <f>'Design Spec'!$D$106</f>
        <v>0</v>
      </c>
      <c r="CD6" s="2">
        <f>'Design Spec'!$D$106</f>
        <v>0</v>
      </c>
      <c r="CE6" s="2">
        <f>'Design Spec'!$D$106</f>
        <v>0</v>
      </c>
      <c r="CF6" s="2">
        <f>'Design Spec'!$D$106</f>
        <v>0</v>
      </c>
      <c r="CG6" s="2">
        <f>'Design Spec'!$D$106</f>
        <v>0</v>
      </c>
    </row>
    <row r="7" spans="2:86">
      <c r="B7" s="2" t="s">
        <v>679</v>
      </c>
      <c r="C7" s="2">
        <f>'Design Spec'!$D$83</f>
        <v>173.24116140000001</v>
      </c>
      <c r="D7" s="2">
        <f>'Design Spec'!$D$83</f>
        <v>173.24116140000001</v>
      </c>
      <c r="E7" s="2">
        <f>'Design Spec'!$D$83</f>
        <v>173.24116140000001</v>
      </c>
      <c r="F7" s="2">
        <f>'Design Spec'!$D$83</f>
        <v>173.24116140000001</v>
      </c>
      <c r="G7" s="2">
        <f>'Design Spec'!$D$83</f>
        <v>173.24116140000001</v>
      </c>
      <c r="H7" s="2">
        <f>'Design Spec'!$D$83</f>
        <v>173.24116140000001</v>
      </c>
      <c r="I7" s="2">
        <f>'Design Spec'!$D$83</f>
        <v>173.24116140000001</v>
      </c>
      <c r="J7" s="2">
        <f>'Design Spec'!$D$83</f>
        <v>173.24116140000001</v>
      </c>
      <c r="K7" s="2">
        <f>'Design Spec'!$D$83</f>
        <v>173.24116140000001</v>
      </c>
      <c r="L7" s="2">
        <f>'Design Spec'!$D$83</f>
        <v>173.24116140000001</v>
      </c>
      <c r="M7" s="2">
        <f>'Design Spec'!$D$83</f>
        <v>173.24116140000001</v>
      </c>
      <c r="N7" s="2">
        <f>'Design Spec'!$D$83</f>
        <v>173.24116140000001</v>
      </c>
      <c r="O7" s="2">
        <f>'Design Spec'!$D$83</f>
        <v>173.24116140000001</v>
      </c>
      <c r="P7" s="2">
        <f>'Design Spec'!$D$83</f>
        <v>173.24116140000001</v>
      </c>
      <c r="Q7" s="2">
        <f>'Design Spec'!$D$83</f>
        <v>173.24116140000001</v>
      </c>
      <c r="R7" s="2">
        <f>'Design Spec'!$D$83</f>
        <v>173.24116140000001</v>
      </c>
      <c r="S7" s="2">
        <f>'Design Spec'!$D$83</f>
        <v>173.24116140000001</v>
      </c>
      <c r="T7" s="2">
        <f>'Design Spec'!$D$83</f>
        <v>173.24116140000001</v>
      </c>
      <c r="U7" s="2">
        <f>'Design Spec'!$D$83</f>
        <v>173.24116140000001</v>
      </c>
      <c r="V7" s="2">
        <f>'Design Spec'!$D$83</f>
        <v>173.24116140000001</v>
      </c>
      <c r="W7" s="2">
        <f>'Design Spec'!$D$83</f>
        <v>173.24116140000001</v>
      </c>
      <c r="X7" s="2">
        <f>'Design Spec'!$D$83</f>
        <v>173.24116140000001</v>
      </c>
      <c r="Y7" s="2">
        <f>'Design Spec'!$D$83</f>
        <v>173.24116140000001</v>
      </c>
      <c r="Z7" s="2">
        <f>'Design Spec'!$D$83</f>
        <v>173.24116140000001</v>
      </c>
      <c r="AA7" s="2">
        <f>'Design Spec'!$D$83</f>
        <v>173.24116140000001</v>
      </c>
      <c r="AB7" s="2">
        <f>'Design Spec'!$D$83</f>
        <v>173.24116140000001</v>
      </c>
      <c r="AC7" s="2">
        <f>'Design Spec'!$D$83</f>
        <v>173.24116140000001</v>
      </c>
      <c r="AD7" s="2">
        <f>'Design Spec'!$D$83</f>
        <v>173.24116140000001</v>
      </c>
      <c r="AE7" s="2">
        <f>'Design Spec'!$D$83</f>
        <v>173.24116140000001</v>
      </c>
      <c r="AF7" s="2">
        <f>'Design Spec'!$D$83</f>
        <v>173.24116140000001</v>
      </c>
      <c r="AG7" s="2">
        <f>'Design Spec'!$D$83</f>
        <v>173.24116140000001</v>
      </c>
      <c r="AH7" s="2">
        <f>'Design Spec'!$D$83</f>
        <v>173.24116140000001</v>
      </c>
      <c r="AI7" s="2">
        <f>'Design Spec'!$D$83</f>
        <v>173.24116140000001</v>
      </c>
      <c r="AJ7" s="2">
        <f>'Design Spec'!$D$83</f>
        <v>173.24116140000001</v>
      </c>
      <c r="AK7" s="2">
        <f>'Design Spec'!$D$83</f>
        <v>173.24116140000001</v>
      </c>
      <c r="AL7" s="2">
        <f>'Design Spec'!$D$83</f>
        <v>173.24116140000001</v>
      </c>
      <c r="AM7" s="2">
        <f>'Design Spec'!$D$83</f>
        <v>173.24116140000001</v>
      </c>
      <c r="AN7" s="2">
        <f>'Design Spec'!$D$83</f>
        <v>173.24116140000001</v>
      </c>
      <c r="AO7" s="2">
        <f>'Design Spec'!$D$83</f>
        <v>173.24116140000001</v>
      </c>
      <c r="AP7" s="2">
        <f>'Design Spec'!$D$83</f>
        <v>173.24116140000001</v>
      </c>
      <c r="AQ7" s="2">
        <f>'Design Spec'!$D$83</f>
        <v>173.24116140000001</v>
      </c>
      <c r="AR7" s="2">
        <f>'Design Spec'!$D$83</f>
        <v>173.24116140000001</v>
      </c>
      <c r="AS7" s="2">
        <f>'Design Spec'!$D$83</f>
        <v>173.24116140000001</v>
      </c>
      <c r="AT7" s="2">
        <f>'Design Spec'!$D$83</f>
        <v>173.24116140000001</v>
      </c>
      <c r="AU7" s="2">
        <f>'Design Spec'!$D$83</f>
        <v>173.24116140000001</v>
      </c>
      <c r="AV7" s="2">
        <f>'Design Spec'!$D$83</f>
        <v>173.24116140000001</v>
      </c>
      <c r="AW7" s="2">
        <f>'Design Spec'!$D$83</f>
        <v>173.24116140000001</v>
      </c>
      <c r="AX7" s="2">
        <f>'Design Spec'!$D$83</f>
        <v>173.24116140000001</v>
      </c>
      <c r="AY7" s="2">
        <f>'Design Spec'!$D$83</f>
        <v>173.24116140000001</v>
      </c>
      <c r="AZ7" s="2">
        <f>'Design Spec'!$D$83</f>
        <v>173.24116140000001</v>
      </c>
      <c r="BA7" s="2">
        <f>'Design Spec'!$D$83</f>
        <v>173.24116140000001</v>
      </c>
      <c r="BB7" s="2">
        <f>'Design Spec'!$D$83</f>
        <v>173.24116140000001</v>
      </c>
      <c r="BC7" s="2">
        <f>'Design Spec'!$D$83</f>
        <v>173.24116140000001</v>
      </c>
      <c r="BD7" s="2">
        <f>'Design Spec'!$D$83</f>
        <v>173.24116140000001</v>
      </c>
      <c r="BE7" s="2">
        <f>'Design Spec'!$D$83</f>
        <v>173.24116140000001</v>
      </c>
      <c r="BF7" s="2">
        <f>'Design Spec'!$D$83</f>
        <v>173.24116140000001</v>
      </c>
      <c r="BG7" s="2">
        <f>'Design Spec'!$D$83</f>
        <v>173.24116140000001</v>
      </c>
      <c r="BH7" s="2">
        <f>'Design Spec'!$D$83</f>
        <v>173.24116140000001</v>
      </c>
      <c r="BI7" s="2">
        <f>'Design Spec'!$D$83</f>
        <v>173.24116140000001</v>
      </c>
      <c r="BJ7" s="2">
        <f>'Design Spec'!$D$83</f>
        <v>173.24116140000001</v>
      </c>
      <c r="BK7" s="2">
        <f>'Design Spec'!$D$83</f>
        <v>173.24116140000001</v>
      </c>
      <c r="BL7" s="2">
        <f>'Design Spec'!$D$83</f>
        <v>173.24116140000001</v>
      </c>
      <c r="BM7" s="2">
        <f>'Design Spec'!$D$83</f>
        <v>173.24116140000001</v>
      </c>
      <c r="BN7" s="2">
        <f>'Design Spec'!$D$83</f>
        <v>173.24116140000001</v>
      </c>
      <c r="BO7" s="2">
        <f>'Design Spec'!$D$83</f>
        <v>173.24116140000001</v>
      </c>
      <c r="BP7" s="2">
        <f>'Design Spec'!$D$83</f>
        <v>173.24116140000001</v>
      </c>
      <c r="BQ7" s="2">
        <f>'Design Spec'!$D$83</f>
        <v>173.24116140000001</v>
      </c>
      <c r="BR7" s="2">
        <f>'Design Spec'!$D$83</f>
        <v>173.24116140000001</v>
      </c>
      <c r="BS7" s="2">
        <f>'Design Spec'!$D$83</f>
        <v>173.24116140000001</v>
      </c>
      <c r="BT7" s="2">
        <f>'Design Spec'!$D$83</f>
        <v>173.24116140000001</v>
      </c>
      <c r="BU7" s="2">
        <f>'Design Spec'!$D$83</f>
        <v>173.24116140000001</v>
      </c>
      <c r="BV7" s="2">
        <f>'Design Spec'!$D$83</f>
        <v>173.24116140000001</v>
      </c>
      <c r="BW7" s="2">
        <f>'Design Spec'!$D$83</f>
        <v>173.24116140000001</v>
      </c>
      <c r="BX7" s="2">
        <f>'Design Spec'!$D$83</f>
        <v>173.24116140000001</v>
      </c>
      <c r="BY7" s="2">
        <f>'Design Spec'!$D$83</f>
        <v>173.24116140000001</v>
      </c>
      <c r="BZ7" s="2">
        <f>'Design Spec'!$D$83</f>
        <v>173.24116140000001</v>
      </c>
      <c r="CA7" s="2">
        <f>'Design Spec'!$D$83</f>
        <v>173.24116140000001</v>
      </c>
      <c r="CB7" s="2">
        <f>'Design Spec'!$D$83</f>
        <v>173.24116140000001</v>
      </c>
      <c r="CC7" s="2">
        <f>'Design Spec'!$D$83</f>
        <v>173.24116140000001</v>
      </c>
      <c r="CD7" s="2">
        <f>'Design Spec'!$D$83</f>
        <v>173.24116140000001</v>
      </c>
      <c r="CE7" s="2">
        <f>'Design Spec'!$D$83</f>
        <v>173.24116140000001</v>
      </c>
      <c r="CF7" s="2">
        <f>'Design Spec'!$D$83</f>
        <v>173.24116140000001</v>
      </c>
      <c r="CG7" s="2">
        <f>'Design Spec'!$D$83</f>
        <v>173.24116140000001</v>
      </c>
    </row>
    <row r="8" spans="2:86">
      <c r="B8" s="2" t="s">
        <v>680</v>
      </c>
      <c r="C8" s="2">
        <f>'Design Spec'!$D$87</f>
        <v>225</v>
      </c>
      <c r="D8" s="2">
        <f>'Design Spec'!$D$87</f>
        <v>225</v>
      </c>
      <c r="E8" s="2">
        <f>'Design Spec'!$D$87</f>
        <v>225</v>
      </c>
      <c r="F8" s="2">
        <f>'Design Spec'!$D$87</f>
        <v>225</v>
      </c>
      <c r="G8" s="2">
        <f>'Design Spec'!$D$87</f>
        <v>225</v>
      </c>
      <c r="H8" s="2">
        <f>'Design Spec'!$D$87</f>
        <v>225</v>
      </c>
      <c r="I8" s="2">
        <f>'Design Spec'!$D$87</f>
        <v>225</v>
      </c>
      <c r="J8" s="2">
        <f>'Design Spec'!$D$87</f>
        <v>225</v>
      </c>
      <c r="K8" s="2">
        <f>'Design Spec'!$D$87</f>
        <v>225</v>
      </c>
      <c r="L8" s="2">
        <f>'Design Spec'!$D$87</f>
        <v>225</v>
      </c>
      <c r="M8" s="2">
        <f>'Design Spec'!$D$87</f>
        <v>225</v>
      </c>
      <c r="N8" s="2">
        <f>'Design Spec'!$D$87</f>
        <v>225</v>
      </c>
      <c r="O8" s="2">
        <f>'Design Spec'!$D$87</f>
        <v>225</v>
      </c>
      <c r="P8" s="2">
        <f>'Design Spec'!$D$87</f>
        <v>225</v>
      </c>
      <c r="Q8" s="2">
        <f>'Design Spec'!$D$87</f>
        <v>225</v>
      </c>
      <c r="R8" s="2">
        <f>'Design Spec'!$D$87</f>
        <v>225</v>
      </c>
      <c r="S8" s="2">
        <f>'Design Spec'!$D$87</f>
        <v>225</v>
      </c>
      <c r="T8" s="2">
        <f>'Design Spec'!$D$87</f>
        <v>225</v>
      </c>
      <c r="U8" s="2">
        <f>'Design Spec'!$D$87</f>
        <v>225</v>
      </c>
      <c r="V8" s="2">
        <f>'Design Spec'!$D$87</f>
        <v>225</v>
      </c>
      <c r="W8" s="2">
        <f>'Design Spec'!$D$87</f>
        <v>225</v>
      </c>
      <c r="X8" s="2">
        <f>'Design Spec'!$D$87</f>
        <v>225</v>
      </c>
      <c r="Y8" s="2">
        <f>'Design Spec'!$D$87</f>
        <v>225</v>
      </c>
      <c r="Z8" s="2">
        <f>'Design Spec'!$D$87</f>
        <v>225</v>
      </c>
      <c r="AA8" s="2">
        <f>'Design Spec'!$D$87</f>
        <v>225</v>
      </c>
      <c r="AB8" s="2">
        <f>'Design Spec'!$D$87</f>
        <v>225</v>
      </c>
      <c r="AC8" s="2">
        <f>'Design Spec'!$D$87</f>
        <v>225</v>
      </c>
      <c r="AD8" s="2">
        <f>'Design Spec'!$D$87</f>
        <v>225</v>
      </c>
      <c r="AE8" s="2">
        <f>'Design Spec'!$D$87</f>
        <v>225</v>
      </c>
      <c r="AF8" s="2">
        <f>'Design Spec'!$D$87</f>
        <v>225</v>
      </c>
      <c r="AG8" s="2">
        <f>'Design Spec'!$D$87</f>
        <v>225</v>
      </c>
      <c r="AH8" s="2">
        <f>'Design Spec'!$D$87</f>
        <v>225</v>
      </c>
      <c r="AI8" s="2">
        <f>'Design Spec'!$D$87</f>
        <v>225</v>
      </c>
      <c r="AJ8" s="2">
        <f>'Design Spec'!$D$87</f>
        <v>225</v>
      </c>
      <c r="AK8" s="2">
        <f>'Design Spec'!$D$87</f>
        <v>225</v>
      </c>
      <c r="AL8" s="2">
        <f>'Design Spec'!$D$87</f>
        <v>225</v>
      </c>
      <c r="AM8" s="2">
        <f>'Design Spec'!$D$87</f>
        <v>225</v>
      </c>
      <c r="AN8" s="2">
        <f>'Design Spec'!$D$87</f>
        <v>225</v>
      </c>
      <c r="AO8" s="2">
        <f>'Design Spec'!$D$87</f>
        <v>225</v>
      </c>
      <c r="AP8" s="2">
        <f>'Design Spec'!$D$87</f>
        <v>225</v>
      </c>
      <c r="AQ8" s="2">
        <f>'Design Spec'!$D$87</f>
        <v>225</v>
      </c>
      <c r="AR8" s="2">
        <f>'Design Spec'!$D$87</f>
        <v>225</v>
      </c>
      <c r="AS8" s="2">
        <f>'Design Spec'!$D$87</f>
        <v>225</v>
      </c>
      <c r="AT8" s="2">
        <f>'Design Spec'!$D$87</f>
        <v>225</v>
      </c>
      <c r="AU8" s="2">
        <f>'Design Spec'!$D$87</f>
        <v>225</v>
      </c>
      <c r="AV8" s="2">
        <f>'Design Spec'!$D$87</f>
        <v>225</v>
      </c>
      <c r="AW8" s="2">
        <f>'Design Spec'!$D$87</f>
        <v>225</v>
      </c>
      <c r="AX8" s="2">
        <f>'Design Spec'!$D$87</f>
        <v>225</v>
      </c>
      <c r="AY8" s="2">
        <f>'Design Spec'!$D$87</f>
        <v>225</v>
      </c>
      <c r="AZ8" s="2">
        <f>'Design Spec'!$D$87</f>
        <v>225</v>
      </c>
      <c r="BA8" s="2">
        <f>'Design Spec'!$D$87</f>
        <v>225</v>
      </c>
      <c r="BB8" s="2">
        <f>'Design Spec'!$D$87</f>
        <v>225</v>
      </c>
      <c r="BC8" s="2">
        <f>'Design Spec'!$D$87</f>
        <v>225</v>
      </c>
      <c r="BD8" s="2">
        <f>'Design Spec'!$D$87</f>
        <v>225</v>
      </c>
      <c r="BE8" s="2">
        <f>'Design Spec'!$D$87</f>
        <v>225</v>
      </c>
      <c r="BF8" s="2">
        <f>'Design Spec'!$D$87</f>
        <v>225</v>
      </c>
      <c r="BG8" s="2">
        <f>'Design Spec'!$D$87</f>
        <v>225</v>
      </c>
      <c r="BH8" s="2">
        <f>'Design Spec'!$D$87</f>
        <v>225</v>
      </c>
      <c r="BI8" s="2">
        <f>'Design Spec'!$D$87</f>
        <v>225</v>
      </c>
      <c r="BJ8" s="2">
        <f>'Design Spec'!$D$87</f>
        <v>225</v>
      </c>
      <c r="BK8" s="2">
        <f>'Design Spec'!$D$87</f>
        <v>225</v>
      </c>
      <c r="BL8" s="2">
        <f>'Design Spec'!$D$87</f>
        <v>225</v>
      </c>
      <c r="BM8" s="2">
        <f>'Design Spec'!$D$87</f>
        <v>225</v>
      </c>
      <c r="BN8" s="2">
        <f>'Design Spec'!$D$87</f>
        <v>225</v>
      </c>
      <c r="BO8" s="2">
        <f>'Design Spec'!$D$87</f>
        <v>225</v>
      </c>
      <c r="BP8" s="2">
        <f>'Design Spec'!$D$87</f>
        <v>225</v>
      </c>
      <c r="BQ8" s="2">
        <f>'Design Spec'!$D$87</f>
        <v>225</v>
      </c>
      <c r="BR8" s="2">
        <f>'Design Spec'!$D$87</f>
        <v>225</v>
      </c>
      <c r="BS8" s="2">
        <f>'Design Spec'!$D$87</f>
        <v>225</v>
      </c>
      <c r="BT8" s="2">
        <f>'Design Spec'!$D$87</f>
        <v>225</v>
      </c>
      <c r="BU8" s="2">
        <f>'Design Spec'!$D$87</f>
        <v>225</v>
      </c>
      <c r="BV8" s="2">
        <f>'Design Spec'!$D$87</f>
        <v>225</v>
      </c>
      <c r="BW8" s="2">
        <f>'Design Spec'!$D$87</f>
        <v>225</v>
      </c>
      <c r="BX8" s="2">
        <f>'Design Spec'!$D$87</f>
        <v>225</v>
      </c>
      <c r="BY8" s="2">
        <f>'Design Spec'!$D$87</f>
        <v>225</v>
      </c>
      <c r="BZ8" s="2">
        <f>'Design Spec'!$D$87</f>
        <v>225</v>
      </c>
      <c r="CA8" s="2">
        <f>'Design Spec'!$D$87</f>
        <v>225</v>
      </c>
      <c r="CB8" s="2">
        <f>'Design Spec'!$D$87</f>
        <v>225</v>
      </c>
      <c r="CC8" s="2">
        <f>'Design Spec'!$D$87</f>
        <v>225</v>
      </c>
      <c r="CD8" s="2">
        <f>'Design Spec'!$D$87</f>
        <v>225</v>
      </c>
      <c r="CE8" s="2">
        <f>'Design Spec'!$D$87</f>
        <v>225</v>
      </c>
      <c r="CF8" s="2">
        <f>'Design Spec'!$D$87</f>
        <v>225</v>
      </c>
      <c r="CG8" s="2">
        <f>'Design Spec'!$D$87</f>
        <v>225</v>
      </c>
    </row>
    <row r="9" spans="2:86">
      <c r="B9" s="2" t="s">
        <v>681</v>
      </c>
      <c r="C9" s="2">
        <f>'Design Spec'!$D$79</f>
        <v>264</v>
      </c>
      <c r="D9" s="2">
        <f>'Design Spec'!$D$79</f>
        <v>264</v>
      </c>
      <c r="E9" s="2">
        <f>'Design Spec'!$D$79</f>
        <v>264</v>
      </c>
      <c r="F9" s="2">
        <f>'Design Spec'!$D$79</f>
        <v>264</v>
      </c>
      <c r="G9" s="2">
        <f>'Design Spec'!$D$79</f>
        <v>264</v>
      </c>
      <c r="H9" s="2">
        <f>'Design Spec'!$D$79</f>
        <v>264</v>
      </c>
      <c r="I9" s="2">
        <f>'Design Spec'!$D$79</f>
        <v>264</v>
      </c>
      <c r="J9" s="2">
        <f>'Design Spec'!$D$79</f>
        <v>264</v>
      </c>
      <c r="K9" s="2">
        <f>'Design Spec'!$D$79</f>
        <v>264</v>
      </c>
      <c r="L9" s="2">
        <f>'Design Spec'!$D$79</f>
        <v>264</v>
      </c>
      <c r="M9" s="2">
        <f>'Design Spec'!$D$79</f>
        <v>264</v>
      </c>
      <c r="N9" s="2">
        <f>'Design Spec'!$D$79</f>
        <v>264</v>
      </c>
      <c r="O9" s="2">
        <f>'Design Spec'!$D$79</f>
        <v>264</v>
      </c>
      <c r="P9" s="2">
        <f>'Design Spec'!$D$79</f>
        <v>264</v>
      </c>
      <c r="Q9" s="2">
        <f>'Design Spec'!$D$79</f>
        <v>264</v>
      </c>
      <c r="R9" s="2">
        <f>'Design Spec'!$D$79</f>
        <v>264</v>
      </c>
      <c r="S9" s="2">
        <f>'Design Spec'!$D$79</f>
        <v>264</v>
      </c>
      <c r="T9" s="2">
        <f>'Design Spec'!$D$79</f>
        <v>264</v>
      </c>
      <c r="U9" s="2">
        <f>'Design Spec'!$D$79</f>
        <v>264</v>
      </c>
      <c r="V9" s="2">
        <f>'Design Spec'!$D$79</f>
        <v>264</v>
      </c>
      <c r="W9" s="2">
        <f>'Design Spec'!$D$79</f>
        <v>264</v>
      </c>
      <c r="X9" s="2">
        <f>'Design Spec'!$D$79</f>
        <v>264</v>
      </c>
      <c r="Y9" s="2">
        <f>'Design Spec'!$D$79</f>
        <v>264</v>
      </c>
      <c r="Z9" s="2">
        <f>'Design Spec'!$D$79</f>
        <v>264</v>
      </c>
      <c r="AA9" s="2">
        <f>'Design Spec'!$D$79</f>
        <v>264</v>
      </c>
      <c r="AB9" s="2">
        <f>'Design Spec'!$D$79</f>
        <v>264</v>
      </c>
      <c r="AC9" s="2">
        <f>'Design Spec'!$D$79</f>
        <v>264</v>
      </c>
      <c r="AD9" s="2">
        <f>'Design Spec'!$D$79</f>
        <v>264</v>
      </c>
      <c r="AE9" s="2">
        <f>'Design Spec'!$D$79</f>
        <v>264</v>
      </c>
      <c r="AF9" s="2">
        <f>'Design Spec'!$D$79</f>
        <v>264</v>
      </c>
      <c r="AG9" s="2">
        <f>'Design Spec'!$D$79</f>
        <v>264</v>
      </c>
      <c r="AH9" s="2">
        <f>'Design Spec'!$D$79</f>
        <v>264</v>
      </c>
      <c r="AI9" s="2">
        <f>'Design Spec'!$D$79</f>
        <v>264</v>
      </c>
      <c r="AJ9" s="2">
        <f>'Design Spec'!$D$79</f>
        <v>264</v>
      </c>
      <c r="AK9" s="2">
        <f>'Design Spec'!$D$79</f>
        <v>264</v>
      </c>
      <c r="AL9" s="2">
        <f>'Design Spec'!$D$79</f>
        <v>264</v>
      </c>
      <c r="AM9" s="2">
        <f>'Design Spec'!$D$79</f>
        <v>264</v>
      </c>
      <c r="AN9" s="2">
        <f>'Design Spec'!$D$79</f>
        <v>264</v>
      </c>
      <c r="AO9" s="2">
        <f>'Design Spec'!$D$79</f>
        <v>264</v>
      </c>
      <c r="AP9" s="2">
        <f>'Design Spec'!$D$79</f>
        <v>264</v>
      </c>
      <c r="AQ9" s="2">
        <f>'Design Spec'!$D$79</f>
        <v>264</v>
      </c>
      <c r="AR9" s="2">
        <f>'Design Spec'!$D$79</f>
        <v>264</v>
      </c>
      <c r="AS9" s="2">
        <f>'Design Spec'!$D$79</f>
        <v>264</v>
      </c>
      <c r="AT9" s="2">
        <f>'Design Spec'!$D$79</f>
        <v>264</v>
      </c>
      <c r="AU9" s="2">
        <f>'Design Spec'!$D$79</f>
        <v>264</v>
      </c>
      <c r="AV9" s="2">
        <f>'Design Spec'!$D$79</f>
        <v>264</v>
      </c>
      <c r="AW9" s="2">
        <f>'Design Spec'!$D$79</f>
        <v>264</v>
      </c>
      <c r="AX9" s="2">
        <f>'Design Spec'!$D$79</f>
        <v>264</v>
      </c>
      <c r="AY9" s="2">
        <f>'Design Spec'!$D$79</f>
        <v>264</v>
      </c>
      <c r="AZ9" s="2">
        <f>'Design Spec'!$D$79</f>
        <v>264</v>
      </c>
      <c r="BA9" s="2">
        <f>'Design Spec'!$D$79</f>
        <v>264</v>
      </c>
      <c r="BB9" s="2">
        <f>'Design Spec'!$D$79</f>
        <v>264</v>
      </c>
      <c r="BC9" s="2">
        <f>'Design Spec'!$D$79</f>
        <v>264</v>
      </c>
      <c r="BD9" s="2">
        <f>'Design Spec'!$D$79</f>
        <v>264</v>
      </c>
      <c r="BE9" s="2">
        <f>'Design Spec'!$D$79</f>
        <v>264</v>
      </c>
      <c r="BF9" s="2">
        <f>'Design Spec'!$D$79</f>
        <v>264</v>
      </c>
      <c r="BG9" s="2">
        <f>'Design Spec'!$D$79</f>
        <v>264</v>
      </c>
      <c r="BH9" s="2">
        <f>'Design Spec'!$D$79</f>
        <v>264</v>
      </c>
      <c r="BI9" s="2">
        <f>'Design Spec'!$D$79</f>
        <v>264</v>
      </c>
      <c r="BJ9" s="2">
        <f>'Design Spec'!$D$79</f>
        <v>264</v>
      </c>
      <c r="BK9" s="2">
        <f>'Design Spec'!$D$79</f>
        <v>264</v>
      </c>
      <c r="BL9" s="2">
        <f>'Design Spec'!$D$79</f>
        <v>264</v>
      </c>
      <c r="BM9" s="2">
        <f>'Design Spec'!$D$79</f>
        <v>264</v>
      </c>
      <c r="BN9" s="2">
        <f>'Design Spec'!$D$79</f>
        <v>264</v>
      </c>
      <c r="BO9" s="2">
        <f>'Design Spec'!$D$79</f>
        <v>264</v>
      </c>
      <c r="BP9" s="2">
        <f>'Design Spec'!$D$79</f>
        <v>264</v>
      </c>
      <c r="BQ9" s="2">
        <f>'Design Spec'!$D$79</f>
        <v>264</v>
      </c>
      <c r="BR9" s="2">
        <f>'Design Spec'!$D$79</f>
        <v>264</v>
      </c>
      <c r="BS9" s="2">
        <f>'Design Spec'!$D$79</f>
        <v>264</v>
      </c>
      <c r="BT9" s="2">
        <f>'Design Spec'!$D$79</f>
        <v>264</v>
      </c>
      <c r="BU9" s="2">
        <f>'Design Spec'!$D$79</f>
        <v>264</v>
      </c>
      <c r="BV9" s="2">
        <f>'Design Spec'!$D$79</f>
        <v>264</v>
      </c>
      <c r="BW9" s="2">
        <f>'Design Spec'!$D$79</f>
        <v>264</v>
      </c>
      <c r="BX9" s="2">
        <f>'Design Spec'!$D$79</f>
        <v>264</v>
      </c>
      <c r="BY9" s="2">
        <f>'Design Spec'!$D$79</f>
        <v>264</v>
      </c>
      <c r="BZ9" s="2">
        <f>'Design Spec'!$D$79</f>
        <v>264</v>
      </c>
      <c r="CA9" s="2">
        <f>'Design Spec'!$D$79</f>
        <v>264</v>
      </c>
      <c r="CB9" s="2">
        <f>'Design Spec'!$D$79</f>
        <v>264</v>
      </c>
      <c r="CC9" s="2">
        <f>'Design Spec'!$D$79</f>
        <v>264</v>
      </c>
      <c r="CD9" s="2">
        <f>'Design Spec'!$D$79</f>
        <v>264</v>
      </c>
      <c r="CE9" s="2">
        <f>'Design Spec'!$D$79</f>
        <v>264</v>
      </c>
      <c r="CF9" s="2">
        <f>'Design Spec'!$D$79</f>
        <v>264</v>
      </c>
      <c r="CG9" s="2">
        <f>'Design Spec'!$D$79</f>
        <v>264</v>
      </c>
    </row>
    <row r="10" spans="2:86">
      <c r="B10" s="2" t="s">
        <v>138</v>
      </c>
      <c r="C10" s="2">
        <f>IF('Res. Tank Design'!$F$9,'Res. Tank Design'!$F$9,'Res. Tank Design'!$D$9)</f>
        <v>7.4527000000000001</v>
      </c>
      <c r="D10" s="2">
        <f>IF('Res. Tank Design'!$F$9,'Res. Tank Design'!$F$9,'Res. Tank Design'!$D$9)</f>
        <v>7.4527000000000001</v>
      </c>
      <c r="E10" s="2">
        <f>IF('Res. Tank Design'!$F$9,'Res. Tank Design'!$F$9,'Res. Tank Design'!$D$9)</f>
        <v>7.4527000000000001</v>
      </c>
      <c r="F10" s="2">
        <f>IF('Res. Tank Design'!$F$9,'Res. Tank Design'!$F$9,'Res. Tank Design'!$D$9)</f>
        <v>7.4527000000000001</v>
      </c>
      <c r="G10" s="2">
        <f>IF('Res. Tank Design'!$F$9,'Res. Tank Design'!$F$9,'Res. Tank Design'!$D$9)</f>
        <v>7.4527000000000001</v>
      </c>
      <c r="H10" s="2">
        <f>IF('Res. Tank Design'!$F$9,'Res. Tank Design'!$F$9,'Res. Tank Design'!$D$9)</f>
        <v>7.4527000000000001</v>
      </c>
      <c r="I10" s="2">
        <f>IF('Res. Tank Design'!$F$9,'Res. Tank Design'!$F$9,'Res. Tank Design'!$D$9)</f>
        <v>7.4527000000000001</v>
      </c>
      <c r="J10" s="2">
        <f>IF('Res. Tank Design'!$F$9,'Res. Tank Design'!$F$9,'Res. Tank Design'!$D$9)</f>
        <v>7.4527000000000001</v>
      </c>
      <c r="K10" s="2">
        <f>IF('Res. Tank Design'!$F$9,'Res. Tank Design'!$F$9,'Res. Tank Design'!$D$9)</f>
        <v>7.4527000000000001</v>
      </c>
      <c r="L10" s="2">
        <f>IF('Res. Tank Design'!$F$9,'Res. Tank Design'!$F$9,'Res. Tank Design'!$D$9)</f>
        <v>7.4527000000000001</v>
      </c>
      <c r="M10" s="2">
        <f>IF('Res. Tank Design'!$F$9,'Res. Tank Design'!$F$9,'Res. Tank Design'!$D$9)</f>
        <v>7.4527000000000001</v>
      </c>
      <c r="N10" s="2">
        <f>IF('Res. Tank Design'!$F$9,'Res. Tank Design'!$F$9,'Res. Tank Design'!$D$9)</f>
        <v>7.4527000000000001</v>
      </c>
      <c r="O10" s="2">
        <f>IF('Res. Tank Design'!$F$9,'Res. Tank Design'!$F$9,'Res. Tank Design'!$D$9)</f>
        <v>7.4527000000000001</v>
      </c>
      <c r="P10" s="2">
        <f>IF('Res. Tank Design'!$F$9,'Res. Tank Design'!$F$9,'Res. Tank Design'!$D$9)</f>
        <v>7.4527000000000001</v>
      </c>
      <c r="Q10" s="2">
        <f>IF('Res. Tank Design'!$F$9,'Res. Tank Design'!$F$9,'Res. Tank Design'!$D$9)</f>
        <v>7.4527000000000001</v>
      </c>
      <c r="R10" s="2">
        <f>IF('Res. Tank Design'!$F$9,'Res. Tank Design'!$F$9,'Res. Tank Design'!$D$9)</f>
        <v>7.4527000000000001</v>
      </c>
      <c r="S10" s="2">
        <f>IF('Res. Tank Design'!$F$9,'Res. Tank Design'!$F$9,'Res. Tank Design'!$D$9)</f>
        <v>7.4527000000000001</v>
      </c>
      <c r="T10" s="2">
        <f>IF('Res. Tank Design'!$F$9,'Res. Tank Design'!$F$9,'Res. Tank Design'!$D$9)</f>
        <v>7.4527000000000001</v>
      </c>
      <c r="U10" s="2">
        <f>IF('Res. Tank Design'!$F$9,'Res. Tank Design'!$F$9,'Res. Tank Design'!$D$9)</f>
        <v>7.4527000000000001</v>
      </c>
      <c r="V10" s="2">
        <f>IF('Res. Tank Design'!$F$9,'Res. Tank Design'!$F$9,'Res. Tank Design'!$D$9)</f>
        <v>7.4527000000000001</v>
      </c>
      <c r="W10" s="2">
        <f>IF('Res. Tank Design'!$F$9,'Res. Tank Design'!$F$9,'Res. Tank Design'!$D$9)</f>
        <v>7.4527000000000001</v>
      </c>
      <c r="X10" s="2">
        <f>IF('Res. Tank Design'!$F$9,'Res. Tank Design'!$F$9,'Res. Tank Design'!$D$9)</f>
        <v>7.4527000000000001</v>
      </c>
      <c r="Y10" s="2">
        <f>IF('Res. Tank Design'!$F$9,'Res. Tank Design'!$F$9,'Res. Tank Design'!$D$9)</f>
        <v>7.4527000000000001</v>
      </c>
      <c r="Z10" s="2">
        <f>IF('Res. Tank Design'!$F$9,'Res. Tank Design'!$F$9,'Res. Tank Design'!$D$9)</f>
        <v>7.4527000000000001</v>
      </c>
      <c r="AA10" s="2">
        <f>IF('Res. Tank Design'!$F$9,'Res. Tank Design'!$F$9,'Res. Tank Design'!$D$9)</f>
        <v>7.4527000000000001</v>
      </c>
      <c r="AB10" s="2">
        <f>IF('Res. Tank Design'!$F$9,'Res. Tank Design'!$F$9,'Res. Tank Design'!$D$9)</f>
        <v>7.4527000000000001</v>
      </c>
      <c r="AC10" s="2">
        <f>IF('Res. Tank Design'!$F$9,'Res. Tank Design'!$F$9,'Res. Tank Design'!$D$9)</f>
        <v>7.4527000000000001</v>
      </c>
      <c r="AD10" s="2">
        <f>IF('Res. Tank Design'!$F$9,'Res. Tank Design'!$F$9,'Res. Tank Design'!$D$9)</f>
        <v>7.4527000000000001</v>
      </c>
      <c r="AE10" s="2">
        <f>IF('Res. Tank Design'!$F$9,'Res. Tank Design'!$F$9,'Res. Tank Design'!$D$9)</f>
        <v>7.4527000000000001</v>
      </c>
      <c r="AF10" s="2">
        <f>IF('Res. Tank Design'!$F$9,'Res. Tank Design'!$F$9,'Res. Tank Design'!$D$9)</f>
        <v>7.4527000000000001</v>
      </c>
      <c r="AG10" s="2">
        <f>IF('Res. Tank Design'!$F$9,'Res. Tank Design'!$F$9,'Res. Tank Design'!$D$9)</f>
        <v>7.4527000000000001</v>
      </c>
      <c r="AH10" s="2">
        <f>IF('Res. Tank Design'!$F$9,'Res. Tank Design'!$F$9,'Res. Tank Design'!$D$9)</f>
        <v>7.4527000000000001</v>
      </c>
      <c r="AI10" s="2">
        <f>IF('Res. Tank Design'!$F$9,'Res. Tank Design'!$F$9,'Res. Tank Design'!$D$9)</f>
        <v>7.4527000000000001</v>
      </c>
      <c r="AJ10" s="2">
        <f>IF('Res. Tank Design'!$F$9,'Res. Tank Design'!$F$9,'Res. Tank Design'!$D$9)</f>
        <v>7.4527000000000001</v>
      </c>
      <c r="AK10" s="2">
        <f>IF('Res. Tank Design'!$F$9,'Res. Tank Design'!$F$9,'Res. Tank Design'!$D$9)</f>
        <v>7.4527000000000001</v>
      </c>
      <c r="AL10" s="2">
        <f>IF('Res. Tank Design'!$F$9,'Res. Tank Design'!$F$9,'Res. Tank Design'!$D$9)</f>
        <v>7.4527000000000001</v>
      </c>
      <c r="AM10" s="2">
        <f>IF('Res. Tank Design'!$F$9,'Res. Tank Design'!$F$9,'Res. Tank Design'!$D$9)</f>
        <v>7.4527000000000001</v>
      </c>
      <c r="AN10" s="2">
        <f>IF('Res. Tank Design'!$F$9,'Res. Tank Design'!$F$9,'Res. Tank Design'!$D$9)</f>
        <v>7.4527000000000001</v>
      </c>
      <c r="AO10" s="2">
        <f>IF('Res. Tank Design'!$F$9,'Res. Tank Design'!$F$9,'Res. Tank Design'!$D$9)</f>
        <v>7.4527000000000001</v>
      </c>
      <c r="AP10" s="2">
        <f>IF('Res. Tank Design'!$F$9,'Res. Tank Design'!$F$9,'Res. Tank Design'!$D$9)</f>
        <v>7.4527000000000001</v>
      </c>
      <c r="AQ10" s="2">
        <f>IF('Res. Tank Design'!$F$9,'Res. Tank Design'!$F$9,'Res. Tank Design'!$D$9)</f>
        <v>7.4527000000000001</v>
      </c>
      <c r="AR10" s="2">
        <f>IF('Res. Tank Design'!$F$9,'Res. Tank Design'!$F$9,'Res. Tank Design'!$D$9)</f>
        <v>7.4527000000000001</v>
      </c>
      <c r="AS10" s="2">
        <f>IF('Res. Tank Design'!$F$9,'Res. Tank Design'!$F$9,'Res. Tank Design'!$D$9)</f>
        <v>7.4527000000000001</v>
      </c>
      <c r="AT10" s="2">
        <f>IF('Res. Tank Design'!$F$9,'Res. Tank Design'!$F$9,'Res. Tank Design'!$D$9)</f>
        <v>7.4527000000000001</v>
      </c>
      <c r="AU10" s="2">
        <f>IF('Res. Tank Design'!$F$9,'Res. Tank Design'!$F$9,'Res. Tank Design'!$D$9)</f>
        <v>7.4527000000000001</v>
      </c>
      <c r="AV10" s="2">
        <f>IF('Res. Tank Design'!$F$9,'Res. Tank Design'!$F$9,'Res. Tank Design'!$D$9)</f>
        <v>7.4527000000000001</v>
      </c>
      <c r="AW10" s="2">
        <f>IF('Res. Tank Design'!$F$9,'Res. Tank Design'!$F$9,'Res. Tank Design'!$D$9)</f>
        <v>7.4527000000000001</v>
      </c>
      <c r="AX10" s="2">
        <f>IF('Res. Tank Design'!$F$9,'Res. Tank Design'!$F$9,'Res. Tank Design'!$D$9)</f>
        <v>7.4527000000000001</v>
      </c>
      <c r="AY10" s="2">
        <f>IF('Res. Tank Design'!$F$9,'Res. Tank Design'!$F$9,'Res. Tank Design'!$D$9)</f>
        <v>7.4527000000000001</v>
      </c>
      <c r="AZ10" s="2">
        <f>IF('Res. Tank Design'!$F$9,'Res. Tank Design'!$F$9,'Res. Tank Design'!$D$9)</f>
        <v>7.4527000000000001</v>
      </c>
      <c r="BA10" s="2">
        <f>IF('Res. Tank Design'!$F$9,'Res. Tank Design'!$F$9,'Res. Tank Design'!$D$9)</f>
        <v>7.4527000000000001</v>
      </c>
      <c r="BB10" s="2">
        <f>IF('Res. Tank Design'!$F$9,'Res. Tank Design'!$F$9,'Res. Tank Design'!$D$9)</f>
        <v>7.4527000000000001</v>
      </c>
      <c r="BC10" s="2">
        <f>IF('Res. Tank Design'!$F$9,'Res. Tank Design'!$F$9,'Res. Tank Design'!$D$9)</f>
        <v>7.4527000000000001</v>
      </c>
      <c r="BD10" s="2">
        <f>IF('Res. Tank Design'!$F$9,'Res. Tank Design'!$F$9,'Res. Tank Design'!$D$9)</f>
        <v>7.4527000000000001</v>
      </c>
      <c r="BE10" s="2">
        <f>IF('Res. Tank Design'!$F$9,'Res. Tank Design'!$F$9,'Res. Tank Design'!$D$9)</f>
        <v>7.4527000000000001</v>
      </c>
      <c r="BF10" s="2">
        <f>IF('Res. Tank Design'!$F$9,'Res. Tank Design'!$F$9,'Res. Tank Design'!$D$9)</f>
        <v>7.4527000000000001</v>
      </c>
      <c r="BG10" s="2">
        <f>IF('Res. Tank Design'!$F$9,'Res. Tank Design'!$F$9,'Res. Tank Design'!$D$9)</f>
        <v>7.4527000000000001</v>
      </c>
      <c r="BH10" s="2">
        <f>IF('Res. Tank Design'!$F$9,'Res. Tank Design'!$F$9,'Res. Tank Design'!$D$9)</f>
        <v>7.4527000000000001</v>
      </c>
      <c r="BI10" s="2">
        <f>IF('Res. Tank Design'!$F$9,'Res. Tank Design'!$F$9,'Res. Tank Design'!$D$9)</f>
        <v>7.4527000000000001</v>
      </c>
      <c r="BJ10" s="2">
        <f>IF('Res. Tank Design'!$F$9,'Res. Tank Design'!$F$9,'Res. Tank Design'!$D$9)</f>
        <v>7.4527000000000001</v>
      </c>
      <c r="BK10" s="2">
        <f>IF('Res. Tank Design'!$F$9,'Res. Tank Design'!$F$9,'Res. Tank Design'!$D$9)</f>
        <v>7.4527000000000001</v>
      </c>
      <c r="BL10" s="2">
        <f>IF('Res. Tank Design'!$F$9,'Res. Tank Design'!$F$9,'Res. Tank Design'!$D$9)</f>
        <v>7.4527000000000001</v>
      </c>
      <c r="BM10" s="2">
        <f>IF('Res. Tank Design'!$F$9,'Res. Tank Design'!$F$9,'Res. Tank Design'!$D$9)</f>
        <v>7.4527000000000001</v>
      </c>
      <c r="BN10" s="2">
        <f>IF('Res. Tank Design'!$F$9,'Res. Tank Design'!$F$9,'Res. Tank Design'!$D$9)</f>
        <v>7.4527000000000001</v>
      </c>
      <c r="BO10" s="2">
        <f>IF('Res. Tank Design'!$F$9,'Res. Tank Design'!$F$9,'Res. Tank Design'!$D$9)</f>
        <v>7.4527000000000001</v>
      </c>
      <c r="BP10" s="2">
        <f>IF('Res. Tank Design'!$F$9,'Res. Tank Design'!$F$9,'Res. Tank Design'!$D$9)</f>
        <v>7.4527000000000001</v>
      </c>
      <c r="BQ10" s="2">
        <f>IF('Res. Tank Design'!$F$9,'Res. Tank Design'!$F$9,'Res. Tank Design'!$D$9)</f>
        <v>7.4527000000000001</v>
      </c>
      <c r="BR10" s="2">
        <f>IF('Res. Tank Design'!$F$9,'Res. Tank Design'!$F$9,'Res. Tank Design'!$D$9)</f>
        <v>7.4527000000000001</v>
      </c>
      <c r="BS10" s="2">
        <f>IF('Res. Tank Design'!$F$9,'Res. Tank Design'!$F$9,'Res. Tank Design'!$D$9)</f>
        <v>7.4527000000000001</v>
      </c>
      <c r="BT10" s="2">
        <f>IF('Res. Tank Design'!$F$9,'Res. Tank Design'!$F$9,'Res. Tank Design'!$D$9)</f>
        <v>7.4527000000000001</v>
      </c>
      <c r="BU10" s="2">
        <f>IF('Res. Tank Design'!$F$9,'Res. Tank Design'!$F$9,'Res. Tank Design'!$D$9)</f>
        <v>7.4527000000000001</v>
      </c>
      <c r="BV10" s="2">
        <f>IF('Res. Tank Design'!$F$9,'Res. Tank Design'!$F$9,'Res. Tank Design'!$D$9)</f>
        <v>7.4527000000000001</v>
      </c>
      <c r="BW10" s="2">
        <f>IF('Res. Tank Design'!$F$9,'Res. Tank Design'!$F$9,'Res. Tank Design'!$D$9)</f>
        <v>7.4527000000000001</v>
      </c>
      <c r="BX10" s="2">
        <f>IF('Res. Tank Design'!$F$9,'Res. Tank Design'!$F$9,'Res. Tank Design'!$D$9)</f>
        <v>7.4527000000000001</v>
      </c>
      <c r="BY10" s="2">
        <f>IF('Res. Tank Design'!$F$9,'Res. Tank Design'!$F$9,'Res. Tank Design'!$D$9)</f>
        <v>7.4527000000000001</v>
      </c>
      <c r="BZ10" s="2">
        <f>IF('Res. Tank Design'!$F$9,'Res. Tank Design'!$F$9,'Res. Tank Design'!$D$9)</f>
        <v>7.4527000000000001</v>
      </c>
      <c r="CA10" s="2">
        <f>IF('Res. Tank Design'!$F$9,'Res. Tank Design'!$F$9,'Res. Tank Design'!$D$9)</f>
        <v>7.4527000000000001</v>
      </c>
      <c r="CB10" s="2">
        <f>IF('Res. Tank Design'!$F$9,'Res. Tank Design'!$F$9,'Res. Tank Design'!$D$9)</f>
        <v>7.4527000000000001</v>
      </c>
      <c r="CC10" s="2">
        <f>IF('Res. Tank Design'!$F$9,'Res. Tank Design'!$F$9,'Res. Tank Design'!$D$9)</f>
        <v>7.4527000000000001</v>
      </c>
      <c r="CD10" s="2">
        <f>IF('Res. Tank Design'!$F$9,'Res. Tank Design'!$F$9,'Res. Tank Design'!$D$9)</f>
        <v>7.4527000000000001</v>
      </c>
      <c r="CE10" s="2">
        <f>IF('Res. Tank Design'!$F$9,'Res. Tank Design'!$F$9,'Res. Tank Design'!$D$9)</f>
        <v>7.4527000000000001</v>
      </c>
      <c r="CF10" s="2">
        <f>IF('Res. Tank Design'!$F$9,'Res. Tank Design'!$F$9,'Res. Tank Design'!$D$9)</f>
        <v>7.4527000000000001</v>
      </c>
      <c r="CG10" s="2">
        <f>IF('Res. Tank Design'!$F$9,'Res. Tank Design'!$F$9,'Res. Tank Design'!$D$9)</f>
        <v>7.4527000000000001</v>
      </c>
    </row>
    <row r="11" spans="2:86">
      <c r="B11" s="2" t="s">
        <v>81</v>
      </c>
      <c r="C11" s="2">
        <f>'Design Spec'!$D$107</f>
        <v>1</v>
      </c>
      <c r="D11" s="2">
        <f>'Design Spec'!$D$107</f>
        <v>1</v>
      </c>
      <c r="E11" s="2">
        <f>'Design Spec'!$D$107</f>
        <v>1</v>
      </c>
      <c r="F11" s="2">
        <f>'Design Spec'!$D$107</f>
        <v>1</v>
      </c>
      <c r="G11" s="2">
        <f>'Design Spec'!$D$107</f>
        <v>1</v>
      </c>
      <c r="H11" s="2">
        <f>'Design Spec'!$D$107</f>
        <v>1</v>
      </c>
      <c r="I11" s="2">
        <f>'Design Spec'!$D$107</f>
        <v>1</v>
      </c>
      <c r="J11" s="2">
        <f>'Design Spec'!$D$107</f>
        <v>1</v>
      </c>
      <c r="K11" s="2">
        <f>'Design Spec'!$D$107</f>
        <v>1</v>
      </c>
      <c r="L11" s="2">
        <f>'Design Spec'!$D$107</f>
        <v>1</v>
      </c>
      <c r="M11" s="2">
        <f>'Design Spec'!$D$107</f>
        <v>1</v>
      </c>
      <c r="N11" s="2">
        <f>'Design Spec'!$D$107</f>
        <v>1</v>
      </c>
      <c r="O11" s="2">
        <f>'Design Spec'!$D$107</f>
        <v>1</v>
      </c>
      <c r="P11" s="2">
        <f>'Design Spec'!$D$107</f>
        <v>1</v>
      </c>
      <c r="Q11" s="2">
        <f>'Design Spec'!$D$107</f>
        <v>1</v>
      </c>
      <c r="R11" s="2">
        <f>'Design Spec'!$D$107</f>
        <v>1</v>
      </c>
      <c r="S11" s="2">
        <f>'Design Spec'!$D$107</f>
        <v>1</v>
      </c>
      <c r="T11" s="2">
        <f>'Design Spec'!$D$107</f>
        <v>1</v>
      </c>
      <c r="U11" s="2">
        <f>'Design Spec'!$D$107</f>
        <v>1</v>
      </c>
      <c r="V11" s="2">
        <f>'Design Spec'!$D$107</f>
        <v>1</v>
      </c>
      <c r="W11" s="2">
        <f>'Design Spec'!$D$107</f>
        <v>1</v>
      </c>
      <c r="X11" s="2">
        <f>'Design Spec'!$D$107</f>
        <v>1</v>
      </c>
      <c r="Y11" s="2">
        <f>'Design Spec'!$D$107</f>
        <v>1</v>
      </c>
      <c r="Z11" s="2">
        <f>'Design Spec'!$D$107</f>
        <v>1</v>
      </c>
      <c r="AA11" s="2">
        <f>'Design Spec'!$D$107</f>
        <v>1</v>
      </c>
      <c r="AB11" s="2">
        <f>'Design Spec'!$D$107</f>
        <v>1</v>
      </c>
      <c r="AC11" s="2">
        <f>'Design Spec'!$D$107</f>
        <v>1</v>
      </c>
      <c r="AD11" s="2">
        <f>'Design Spec'!$D$107</f>
        <v>1</v>
      </c>
      <c r="AE11" s="2">
        <f>'Design Spec'!$D$107</f>
        <v>1</v>
      </c>
      <c r="AF11" s="2">
        <f>'Design Spec'!$D$107</f>
        <v>1</v>
      </c>
      <c r="AG11" s="2">
        <f>'Design Spec'!$D$107</f>
        <v>1</v>
      </c>
      <c r="AH11" s="2">
        <f>'Design Spec'!$D$107</f>
        <v>1</v>
      </c>
      <c r="AI11" s="2">
        <f>'Design Spec'!$D$107</f>
        <v>1</v>
      </c>
      <c r="AJ11" s="2">
        <f>'Design Spec'!$D$107</f>
        <v>1</v>
      </c>
      <c r="AK11" s="2">
        <f>'Design Spec'!$D$107</f>
        <v>1</v>
      </c>
      <c r="AL11" s="2">
        <f>'Design Spec'!$D$107</f>
        <v>1</v>
      </c>
      <c r="AM11" s="2">
        <f>'Design Spec'!$D$107</f>
        <v>1</v>
      </c>
      <c r="AN11" s="2">
        <f>'Design Spec'!$D$107</f>
        <v>1</v>
      </c>
      <c r="AO11" s="2">
        <f>'Design Spec'!$D$107</f>
        <v>1</v>
      </c>
      <c r="AP11" s="2">
        <f>'Design Spec'!$D$107</f>
        <v>1</v>
      </c>
      <c r="AQ11" s="2">
        <f>'Design Spec'!$D$107</f>
        <v>1</v>
      </c>
      <c r="AR11" s="2">
        <f>'Design Spec'!$D$107</f>
        <v>1</v>
      </c>
      <c r="AS11" s="2">
        <f>'Design Spec'!$D$107</f>
        <v>1</v>
      </c>
      <c r="AT11" s="2">
        <f>'Design Spec'!$D$107</f>
        <v>1</v>
      </c>
      <c r="AU11" s="2">
        <f>'Design Spec'!$D$107</f>
        <v>1</v>
      </c>
      <c r="AV11" s="2">
        <f>'Design Spec'!$D$107</f>
        <v>1</v>
      </c>
      <c r="AW11" s="2">
        <f>'Design Spec'!$D$107</f>
        <v>1</v>
      </c>
      <c r="AX11" s="2">
        <f>'Design Spec'!$D$107</f>
        <v>1</v>
      </c>
      <c r="AY11" s="2">
        <f>'Design Spec'!$D$107</f>
        <v>1</v>
      </c>
      <c r="AZ11" s="2">
        <f>'Design Spec'!$D$107</f>
        <v>1</v>
      </c>
      <c r="BA11" s="2">
        <f>'Design Spec'!$D$107</f>
        <v>1</v>
      </c>
      <c r="BB11" s="2">
        <f>'Design Spec'!$D$107</f>
        <v>1</v>
      </c>
      <c r="BC11" s="2">
        <f>'Design Spec'!$D$107</f>
        <v>1</v>
      </c>
      <c r="BD11" s="2">
        <f>'Design Spec'!$D$107</f>
        <v>1</v>
      </c>
      <c r="BE11" s="2">
        <f>'Design Spec'!$D$107</f>
        <v>1</v>
      </c>
      <c r="BF11" s="2">
        <f>'Design Spec'!$D$107</f>
        <v>1</v>
      </c>
      <c r="BG11" s="2">
        <f>'Design Spec'!$D$107</f>
        <v>1</v>
      </c>
      <c r="BH11" s="2">
        <f>'Design Spec'!$D$107</f>
        <v>1</v>
      </c>
      <c r="BI11" s="2">
        <f>'Design Spec'!$D$107</f>
        <v>1</v>
      </c>
      <c r="BJ11" s="2">
        <f>'Design Spec'!$D$107</f>
        <v>1</v>
      </c>
      <c r="BK11" s="2">
        <f>'Design Spec'!$D$107</f>
        <v>1</v>
      </c>
      <c r="BL11" s="2">
        <f>'Design Spec'!$D$107</f>
        <v>1</v>
      </c>
      <c r="BM11" s="2">
        <f>'Design Spec'!$D$107</f>
        <v>1</v>
      </c>
      <c r="BN11" s="2">
        <f>'Design Spec'!$D$107</f>
        <v>1</v>
      </c>
      <c r="BO11" s="2">
        <f>'Design Spec'!$D$107</f>
        <v>1</v>
      </c>
      <c r="BP11" s="2">
        <f>'Design Spec'!$D$107</f>
        <v>1</v>
      </c>
      <c r="BQ11" s="2">
        <f>'Design Spec'!$D$107</f>
        <v>1</v>
      </c>
      <c r="BR11" s="2">
        <f>'Design Spec'!$D$107</f>
        <v>1</v>
      </c>
      <c r="BS11" s="2">
        <f>'Design Spec'!$D$107</f>
        <v>1</v>
      </c>
      <c r="BT11" s="2">
        <f>'Design Spec'!$D$107</f>
        <v>1</v>
      </c>
      <c r="BU11" s="2">
        <f>'Design Spec'!$D$107</f>
        <v>1</v>
      </c>
      <c r="BV11" s="2">
        <f>'Design Spec'!$D$107</f>
        <v>1</v>
      </c>
      <c r="BW11" s="2">
        <f>'Design Spec'!$D$107</f>
        <v>1</v>
      </c>
      <c r="BX11" s="2">
        <f>'Design Spec'!$D$107</f>
        <v>1</v>
      </c>
      <c r="BY11" s="2">
        <f>'Design Spec'!$D$107</f>
        <v>1</v>
      </c>
      <c r="BZ11" s="2">
        <f>'Design Spec'!$D$107</f>
        <v>1</v>
      </c>
      <c r="CA11" s="2">
        <f>'Design Spec'!$D$107</f>
        <v>1</v>
      </c>
      <c r="CB11" s="2">
        <f>'Design Spec'!$D$107</f>
        <v>1</v>
      </c>
      <c r="CC11" s="2">
        <f>'Design Spec'!$D$107</f>
        <v>1</v>
      </c>
      <c r="CD11" s="2">
        <f>'Design Spec'!$D$107</f>
        <v>1</v>
      </c>
      <c r="CE11" s="2">
        <f>'Design Spec'!$D$107</f>
        <v>1</v>
      </c>
      <c r="CF11" s="2">
        <f>'Design Spec'!$D$107</f>
        <v>1</v>
      </c>
      <c r="CG11" s="2">
        <f>'Design Spec'!$D$107</f>
        <v>1</v>
      </c>
    </row>
    <row r="12" spans="2:86">
      <c r="B12" s="2" t="s">
        <v>682</v>
      </c>
      <c r="C12" s="2">
        <f>'Design Spec'!$D$98</f>
        <v>657.5</v>
      </c>
      <c r="D12" s="2">
        <f>'Design Spec'!$D$98</f>
        <v>657.5</v>
      </c>
      <c r="E12" s="2">
        <f>'Design Spec'!$D$98</f>
        <v>657.5</v>
      </c>
      <c r="F12" s="2">
        <f>'Design Spec'!$D$98</f>
        <v>657.5</v>
      </c>
      <c r="G12" s="2">
        <f>'Design Spec'!$D$98</f>
        <v>657.5</v>
      </c>
      <c r="H12" s="2">
        <f>'Design Spec'!$D$98</f>
        <v>657.5</v>
      </c>
      <c r="I12" s="2">
        <f>'Design Spec'!$D$98</f>
        <v>657.5</v>
      </c>
      <c r="J12" s="2">
        <f>'Design Spec'!$D$98</f>
        <v>657.5</v>
      </c>
      <c r="K12" s="2">
        <f>'Design Spec'!$D$98</f>
        <v>657.5</v>
      </c>
      <c r="L12" s="2">
        <f>'Design Spec'!$D$98</f>
        <v>657.5</v>
      </c>
      <c r="M12" s="2">
        <f>'Design Spec'!$D$98</f>
        <v>657.5</v>
      </c>
      <c r="N12" s="2">
        <f>'Design Spec'!$D$98</f>
        <v>657.5</v>
      </c>
      <c r="O12" s="2">
        <f>'Design Spec'!$D$98</f>
        <v>657.5</v>
      </c>
      <c r="P12" s="2">
        <f>'Design Spec'!$D$98</f>
        <v>657.5</v>
      </c>
      <c r="Q12" s="2">
        <f>'Design Spec'!$D$98</f>
        <v>657.5</v>
      </c>
      <c r="R12" s="2">
        <f>'Design Spec'!$D$98</f>
        <v>657.5</v>
      </c>
      <c r="S12" s="2">
        <f>'Design Spec'!$D$98</f>
        <v>657.5</v>
      </c>
      <c r="T12" s="2">
        <f>'Design Spec'!$D$98</f>
        <v>657.5</v>
      </c>
      <c r="U12" s="2">
        <f>'Design Spec'!$D$98</f>
        <v>657.5</v>
      </c>
      <c r="V12" s="2">
        <f>'Design Spec'!$D$98</f>
        <v>657.5</v>
      </c>
      <c r="W12" s="2">
        <f>'Design Spec'!$D$98</f>
        <v>657.5</v>
      </c>
      <c r="X12" s="2">
        <f>'Design Spec'!$D$98</f>
        <v>657.5</v>
      </c>
      <c r="Y12" s="2">
        <f>'Design Spec'!$D$98</f>
        <v>657.5</v>
      </c>
      <c r="Z12" s="2">
        <f>'Design Spec'!$D$98</f>
        <v>657.5</v>
      </c>
      <c r="AA12" s="2">
        <f>'Design Spec'!$D$98</f>
        <v>657.5</v>
      </c>
      <c r="AB12" s="2">
        <f>'Design Spec'!$D$98</f>
        <v>657.5</v>
      </c>
      <c r="AC12" s="2">
        <f>'Design Spec'!$D$98</f>
        <v>657.5</v>
      </c>
      <c r="AD12" s="2">
        <f>'Design Spec'!$D$98</f>
        <v>657.5</v>
      </c>
      <c r="AE12" s="2">
        <f>'Design Spec'!$D$98</f>
        <v>657.5</v>
      </c>
      <c r="AF12" s="2">
        <f>'Design Spec'!$D$98</f>
        <v>657.5</v>
      </c>
      <c r="AG12" s="2">
        <f>'Design Spec'!$D$98</f>
        <v>657.5</v>
      </c>
      <c r="AH12" s="2">
        <f>'Design Spec'!$D$98</f>
        <v>657.5</v>
      </c>
      <c r="AI12" s="2">
        <f>'Design Spec'!$D$98</f>
        <v>657.5</v>
      </c>
      <c r="AJ12" s="2">
        <f>'Design Spec'!$D$98</f>
        <v>657.5</v>
      </c>
      <c r="AK12" s="2">
        <f>'Design Spec'!$D$98</f>
        <v>657.5</v>
      </c>
      <c r="AL12" s="2">
        <f>'Design Spec'!$D$98</f>
        <v>657.5</v>
      </c>
      <c r="AM12" s="2">
        <f>'Design Spec'!$D$98</f>
        <v>657.5</v>
      </c>
      <c r="AN12" s="2">
        <f>'Design Spec'!$D$98</f>
        <v>657.5</v>
      </c>
      <c r="AO12" s="2">
        <f>'Design Spec'!$D$98</f>
        <v>657.5</v>
      </c>
      <c r="AP12" s="2">
        <f>'Design Spec'!$D$98</f>
        <v>657.5</v>
      </c>
      <c r="AQ12" s="2">
        <f>'Design Spec'!$D$98</f>
        <v>657.5</v>
      </c>
      <c r="AR12" s="2">
        <f>'Design Spec'!$D$98</f>
        <v>657.5</v>
      </c>
      <c r="AS12" s="2">
        <f>'Design Spec'!$D$98</f>
        <v>657.5</v>
      </c>
      <c r="AT12" s="2">
        <f>'Design Spec'!$D$98</f>
        <v>657.5</v>
      </c>
      <c r="AU12" s="2">
        <f>'Design Spec'!$D$98</f>
        <v>657.5</v>
      </c>
      <c r="AV12" s="2">
        <f>'Design Spec'!$D$98</f>
        <v>657.5</v>
      </c>
      <c r="AW12" s="2">
        <f>'Design Spec'!$D$98</f>
        <v>657.5</v>
      </c>
      <c r="AX12" s="2">
        <f>'Design Spec'!$D$98</f>
        <v>657.5</v>
      </c>
      <c r="AY12" s="2">
        <f>'Design Spec'!$D$98</f>
        <v>657.5</v>
      </c>
      <c r="AZ12" s="2">
        <f>'Design Spec'!$D$98</f>
        <v>657.5</v>
      </c>
      <c r="BA12" s="2">
        <f>'Design Spec'!$D$98</f>
        <v>657.5</v>
      </c>
      <c r="BB12" s="2">
        <f>'Design Spec'!$D$98</f>
        <v>657.5</v>
      </c>
      <c r="BC12" s="2">
        <f>'Design Spec'!$D$98</f>
        <v>657.5</v>
      </c>
      <c r="BD12" s="2">
        <f>'Design Spec'!$D$98</f>
        <v>657.5</v>
      </c>
      <c r="BE12" s="2">
        <f>'Design Spec'!$D$98</f>
        <v>657.5</v>
      </c>
      <c r="BF12" s="2">
        <f>'Design Spec'!$D$98</f>
        <v>657.5</v>
      </c>
      <c r="BG12" s="2">
        <f>'Design Spec'!$D$98</f>
        <v>657.5</v>
      </c>
      <c r="BH12" s="2">
        <f>'Design Spec'!$D$98</f>
        <v>657.5</v>
      </c>
      <c r="BI12" s="2">
        <f>'Design Spec'!$D$98</f>
        <v>657.5</v>
      </c>
      <c r="BJ12" s="2">
        <f>'Design Spec'!$D$98</f>
        <v>657.5</v>
      </c>
      <c r="BK12" s="2">
        <f>'Design Spec'!$D$98</f>
        <v>657.5</v>
      </c>
      <c r="BL12" s="2">
        <f>'Design Spec'!$D$98</f>
        <v>657.5</v>
      </c>
      <c r="BM12" s="2">
        <f>'Design Spec'!$D$98</f>
        <v>657.5</v>
      </c>
      <c r="BN12" s="2">
        <f>'Design Spec'!$D$98</f>
        <v>657.5</v>
      </c>
      <c r="BO12" s="2">
        <f>'Design Spec'!$D$98</f>
        <v>657.5</v>
      </c>
      <c r="BP12" s="2">
        <f>'Design Spec'!$D$98</f>
        <v>657.5</v>
      </c>
      <c r="BQ12" s="2">
        <f>'Design Spec'!$D$98</f>
        <v>657.5</v>
      </c>
      <c r="BR12" s="2">
        <f>'Design Spec'!$D$98</f>
        <v>657.5</v>
      </c>
      <c r="BS12" s="2">
        <f>'Design Spec'!$D$98</f>
        <v>657.5</v>
      </c>
      <c r="BT12" s="2">
        <f>'Design Spec'!$D$98</f>
        <v>657.5</v>
      </c>
      <c r="BU12" s="2">
        <f>'Design Spec'!$D$98</f>
        <v>657.5</v>
      </c>
      <c r="BV12" s="2">
        <f>'Design Spec'!$D$98</f>
        <v>657.5</v>
      </c>
      <c r="BW12" s="2">
        <f>'Design Spec'!$D$98</f>
        <v>657.5</v>
      </c>
      <c r="BX12" s="2">
        <f>'Design Spec'!$D$98</f>
        <v>657.5</v>
      </c>
      <c r="BY12" s="2">
        <f>'Design Spec'!$D$98</f>
        <v>657.5</v>
      </c>
      <c r="BZ12" s="2">
        <f>'Design Spec'!$D$98</f>
        <v>657.5</v>
      </c>
      <c r="CA12" s="2">
        <f>'Design Spec'!$D$98</f>
        <v>657.5</v>
      </c>
      <c r="CB12" s="2">
        <f>'Design Spec'!$D$98</f>
        <v>657.5</v>
      </c>
      <c r="CC12" s="2">
        <f>'Design Spec'!$D$98</f>
        <v>657.5</v>
      </c>
      <c r="CD12" s="2">
        <f>'Design Spec'!$D$98</f>
        <v>657.5</v>
      </c>
      <c r="CE12" s="2">
        <f>'Design Spec'!$D$98</f>
        <v>657.5</v>
      </c>
      <c r="CF12" s="2">
        <f>'Design Spec'!$D$98</f>
        <v>657.5</v>
      </c>
      <c r="CG12" s="2">
        <f>'Design Spec'!$D$98</f>
        <v>657.5</v>
      </c>
    </row>
    <row r="13" spans="2:86">
      <c r="B13" s="32" t="s">
        <v>683</v>
      </c>
      <c r="C13" s="32">
        <f>C12/4*3</f>
        <v>493.125</v>
      </c>
      <c r="D13" s="32">
        <f t="shared" ref="D13:J13" si="0">D12/4*3</f>
        <v>493.125</v>
      </c>
      <c r="E13" s="32">
        <f t="shared" si="0"/>
        <v>493.125</v>
      </c>
      <c r="F13" s="32">
        <f t="shared" si="0"/>
        <v>493.125</v>
      </c>
      <c r="G13" s="32">
        <f t="shared" si="0"/>
        <v>493.125</v>
      </c>
      <c r="H13" s="32">
        <f t="shared" si="0"/>
        <v>493.125</v>
      </c>
      <c r="I13" s="32">
        <f t="shared" si="0"/>
        <v>493.125</v>
      </c>
      <c r="J13" s="32">
        <f t="shared" si="0"/>
        <v>493.125</v>
      </c>
      <c r="K13" s="32">
        <f t="shared" ref="K13" si="1">K12/4*3</f>
        <v>493.125</v>
      </c>
      <c r="L13" s="32">
        <f t="shared" ref="L13" si="2">L12/4*3</f>
        <v>493.125</v>
      </c>
      <c r="M13" s="32">
        <f t="shared" ref="M13" si="3">M12/4*3</f>
        <v>493.125</v>
      </c>
      <c r="N13" s="32">
        <f t="shared" ref="N13" si="4">N12/4*3</f>
        <v>493.125</v>
      </c>
      <c r="O13" s="32">
        <f t="shared" ref="O13" si="5">O12/4*3</f>
        <v>493.125</v>
      </c>
      <c r="P13" s="32">
        <f t="shared" ref="P13:Q13" si="6">P12/4*3</f>
        <v>493.125</v>
      </c>
      <c r="Q13" s="32">
        <f t="shared" si="6"/>
        <v>493.125</v>
      </c>
      <c r="R13" s="32">
        <f t="shared" ref="R13" si="7">R12/4*3</f>
        <v>493.125</v>
      </c>
      <c r="S13" s="32">
        <f t="shared" ref="S13" si="8">S12/4*3</f>
        <v>493.125</v>
      </c>
      <c r="T13" s="32">
        <f t="shared" ref="T13" si="9">T12/4*3</f>
        <v>493.125</v>
      </c>
      <c r="U13" s="32">
        <f t="shared" ref="U13" si="10">U12/4*3</f>
        <v>493.125</v>
      </c>
      <c r="V13" s="32">
        <f t="shared" ref="V13" si="11">V12/4*3</f>
        <v>493.125</v>
      </c>
      <c r="W13" s="32">
        <f t="shared" ref="W13:X13" si="12">W12/4*3</f>
        <v>493.125</v>
      </c>
      <c r="X13" s="32">
        <f t="shared" si="12"/>
        <v>493.125</v>
      </c>
      <c r="Y13" s="32">
        <f t="shared" ref="Y13" si="13">Y12/4*3</f>
        <v>493.125</v>
      </c>
      <c r="Z13" s="32">
        <f t="shared" ref="Z13" si="14">Z12/4*3</f>
        <v>493.125</v>
      </c>
      <c r="AA13" s="32">
        <f t="shared" ref="AA13" si="15">AA12/4*3</f>
        <v>493.125</v>
      </c>
      <c r="AB13" s="32">
        <f t="shared" ref="AB13" si="16">AB12/4*3</f>
        <v>493.125</v>
      </c>
      <c r="AC13" s="32">
        <f t="shared" ref="AC13" si="17">AC12/4*3</f>
        <v>493.125</v>
      </c>
      <c r="AD13" s="32">
        <f t="shared" ref="AD13:AE13" si="18">AD12/4*3</f>
        <v>493.125</v>
      </c>
      <c r="AE13" s="32">
        <f t="shared" si="18"/>
        <v>493.125</v>
      </c>
      <c r="AF13" s="32">
        <f t="shared" ref="AF13" si="19">AF12/4*3</f>
        <v>493.125</v>
      </c>
      <c r="AG13" s="32">
        <f t="shared" ref="AG13" si="20">AG12/4*3</f>
        <v>493.125</v>
      </c>
      <c r="AH13" s="32">
        <f t="shared" ref="AH13" si="21">AH12/4*3</f>
        <v>493.125</v>
      </c>
      <c r="AI13" s="32">
        <f t="shared" ref="AI13" si="22">AI12/4*3</f>
        <v>493.125</v>
      </c>
      <c r="AJ13" s="32">
        <f t="shared" ref="AJ13" si="23">AJ12/4*3</f>
        <v>493.125</v>
      </c>
      <c r="AK13" s="32">
        <f t="shared" ref="AK13:AL13" si="24">AK12/4*3</f>
        <v>493.125</v>
      </c>
      <c r="AL13" s="32">
        <f t="shared" si="24"/>
        <v>493.125</v>
      </c>
      <c r="AM13" s="32">
        <f t="shared" ref="AM13" si="25">AM12/4*3</f>
        <v>493.125</v>
      </c>
      <c r="AN13" s="32">
        <f t="shared" ref="AN13" si="26">AN12/4*3</f>
        <v>493.125</v>
      </c>
      <c r="AO13" s="32">
        <f t="shared" ref="AO13" si="27">AO12/4*3</f>
        <v>493.125</v>
      </c>
      <c r="AP13" s="32">
        <f t="shared" ref="AP13" si="28">AP12/4*3</f>
        <v>493.125</v>
      </c>
      <c r="AQ13" s="32">
        <f t="shared" ref="AQ13" si="29">AQ12/4*3</f>
        <v>493.125</v>
      </c>
      <c r="AR13" s="32">
        <f t="shared" ref="AR13:AS13" si="30">AR12/4*3</f>
        <v>493.125</v>
      </c>
      <c r="AS13" s="32">
        <f t="shared" si="30"/>
        <v>493.125</v>
      </c>
      <c r="AT13" s="32">
        <f t="shared" ref="AT13" si="31">AT12/4*3</f>
        <v>493.125</v>
      </c>
      <c r="AU13" s="32">
        <f t="shared" ref="AU13" si="32">AU12/4*3</f>
        <v>493.125</v>
      </c>
      <c r="AV13" s="32">
        <f t="shared" ref="AV13" si="33">AV12/4*3</f>
        <v>493.125</v>
      </c>
      <c r="AW13" s="32">
        <f t="shared" ref="AW13" si="34">AW12/4*3</f>
        <v>493.125</v>
      </c>
      <c r="AX13" s="32">
        <f t="shared" ref="AX13" si="35">AX12/4*3</f>
        <v>493.125</v>
      </c>
      <c r="AY13" s="32">
        <f t="shared" ref="AY13:AZ13" si="36">AY12/4*3</f>
        <v>493.125</v>
      </c>
      <c r="AZ13" s="32">
        <f t="shared" si="36"/>
        <v>493.125</v>
      </c>
      <c r="BA13" s="32">
        <f t="shared" ref="BA13" si="37">BA12/4*3</f>
        <v>493.125</v>
      </c>
      <c r="BB13" s="32">
        <f t="shared" ref="BB13" si="38">BB12/4*3</f>
        <v>493.125</v>
      </c>
      <c r="BC13" s="32">
        <f t="shared" ref="BC13" si="39">BC12/4*3</f>
        <v>493.125</v>
      </c>
      <c r="BD13" s="32">
        <f t="shared" ref="BD13" si="40">BD12/4*3</f>
        <v>493.125</v>
      </c>
      <c r="BE13" s="32">
        <f t="shared" ref="BE13" si="41">BE12/4*3</f>
        <v>493.125</v>
      </c>
      <c r="BF13" s="32">
        <f t="shared" ref="BF13:BG13" si="42">BF12/4*3</f>
        <v>493.125</v>
      </c>
      <c r="BG13" s="32">
        <f t="shared" si="42"/>
        <v>493.125</v>
      </c>
      <c r="BH13" s="32">
        <f t="shared" ref="BH13" si="43">BH12/4*3</f>
        <v>493.125</v>
      </c>
      <c r="BI13" s="32">
        <f t="shared" ref="BI13" si="44">BI12/4*3</f>
        <v>493.125</v>
      </c>
      <c r="BJ13" s="32">
        <f t="shared" ref="BJ13" si="45">BJ12/4*3</f>
        <v>493.125</v>
      </c>
      <c r="BK13" s="32">
        <f t="shared" ref="BK13" si="46">BK12/4*3</f>
        <v>493.125</v>
      </c>
      <c r="BL13" s="32">
        <f t="shared" ref="BL13" si="47">BL12/4*3</f>
        <v>493.125</v>
      </c>
      <c r="BM13" s="32">
        <f t="shared" ref="BM13:BN13" si="48">BM12/4*3</f>
        <v>493.125</v>
      </c>
      <c r="BN13" s="32">
        <f t="shared" si="48"/>
        <v>493.125</v>
      </c>
      <c r="BO13" s="32">
        <f t="shared" ref="BO13" si="49">BO12/4*3</f>
        <v>493.125</v>
      </c>
      <c r="BP13" s="32">
        <f t="shared" ref="BP13" si="50">BP12/4*3</f>
        <v>493.125</v>
      </c>
      <c r="BQ13" s="32">
        <f t="shared" ref="BQ13" si="51">BQ12/4*3</f>
        <v>493.125</v>
      </c>
      <c r="BR13" s="32">
        <f t="shared" ref="BR13" si="52">BR12/4*3</f>
        <v>493.125</v>
      </c>
      <c r="BS13" s="32">
        <f t="shared" ref="BS13" si="53">BS12/4*3</f>
        <v>493.125</v>
      </c>
      <c r="BT13" s="32">
        <f t="shared" ref="BT13:BU13" si="54">BT12/4*3</f>
        <v>493.125</v>
      </c>
      <c r="BU13" s="32">
        <f t="shared" si="54"/>
        <v>493.125</v>
      </c>
      <c r="BV13" s="32">
        <f t="shared" ref="BV13" si="55">BV12/4*3</f>
        <v>493.125</v>
      </c>
      <c r="BW13" s="32">
        <f t="shared" ref="BW13" si="56">BW12/4*3</f>
        <v>493.125</v>
      </c>
      <c r="BX13" s="32">
        <f t="shared" ref="BX13" si="57">BX12/4*3</f>
        <v>493.125</v>
      </c>
      <c r="BY13" s="32">
        <f t="shared" ref="BY13" si="58">BY12/4*3</f>
        <v>493.125</v>
      </c>
      <c r="BZ13" s="32">
        <f t="shared" ref="BZ13" si="59">BZ12/4*3</f>
        <v>493.125</v>
      </c>
      <c r="CA13" s="32">
        <f t="shared" ref="CA13:CB13" si="60">CA12/4*3</f>
        <v>493.125</v>
      </c>
      <c r="CB13" s="32">
        <f t="shared" si="60"/>
        <v>493.125</v>
      </c>
      <c r="CC13" s="32">
        <f t="shared" ref="CC13" si="61">CC12/4*3</f>
        <v>493.125</v>
      </c>
      <c r="CD13" s="32">
        <f t="shared" ref="CD13" si="62">CD12/4*3</f>
        <v>493.125</v>
      </c>
      <c r="CE13" s="32">
        <f t="shared" ref="CE13" si="63">CE12/4*3</f>
        <v>493.125</v>
      </c>
      <c r="CF13" s="32">
        <f t="shared" ref="CF13" si="64">CF12/4*3</f>
        <v>493.125</v>
      </c>
      <c r="CG13" s="32">
        <f t="shared" ref="CG13" si="65">CG12/4*3</f>
        <v>493.125</v>
      </c>
      <c r="CH13" s="32"/>
    </row>
    <row r="14" spans="2:86">
      <c r="B14" s="32" t="s">
        <v>684</v>
      </c>
      <c r="C14" s="32">
        <f>C12/2</f>
        <v>328.75</v>
      </c>
      <c r="D14" s="32">
        <f t="shared" ref="D14:J14" si="66">D12/2</f>
        <v>328.75</v>
      </c>
      <c r="E14" s="32">
        <f t="shared" si="66"/>
        <v>328.75</v>
      </c>
      <c r="F14" s="32">
        <f t="shared" si="66"/>
        <v>328.75</v>
      </c>
      <c r="G14" s="32">
        <f t="shared" si="66"/>
        <v>328.75</v>
      </c>
      <c r="H14" s="32">
        <f t="shared" si="66"/>
        <v>328.75</v>
      </c>
      <c r="I14" s="32">
        <f t="shared" si="66"/>
        <v>328.75</v>
      </c>
      <c r="J14" s="32">
        <f t="shared" si="66"/>
        <v>328.75</v>
      </c>
      <c r="K14" s="32">
        <f t="shared" ref="K14:BV14" si="67">K12/2</f>
        <v>328.75</v>
      </c>
      <c r="L14" s="32">
        <f t="shared" si="67"/>
        <v>328.75</v>
      </c>
      <c r="M14" s="32">
        <f t="shared" si="67"/>
        <v>328.75</v>
      </c>
      <c r="N14" s="32">
        <f t="shared" si="67"/>
        <v>328.75</v>
      </c>
      <c r="O14" s="32">
        <f t="shared" si="67"/>
        <v>328.75</v>
      </c>
      <c r="P14" s="32">
        <f t="shared" si="67"/>
        <v>328.75</v>
      </c>
      <c r="Q14" s="32">
        <f t="shared" si="67"/>
        <v>328.75</v>
      </c>
      <c r="R14" s="32">
        <f t="shared" si="67"/>
        <v>328.75</v>
      </c>
      <c r="S14" s="32">
        <f t="shared" si="67"/>
        <v>328.75</v>
      </c>
      <c r="T14" s="32">
        <f t="shared" si="67"/>
        <v>328.75</v>
      </c>
      <c r="U14" s="32">
        <f t="shared" si="67"/>
        <v>328.75</v>
      </c>
      <c r="V14" s="32">
        <f t="shared" si="67"/>
        <v>328.75</v>
      </c>
      <c r="W14" s="32">
        <f t="shared" si="67"/>
        <v>328.75</v>
      </c>
      <c r="X14" s="32">
        <f t="shared" si="67"/>
        <v>328.75</v>
      </c>
      <c r="Y14" s="32">
        <f t="shared" si="67"/>
        <v>328.75</v>
      </c>
      <c r="Z14" s="32">
        <f t="shared" si="67"/>
        <v>328.75</v>
      </c>
      <c r="AA14" s="32">
        <f t="shared" si="67"/>
        <v>328.75</v>
      </c>
      <c r="AB14" s="32">
        <f t="shared" si="67"/>
        <v>328.75</v>
      </c>
      <c r="AC14" s="32">
        <f t="shared" si="67"/>
        <v>328.75</v>
      </c>
      <c r="AD14" s="32">
        <f t="shared" si="67"/>
        <v>328.75</v>
      </c>
      <c r="AE14" s="32">
        <f t="shared" si="67"/>
        <v>328.75</v>
      </c>
      <c r="AF14" s="32">
        <f t="shared" si="67"/>
        <v>328.75</v>
      </c>
      <c r="AG14" s="32">
        <f t="shared" si="67"/>
        <v>328.75</v>
      </c>
      <c r="AH14" s="32">
        <f t="shared" si="67"/>
        <v>328.75</v>
      </c>
      <c r="AI14" s="32">
        <f t="shared" si="67"/>
        <v>328.75</v>
      </c>
      <c r="AJ14" s="32">
        <f t="shared" si="67"/>
        <v>328.75</v>
      </c>
      <c r="AK14" s="32">
        <f t="shared" si="67"/>
        <v>328.75</v>
      </c>
      <c r="AL14" s="32">
        <f t="shared" si="67"/>
        <v>328.75</v>
      </c>
      <c r="AM14" s="32">
        <f t="shared" si="67"/>
        <v>328.75</v>
      </c>
      <c r="AN14" s="32">
        <f t="shared" si="67"/>
        <v>328.75</v>
      </c>
      <c r="AO14" s="32">
        <f t="shared" si="67"/>
        <v>328.75</v>
      </c>
      <c r="AP14" s="32">
        <f t="shared" si="67"/>
        <v>328.75</v>
      </c>
      <c r="AQ14" s="32">
        <f t="shared" si="67"/>
        <v>328.75</v>
      </c>
      <c r="AR14" s="32">
        <f t="shared" si="67"/>
        <v>328.75</v>
      </c>
      <c r="AS14" s="32">
        <f t="shared" si="67"/>
        <v>328.75</v>
      </c>
      <c r="AT14" s="32">
        <f t="shared" si="67"/>
        <v>328.75</v>
      </c>
      <c r="AU14" s="32">
        <f t="shared" si="67"/>
        <v>328.75</v>
      </c>
      <c r="AV14" s="32">
        <f t="shared" si="67"/>
        <v>328.75</v>
      </c>
      <c r="AW14" s="32">
        <f t="shared" si="67"/>
        <v>328.75</v>
      </c>
      <c r="AX14" s="32">
        <f t="shared" si="67"/>
        <v>328.75</v>
      </c>
      <c r="AY14" s="32">
        <f t="shared" si="67"/>
        <v>328.75</v>
      </c>
      <c r="AZ14" s="32">
        <f t="shared" si="67"/>
        <v>328.75</v>
      </c>
      <c r="BA14" s="32">
        <f t="shared" si="67"/>
        <v>328.75</v>
      </c>
      <c r="BB14" s="32">
        <f t="shared" si="67"/>
        <v>328.75</v>
      </c>
      <c r="BC14" s="32">
        <f t="shared" si="67"/>
        <v>328.75</v>
      </c>
      <c r="BD14" s="32">
        <f t="shared" si="67"/>
        <v>328.75</v>
      </c>
      <c r="BE14" s="32">
        <f t="shared" si="67"/>
        <v>328.75</v>
      </c>
      <c r="BF14" s="32">
        <f t="shared" si="67"/>
        <v>328.75</v>
      </c>
      <c r="BG14" s="32">
        <f t="shared" si="67"/>
        <v>328.75</v>
      </c>
      <c r="BH14" s="32">
        <f t="shared" si="67"/>
        <v>328.75</v>
      </c>
      <c r="BI14" s="32">
        <f t="shared" si="67"/>
        <v>328.75</v>
      </c>
      <c r="BJ14" s="32">
        <f t="shared" si="67"/>
        <v>328.75</v>
      </c>
      <c r="BK14" s="32">
        <f t="shared" si="67"/>
        <v>328.75</v>
      </c>
      <c r="BL14" s="32">
        <f t="shared" si="67"/>
        <v>328.75</v>
      </c>
      <c r="BM14" s="32">
        <f t="shared" si="67"/>
        <v>328.75</v>
      </c>
      <c r="BN14" s="32">
        <f t="shared" si="67"/>
        <v>328.75</v>
      </c>
      <c r="BO14" s="32">
        <f t="shared" si="67"/>
        <v>328.75</v>
      </c>
      <c r="BP14" s="32">
        <f t="shared" si="67"/>
        <v>328.75</v>
      </c>
      <c r="BQ14" s="32">
        <f t="shared" si="67"/>
        <v>328.75</v>
      </c>
      <c r="BR14" s="32">
        <f t="shared" si="67"/>
        <v>328.75</v>
      </c>
      <c r="BS14" s="32">
        <f t="shared" si="67"/>
        <v>328.75</v>
      </c>
      <c r="BT14" s="32">
        <f t="shared" si="67"/>
        <v>328.75</v>
      </c>
      <c r="BU14" s="32">
        <f t="shared" si="67"/>
        <v>328.75</v>
      </c>
      <c r="BV14" s="32">
        <f t="shared" si="67"/>
        <v>328.75</v>
      </c>
      <c r="BW14" s="32">
        <f t="shared" ref="BW14:CG14" si="68">BW12/2</f>
        <v>328.75</v>
      </c>
      <c r="BX14" s="32">
        <f t="shared" si="68"/>
        <v>328.75</v>
      </c>
      <c r="BY14" s="32">
        <f t="shared" si="68"/>
        <v>328.75</v>
      </c>
      <c r="BZ14" s="32">
        <f t="shared" si="68"/>
        <v>328.75</v>
      </c>
      <c r="CA14" s="32">
        <f t="shared" si="68"/>
        <v>328.75</v>
      </c>
      <c r="CB14" s="32">
        <f t="shared" si="68"/>
        <v>328.75</v>
      </c>
      <c r="CC14" s="32">
        <f t="shared" si="68"/>
        <v>328.75</v>
      </c>
      <c r="CD14" s="32">
        <f t="shared" si="68"/>
        <v>328.75</v>
      </c>
      <c r="CE14" s="32">
        <f t="shared" si="68"/>
        <v>328.75</v>
      </c>
      <c r="CF14" s="32">
        <f t="shared" si="68"/>
        <v>328.75</v>
      </c>
      <c r="CG14" s="32">
        <f t="shared" si="68"/>
        <v>328.75</v>
      </c>
      <c r="CH14" s="32"/>
    </row>
    <row r="15" spans="2:86">
      <c r="B15" s="32" t="s">
        <v>685</v>
      </c>
      <c r="C15" s="32">
        <f>C12/4</f>
        <v>164.375</v>
      </c>
      <c r="D15" s="32">
        <f t="shared" ref="D15:BO15" si="69">D12/4</f>
        <v>164.375</v>
      </c>
      <c r="E15" s="32">
        <f t="shared" si="69"/>
        <v>164.375</v>
      </c>
      <c r="F15" s="32">
        <f t="shared" si="69"/>
        <v>164.375</v>
      </c>
      <c r="G15" s="32">
        <f t="shared" si="69"/>
        <v>164.375</v>
      </c>
      <c r="H15" s="32">
        <f t="shared" si="69"/>
        <v>164.375</v>
      </c>
      <c r="I15" s="32">
        <f t="shared" si="69"/>
        <v>164.375</v>
      </c>
      <c r="J15" s="32">
        <f t="shared" si="69"/>
        <v>164.375</v>
      </c>
      <c r="K15" s="32">
        <f t="shared" si="69"/>
        <v>164.375</v>
      </c>
      <c r="L15" s="32">
        <f t="shared" si="69"/>
        <v>164.375</v>
      </c>
      <c r="M15" s="32">
        <f t="shared" si="69"/>
        <v>164.375</v>
      </c>
      <c r="N15" s="32">
        <f t="shared" si="69"/>
        <v>164.375</v>
      </c>
      <c r="O15" s="32">
        <f t="shared" si="69"/>
        <v>164.375</v>
      </c>
      <c r="P15" s="32">
        <f t="shared" si="69"/>
        <v>164.375</v>
      </c>
      <c r="Q15" s="32">
        <f t="shared" si="69"/>
        <v>164.375</v>
      </c>
      <c r="R15" s="32">
        <f t="shared" si="69"/>
        <v>164.375</v>
      </c>
      <c r="S15" s="32">
        <f t="shared" si="69"/>
        <v>164.375</v>
      </c>
      <c r="T15" s="32">
        <f t="shared" si="69"/>
        <v>164.375</v>
      </c>
      <c r="U15" s="32">
        <f t="shared" si="69"/>
        <v>164.375</v>
      </c>
      <c r="V15" s="32">
        <f t="shared" si="69"/>
        <v>164.375</v>
      </c>
      <c r="W15" s="32">
        <f t="shared" si="69"/>
        <v>164.375</v>
      </c>
      <c r="X15" s="32">
        <f t="shared" si="69"/>
        <v>164.375</v>
      </c>
      <c r="Y15" s="32">
        <f t="shared" si="69"/>
        <v>164.375</v>
      </c>
      <c r="Z15" s="32">
        <f t="shared" si="69"/>
        <v>164.375</v>
      </c>
      <c r="AA15" s="32">
        <f t="shared" si="69"/>
        <v>164.375</v>
      </c>
      <c r="AB15" s="32">
        <f t="shared" si="69"/>
        <v>164.375</v>
      </c>
      <c r="AC15" s="32">
        <f t="shared" si="69"/>
        <v>164.375</v>
      </c>
      <c r="AD15" s="32">
        <f t="shared" si="69"/>
        <v>164.375</v>
      </c>
      <c r="AE15" s="32">
        <f t="shared" si="69"/>
        <v>164.375</v>
      </c>
      <c r="AF15" s="32">
        <f t="shared" si="69"/>
        <v>164.375</v>
      </c>
      <c r="AG15" s="32">
        <f t="shared" si="69"/>
        <v>164.375</v>
      </c>
      <c r="AH15" s="32">
        <f t="shared" si="69"/>
        <v>164.375</v>
      </c>
      <c r="AI15" s="32">
        <f t="shared" si="69"/>
        <v>164.375</v>
      </c>
      <c r="AJ15" s="32">
        <f t="shared" si="69"/>
        <v>164.375</v>
      </c>
      <c r="AK15" s="32">
        <f t="shared" si="69"/>
        <v>164.375</v>
      </c>
      <c r="AL15" s="32">
        <f t="shared" si="69"/>
        <v>164.375</v>
      </c>
      <c r="AM15" s="32">
        <f t="shared" si="69"/>
        <v>164.375</v>
      </c>
      <c r="AN15" s="32">
        <f t="shared" si="69"/>
        <v>164.375</v>
      </c>
      <c r="AO15" s="32">
        <f t="shared" si="69"/>
        <v>164.375</v>
      </c>
      <c r="AP15" s="32">
        <f t="shared" si="69"/>
        <v>164.375</v>
      </c>
      <c r="AQ15" s="32">
        <f t="shared" si="69"/>
        <v>164.375</v>
      </c>
      <c r="AR15" s="32">
        <f t="shared" si="69"/>
        <v>164.375</v>
      </c>
      <c r="AS15" s="32">
        <f t="shared" si="69"/>
        <v>164.375</v>
      </c>
      <c r="AT15" s="32">
        <f t="shared" si="69"/>
        <v>164.375</v>
      </c>
      <c r="AU15" s="32">
        <f t="shared" si="69"/>
        <v>164.375</v>
      </c>
      <c r="AV15" s="32">
        <f t="shared" si="69"/>
        <v>164.375</v>
      </c>
      <c r="AW15" s="32">
        <f t="shared" si="69"/>
        <v>164.375</v>
      </c>
      <c r="AX15" s="32">
        <f t="shared" si="69"/>
        <v>164.375</v>
      </c>
      <c r="AY15" s="32">
        <f t="shared" si="69"/>
        <v>164.375</v>
      </c>
      <c r="AZ15" s="32">
        <f t="shared" si="69"/>
        <v>164.375</v>
      </c>
      <c r="BA15" s="32">
        <f t="shared" si="69"/>
        <v>164.375</v>
      </c>
      <c r="BB15" s="32">
        <f t="shared" si="69"/>
        <v>164.375</v>
      </c>
      <c r="BC15" s="32">
        <f t="shared" si="69"/>
        <v>164.375</v>
      </c>
      <c r="BD15" s="32">
        <f t="shared" si="69"/>
        <v>164.375</v>
      </c>
      <c r="BE15" s="32">
        <f t="shared" si="69"/>
        <v>164.375</v>
      </c>
      <c r="BF15" s="32">
        <f t="shared" si="69"/>
        <v>164.375</v>
      </c>
      <c r="BG15" s="32">
        <f t="shared" si="69"/>
        <v>164.375</v>
      </c>
      <c r="BH15" s="32">
        <f t="shared" si="69"/>
        <v>164.375</v>
      </c>
      <c r="BI15" s="32">
        <f t="shared" si="69"/>
        <v>164.375</v>
      </c>
      <c r="BJ15" s="32">
        <f t="shared" si="69"/>
        <v>164.375</v>
      </c>
      <c r="BK15" s="32">
        <f t="shared" si="69"/>
        <v>164.375</v>
      </c>
      <c r="BL15" s="32">
        <f t="shared" si="69"/>
        <v>164.375</v>
      </c>
      <c r="BM15" s="32">
        <f t="shared" si="69"/>
        <v>164.375</v>
      </c>
      <c r="BN15" s="32">
        <f t="shared" si="69"/>
        <v>164.375</v>
      </c>
      <c r="BO15" s="32">
        <f t="shared" si="69"/>
        <v>164.375</v>
      </c>
      <c r="BP15" s="32">
        <f t="shared" ref="BP15:CG15" si="70">BP12/4</f>
        <v>164.375</v>
      </c>
      <c r="BQ15" s="32">
        <f t="shared" si="70"/>
        <v>164.375</v>
      </c>
      <c r="BR15" s="32">
        <f t="shared" si="70"/>
        <v>164.375</v>
      </c>
      <c r="BS15" s="32">
        <f t="shared" si="70"/>
        <v>164.375</v>
      </c>
      <c r="BT15" s="32">
        <f t="shared" si="70"/>
        <v>164.375</v>
      </c>
      <c r="BU15" s="32">
        <f t="shared" si="70"/>
        <v>164.375</v>
      </c>
      <c r="BV15" s="32">
        <f t="shared" si="70"/>
        <v>164.375</v>
      </c>
      <c r="BW15" s="32">
        <f t="shared" si="70"/>
        <v>164.375</v>
      </c>
      <c r="BX15" s="32">
        <f t="shared" si="70"/>
        <v>164.375</v>
      </c>
      <c r="BY15" s="32">
        <f t="shared" si="70"/>
        <v>164.375</v>
      </c>
      <c r="BZ15" s="32">
        <f t="shared" si="70"/>
        <v>164.375</v>
      </c>
      <c r="CA15" s="32">
        <f t="shared" si="70"/>
        <v>164.375</v>
      </c>
      <c r="CB15" s="32">
        <f t="shared" si="70"/>
        <v>164.375</v>
      </c>
      <c r="CC15" s="32">
        <f t="shared" si="70"/>
        <v>164.375</v>
      </c>
      <c r="CD15" s="32">
        <f t="shared" si="70"/>
        <v>164.375</v>
      </c>
      <c r="CE15" s="32">
        <f t="shared" si="70"/>
        <v>164.375</v>
      </c>
      <c r="CF15" s="32">
        <f t="shared" si="70"/>
        <v>164.375</v>
      </c>
      <c r="CG15" s="32">
        <f t="shared" si="70"/>
        <v>164.375</v>
      </c>
      <c r="CH15" s="32"/>
    </row>
    <row r="16" spans="2:86">
      <c r="B16" s="2" t="s">
        <v>686</v>
      </c>
      <c r="C16" s="2">
        <f t="shared" ref="C16:AH16" si="71">2*C$10*((C$5+C$11*C$6)/C$11)/(SQRT(2)*C7*SIN(C$4))</f>
        <v>15.234970761067105</v>
      </c>
      <c r="D16" s="2">
        <f t="shared" si="71"/>
        <v>7.6557321530458733</v>
      </c>
      <c r="E16" s="2">
        <f t="shared" si="71"/>
        <v>5.1467180561864145</v>
      </c>
      <c r="F16" s="2">
        <f t="shared" si="71"/>
        <v>3.905720451108988</v>
      </c>
      <c r="G16" s="2">
        <f t="shared" si="71"/>
        <v>3.1724617508278126</v>
      </c>
      <c r="H16" s="2">
        <f t="shared" si="71"/>
        <v>2.6936676839890557</v>
      </c>
      <c r="I16" s="2">
        <f t="shared" si="71"/>
        <v>2.360939809202542</v>
      </c>
      <c r="J16" s="2">
        <f t="shared" si="71"/>
        <v>2.1202289948980049</v>
      </c>
      <c r="K16" s="2">
        <f t="shared" si="71"/>
        <v>1.9416659441907334</v>
      </c>
      <c r="L16" s="2">
        <f t="shared" si="71"/>
        <v>1.8075004498688496</v>
      </c>
      <c r="M16" s="2">
        <f t="shared" si="71"/>
        <v>1.7066277184773355</v>
      </c>
      <c r="N16" s="2">
        <f t="shared" si="71"/>
        <v>1.6318620179039776</v>
      </c>
      <c r="O16" s="2">
        <f t="shared" si="71"/>
        <v>1.5784819293848096</v>
      </c>
      <c r="P16" s="2">
        <f t="shared" si="71"/>
        <v>1.5434163076077636</v>
      </c>
      <c r="Q16" s="2">
        <f t="shared" si="71"/>
        <v>1.5247787748487065</v>
      </c>
      <c r="R16" s="2">
        <f t="shared" si="71"/>
        <v>1.5216079926119281</v>
      </c>
      <c r="S16" s="2">
        <f t="shared" si="71"/>
        <v>1.5337432240818207</v>
      </c>
      <c r="T16" s="2">
        <f t="shared" si="71"/>
        <v>1.5618040598612826</v>
      </c>
      <c r="U16" s="2">
        <f t="shared" si="71"/>
        <v>1.6072694099699438</v>
      </c>
      <c r="V16" s="2">
        <f t="shared" si="71"/>
        <v>1.6726751211663053</v>
      </c>
      <c r="W16" s="2">
        <f t="shared" si="71"/>
        <v>1.7619817883771123</v>
      </c>
      <c r="X16" s="2">
        <f t="shared" si="71"/>
        <v>1.8812194790309142</v>
      </c>
      <c r="Y16" s="2">
        <f t="shared" si="71"/>
        <v>2.0396252550685054</v>
      </c>
      <c r="Z16" s="2">
        <f t="shared" si="71"/>
        <v>2.2517277438435874</v>
      </c>
      <c r="AA16" s="2">
        <f t="shared" si="71"/>
        <v>2.5414034697789734</v>
      </c>
      <c r="AB16" s="2">
        <f t="shared" si="71"/>
        <v>2.9504464327955606</v>
      </c>
      <c r="AC16" s="2">
        <f t="shared" si="71"/>
        <v>3.5587992180626369</v>
      </c>
      <c r="AD16" s="2">
        <f t="shared" si="71"/>
        <v>4.5403372712855523</v>
      </c>
      <c r="AE16" s="2">
        <f t="shared" si="71"/>
        <v>6.3572139934048666</v>
      </c>
      <c r="AF16" s="2">
        <f t="shared" si="71"/>
        <v>10.777771377015666</v>
      </c>
      <c r="AG16" s="2">
        <f t="shared" si="71"/>
        <v>29.493232776183557</v>
      </c>
      <c r="AH16" s="2">
        <f t="shared" si="71"/>
        <v>36.57852219242519</v>
      </c>
    </row>
    <row r="17" spans="2:85">
      <c r="B17" s="2" t="s">
        <v>687</v>
      </c>
      <c r="C17" s="2">
        <f t="shared" ref="C17:AH17" si="72">2*C$10*((C$5+C$11*C$6)/C$11)/(SQRT(2)*C9*SIN(C$4))</f>
        <v>9.9974395020541937</v>
      </c>
      <c r="D17" s="2">
        <f t="shared" si="72"/>
        <v>5.0238179150037494</v>
      </c>
      <c r="E17" s="2">
        <f t="shared" si="72"/>
        <v>3.3773614145912307</v>
      </c>
      <c r="F17" s="2">
        <f t="shared" si="72"/>
        <v>2.5629982842948982</v>
      </c>
      <c r="G17" s="2">
        <f t="shared" si="72"/>
        <v>2.0818218114033624</v>
      </c>
      <c r="H17" s="2">
        <f t="shared" si="72"/>
        <v>1.7676292348481524</v>
      </c>
      <c r="I17" s="2">
        <f t="shared" si="72"/>
        <v>1.5492877065975104</v>
      </c>
      <c r="J17" s="2">
        <f t="shared" si="72"/>
        <v>1.3913292935988069</v>
      </c>
      <c r="K17" s="2">
        <f t="shared" si="72"/>
        <v>1.2741532697819327</v>
      </c>
      <c r="L17" s="2">
        <f t="shared" si="72"/>
        <v>1.1861116559329623</v>
      </c>
      <c r="M17" s="2">
        <f t="shared" si="72"/>
        <v>1.1199173031304768</v>
      </c>
      <c r="N17" s="2">
        <f t="shared" si="72"/>
        <v>1.0708548152508817</v>
      </c>
      <c r="O17" s="2">
        <f t="shared" si="72"/>
        <v>1.0358259193012773</v>
      </c>
      <c r="P17" s="2">
        <f t="shared" si="72"/>
        <v>1.0128152789911691</v>
      </c>
      <c r="Q17" s="2">
        <f t="shared" si="72"/>
        <v>1.000585022094163</v>
      </c>
      <c r="R17" s="2">
        <f t="shared" si="72"/>
        <v>0.99850430240762533</v>
      </c>
      <c r="S17" s="2">
        <f t="shared" si="72"/>
        <v>1.0064676417777088</v>
      </c>
      <c r="T17" s="2">
        <f t="shared" si="72"/>
        <v>1.0248816257939537</v>
      </c>
      <c r="U17" s="2">
        <f t="shared" si="72"/>
        <v>1.0547167396435069</v>
      </c>
      <c r="V17" s="2">
        <f t="shared" si="72"/>
        <v>1.0976370478626383</v>
      </c>
      <c r="W17" s="2">
        <f t="shared" si="72"/>
        <v>1.156241558273106</v>
      </c>
      <c r="X17" s="2">
        <f t="shared" si="72"/>
        <v>1.2344873007409793</v>
      </c>
      <c r="Y17" s="2">
        <f t="shared" si="72"/>
        <v>1.3384357879122692</v>
      </c>
      <c r="Z17" s="2">
        <f t="shared" si="72"/>
        <v>1.4776209450760032</v>
      </c>
      <c r="AA17" s="2">
        <f t="shared" si="72"/>
        <v>1.6677109420094667</v>
      </c>
      <c r="AB17" s="2">
        <f t="shared" si="72"/>
        <v>1.9361316919166287</v>
      </c>
      <c r="AC17" s="2">
        <f t="shared" si="72"/>
        <v>2.3353428398734208</v>
      </c>
      <c r="AD17" s="2">
        <f t="shared" si="72"/>
        <v>2.9794443258530907</v>
      </c>
      <c r="AE17" s="2">
        <f t="shared" si="72"/>
        <v>4.1717088465370873</v>
      </c>
      <c r="AF17" s="2">
        <f t="shared" si="72"/>
        <v>7.0725516312798158</v>
      </c>
      <c r="AG17" s="2">
        <f t="shared" si="72"/>
        <v>19.353946589343131</v>
      </c>
      <c r="AH17" s="2">
        <f t="shared" si="72"/>
        <v>24.003430556482634</v>
      </c>
    </row>
    <row r="18" spans="2:85">
      <c r="B18" s="2" t="s">
        <v>688</v>
      </c>
      <c r="C18" s="2">
        <f>2*C10*((C5+C11*C6)/C11)/(SQRT(2)*C9*SIN(PI()/2))</f>
        <v>0.99807854321003453</v>
      </c>
      <c r="D18" s="2">
        <f t="shared" ref="D18:BO18" si="73">2*D10*((D5+D11*D6)/D11)/(SQRT(2)*D9*SIN(PI()/2))</f>
        <v>0.99807854321003453</v>
      </c>
      <c r="E18" s="2">
        <f t="shared" si="73"/>
        <v>0.99807854321003453</v>
      </c>
      <c r="F18" s="2">
        <f t="shared" si="73"/>
        <v>0.99807854321003453</v>
      </c>
      <c r="G18" s="2">
        <f t="shared" si="73"/>
        <v>0.99807854321003453</v>
      </c>
      <c r="H18" s="2">
        <f t="shared" si="73"/>
        <v>0.99807854321003453</v>
      </c>
      <c r="I18" s="2">
        <f t="shared" si="73"/>
        <v>0.99807854321003453</v>
      </c>
      <c r="J18" s="2">
        <f t="shared" si="73"/>
        <v>0.99807854321003453</v>
      </c>
      <c r="K18" s="2">
        <f t="shared" si="73"/>
        <v>0.99807854321003453</v>
      </c>
      <c r="L18" s="2">
        <f t="shared" si="73"/>
        <v>0.99807854321003453</v>
      </c>
      <c r="M18" s="2">
        <f t="shared" si="73"/>
        <v>0.99807854321003453</v>
      </c>
      <c r="N18" s="2">
        <f t="shared" si="73"/>
        <v>0.99807854321003453</v>
      </c>
      <c r="O18" s="2">
        <f t="shared" si="73"/>
        <v>0.99807854321003453</v>
      </c>
      <c r="P18" s="2">
        <f t="shared" si="73"/>
        <v>0.99807854321003453</v>
      </c>
      <c r="Q18" s="2">
        <f t="shared" si="73"/>
        <v>0.99807854321003453</v>
      </c>
      <c r="R18" s="2">
        <f t="shared" si="73"/>
        <v>0.99807854321003453</v>
      </c>
      <c r="S18" s="2">
        <f t="shared" si="73"/>
        <v>0.99807854321003453</v>
      </c>
      <c r="T18" s="2">
        <f t="shared" si="73"/>
        <v>0.99807854321003453</v>
      </c>
      <c r="U18" s="2">
        <f t="shared" si="73"/>
        <v>0.99807854321003453</v>
      </c>
      <c r="V18" s="2">
        <f t="shared" si="73"/>
        <v>0.99807854321003453</v>
      </c>
      <c r="W18" s="2">
        <f t="shared" si="73"/>
        <v>0.99807854321003453</v>
      </c>
      <c r="X18" s="2">
        <f t="shared" si="73"/>
        <v>0.99807854321003453</v>
      </c>
      <c r="Y18" s="2">
        <f t="shared" si="73"/>
        <v>0.99807854321003453</v>
      </c>
      <c r="Z18" s="2">
        <f t="shared" si="73"/>
        <v>0.99807854321003453</v>
      </c>
      <c r="AA18" s="2">
        <f t="shared" si="73"/>
        <v>0.99807854321003453</v>
      </c>
      <c r="AB18" s="2">
        <f t="shared" si="73"/>
        <v>0.99807854321003453</v>
      </c>
      <c r="AC18" s="2">
        <f t="shared" si="73"/>
        <v>0.99807854321003453</v>
      </c>
      <c r="AD18" s="2">
        <f t="shared" si="73"/>
        <v>0.99807854321003453</v>
      </c>
      <c r="AE18" s="2">
        <f t="shared" si="73"/>
        <v>0.99807854321003453</v>
      </c>
      <c r="AF18" s="2">
        <f t="shared" si="73"/>
        <v>0.99807854321003453</v>
      </c>
      <c r="AG18" s="2">
        <f t="shared" si="73"/>
        <v>0.99807854321003453</v>
      </c>
      <c r="AH18" s="2">
        <f t="shared" si="73"/>
        <v>0.99807854321003453</v>
      </c>
      <c r="AI18" s="2">
        <f t="shared" si="73"/>
        <v>0.99807854321003453</v>
      </c>
      <c r="AJ18" s="2">
        <f t="shared" si="73"/>
        <v>0.99807854321003453</v>
      </c>
      <c r="AK18" s="2">
        <f t="shared" si="73"/>
        <v>0.99807854321003453</v>
      </c>
      <c r="AL18" s="2">
        <f t="shared" si="73"/>
        <v>0.99807854321003453</v>
      </c>
      <c r="AM18" s="2">
        <f t="shared" si="73"/>
        <v>0.99807854321003453</v>
      </c>
      <c r="AN18" s="2">
        <f t="shared" si="73"/>
        <v>0.99807854321003453</v>
      </c>
      <c r="AO18" s="2">
        <f t="shared" si="73"/>
        <v>0.99807854321003453</v>
      </c>
      <c r="AP18" s="2">
        <f t="shared" si="73"/>
        <v>0.99807854321003453</v>
      </c>
      <c r="AQ18" s="2">
        <f t="shared" si="73"/>
        <v>0.99807854321003453</v>
      </c>
      <c r="AR18" s="2">
        <f t="shared" si="73"/>
        <v>0.99807854321003453</v>
      </c>
      <c r="AS18" s="2">
        <f t="shared" si="73"/>
        <v>0.99807854321003453</v>
      </c>
      <c r="AT18" s="2">
        <f t="shared" si="73"/>
        <v>0.99807854321003453</v>
      </c>
      <c r="AU18" s="2">
        <f t="shared" si="73"/>
        <v>0.99807854321003453</v>
      </c>
      <c r="AV18" s="2">
        <f t="shared" si="73"/>
        <v>0.99807854321003453</v>
      </c>
      <c r="AW18" s="2">
        <f t="shared" si="73"/>
        <v>0.99807854321003453</v>
      </c>
      <c r="AX18" s="2">
        <f t="shared" si="73"/>
        <v>0.99807854321003453</v>
      </c>
      <c r="AY18" s="2">
        <f t="shared" si="73"/>
        <v>0.99807854321003453</v>
      </c>
      <c r="AZ18" s="2">
        <f t="shared" si="73"/>
        <v>0.99807854321003453</v>
      </c>
      <c r="BA18" s="2">
        <f t="shared" si="73"/>
        <v>0.99807854321003453</v>
      </c>
      <c r="BB18" s="2">
        <f t="shared" si="73"/>
        <v>0.99807854321003453</v>
      </c>
      <c r="BC18" s="2">
        <f t="shared" si="73"/>
        <v>0.99807854321003453</v>
      </c>
      <c r="BD18" s="2">
        <f t="shared" si="73"/>
        <v>0.99807854321003453</v>
      </c>
      <c r="BE18" s="2">
        <f t="shared" si="73"/>
        <v>0.99807854321003453</v>
      </c>
      <c r="BF18" s="2">
        <f t="shared" si="73"/>
        <v>0.99807854321003453</v>
      </c>
      <c r="BG18" s="2">
        <f t="shared" si="73"/>
        <v>0.99807854321003453</v>
      </c>
      <c r="BH18" s="2">
        <f t="shared" si="73"/>
        <v>0.99807854321003453</v>
      </c>
      <c r="BI18" s="2">
        <f t="shared" si="73"/>
        <v>0.99807854321003453</v>
      </c>
      <c r="BJ18" s="2">
        <f t="shared" si="73"/>
        <v>0.99807854321003453</v>
      </c>
      <c r="BK18" s="2">
        <f t="shared" si="73"/>
        <v>0.99807854321003453</v>
      </c>
      <c r="BL18" s="2">
        <f t="shared" si="73"/>
        <v>0.99807854321003453</v>
      </c>
      <c r="BM18" s="2">
        <f t="shared" si="73"/>
        <v>0.99807854321003453</v>
      </c>
      <c r="BN18" s="2">
        <f t="shared" si="73"/>
        <v>0.99807854321003453</v>
      </c>
      <c r="BO18" s="2">
        <f t="shared" si="73"/>
        <v>0.99807854321003453</v>
      </c>
      <c r="BP18" s="2">
        <f t="shared" ref="BP18:CG18" si="74">2*BP10*((BP5+BP11*BP6)/BP11)/(SQRT(2)*BP9*SIN(PI()/2))</f>
        <v>0.99807854321003453</v>
      </c>
      <c r="BQ18" s="2">
        <f t="shared" si="74"/>
        <v>0.99807854321003453</v>
      </c>
      <c r="BR18" s="2">
        <f t="shared" si="74"/>
        <v>0.99807854321003453</v>
      </c>
      <c r="BS18" s="2">
        <f t="shared" si="74"/>
        <v>0.99807854321003453</v>
      </c>
      <c r="BT18" s="2">
        <f t="shared" si="74"/>
        <v>0.99807854321003453</v>
      </c>
      <c r="BU18" s="2">
        <f t="shared" si="74"/>
        <v>0.99807854321003453</v>
      </c>
      <c r="BV18" s="2">
        <f t="shared" si="74"/>
        <v>0.99807854321003453</v>
      </c>
      <c r="BW18" s="2">
        <f t="shared" si="74"/>
        <v>0.99807854321003453</v>
      </c>
      <c r="BX18" s="2">
        <f t="shared" si="74"/>
        <v>0.99807854321003453</v>
      </c>
      <c r="BY18" s="2">
        <f t="shared" si="74"/>
        <v>0.99807854321003453</v>
      </c>
      <c r="BZ18" s="2">
        <f t="shared" si="74"/>
        <v>0.99807854321003453</v>
      </c>
      <c r="CA18" s="2">
        <f t="shared" si="74"/>
        <v>0.99807854321003453</v>
      </c>
      <c r="CB18" s="2">
        <f t="shared" si="74"/>
        <v>0.99807854321003453</v>
      </c>
      <c r="CC18" s="2">
        <f t="shared" si="74"/>
        <v>0.99807854321003453</v>
      </c>
      <c r="CD18" s="2">
        <f t="shared" si="74"/>
        <v>0.99807854321003453</v>
      </c>
      <c r="CE18" s="2">
        <f t="shared" si="74"/>
        <v>0.99807854321003453</v>
      </c>
      <c r="CF18" s="2">
        <f t="shared" si="74"/>
        <v>0.99807854321003453</v>
      </c>
      <c r="CG18" s="2">
        <f t="shared" si="74"/>
        <v>0.99807854321003453</v>
      </c>
    </row>
    <row r="19" spans="2:85">
      <c r="B19" s="2" t="s">
        <v>689</v>
      </c>
      <c r="C19" s="2">
        <f>2*C12*(SIN(C4))^2</f>
        <v>13.106225069383628</v>
      </c>
      <c r="D19" s="2">
        <f t="shared" ref="D19:AH19" si="75">2*D12*(SIN(D4))^2</f>
        <v>51.902396443103051</v>
      </c>
      <c r="E19" s="2">
        <f t="shared" si="75"/>
        <v>114.8418331968865</v>
      </c>
      <c r="F19" s="2">
        <f t="shared" si="75"/>
        <v>199.41533860423877</v>
      </c>
      <c r="G19" s="2">
        <f t="shared" si="75"/>
        <v>302.25123389169812</v>
      </c>
      <c r="H19" s="2">
        <f t="shared" si="75"/>
        <v>419.24977643158718</v>
      </c>
      <c r="I19" s="2">
        <f t="shared" si="75"/>
        <v>545.74660354309151</v>
      </c>
      <c r="J19" s="2">
        <f t="shared" si="75"/>
        <v>676.69868591309739</v>
      </c>
      <c r="K19" s="2">
        <f t="shared" si="75"/>
        <v>806.88537726070479</v>
      </c>
      <c r="L19" s="2">
        <f t="shared" si="75"/>
        <v>931.11654502974613</v>
      </c>
      <c r="M19" s="2">
        <f t="shared" si="75"/>
        <v>1044.43948459539</v>
      </c>
      <c r="N19" s="2">
        <f t="shared" si="75"/>
        <v>1142.3363679683689</v>
      </c>
      <c r="O19" s="2">
        <f t="shared" si="75"/>
        <v>1220.9043553400829</v>
      </c>
      <c r="P19" s="2">
        <f t="shared" si="75"/>
        <v>1277.0111889896427</v>
      </c>
      <c r="Q19" s="2">
        <f t="shared" si="75"/>
        <v>1308.4200665147928</v>
      </c>
      <c r="R19" s="2">
        <f t="shared" si="75"/>
        <v>1313.8788150850501</v>
      </c>
      <c r="S19" s="2">
        <f t="shared" si="75"/>
        <v>1293.1698116209955</v>
      </c>
      <c r="T19" s="2">
        <f t="shared" si="75"/>
        <v>1247.1186587397017</v>
      </c>
      <c r="U19" s="2">
        <f t="shared" si="75"/>
        <v>1177.5612705837291</v>
      </c>
      <c r="V19" s="2">
        <f t="shared" si="75"/>
        <v>1087.2706807178249</v>
      </c>
      <c r="W19" s="2">
        <f t="shared" si="75"/>
        <v>979.8464900315098</v>
      </c>
      <c r="X19" s="2">
        <f t="shared" si="75"/>
        <v>859.57136201081084</v>
      </c>
      <c r="Y19" s="2">
        <f t="shared" si="75"/>
        <v>731.24028645979854</v>
      </c>
      <c r="Z19" s="2">
        <f t="shared" si="75"/>
        <v>599.96941838856389</v>
      </c>
      <c r="AA19" s="2">
        <f t="shared" si="75"/>
        <v>470.99211305792886</v>
      </c>
      <c r="AB19" s="2">
        <f t="shared" si="75"/>
        <v>349.45028862000203</v>
      </c>
      <c r="AC19" s="2">
        <f t="shared" si="75"/>
        <v>240.18943406771774</v>
      </c>
      <c r="AD19" s="2">
        <f t="shared" si="75"/>
        <v>147.56543487951092</v>
      </c>
      <c r="AE19" s="2">
        <f t="shared" si="75"/>
        <v>75.270917611082822</v>
      </c>
      <c r="AF19" s="2">
        <f t="shared" si="75"/>
        <v>26.188036527384341</v>
      </c>
      <c r="AG19" s="2">
        <f t="shared" si="75"/>
        <v>3.4971649316722297</v>
      </c>
      <c r="AH19" s="2">
        <f t="shared" si="75"/>
        <v>2.2735712072345002</v>
      </c>
    </row>
    <row r="20" spans="2:85">
      <c r="B20" s="2" t="s">
        <v>690</v>
      </c>
      <c r="C20" s="2">
        <f>2*C13*(SIN(C4))^2</f>
        <v>9.8296688020377214</v>
      </c>
      <c r="D20" s="2">
        <f t="shared" ref="D20:M20" si="76">2*D13*(SIN(D4))^2</f>
        <v>38.92679733232729</v>
      </c>
      <c r="E20" s="2">
        <f t="shared" si="76"/>
        <v>86.13137489766487</v>
      </c>
      <c r="F20" s="2">
        <f t="shared" si="76"/>
        <v>149.56150395317906</v>
      </c>
      <c r="G20" s="2">
        <f t="shared" si="76"/>
        <v>226.68842541877362</v>
      </c>
      <c r="H20" s="2">
        <f t="shared" si="76"/>
        <v>314.43733232369038</v>
      </c>
      <c r="I20" s="2">
        <f t="shared" si="76"/>
        <v>409.3099526573186</v>
      </c>
      <c r="J20" s="2">
        <f t="shared" si="76"/>
        <v>507.52401443482307</v>
      </c>
      <c r="K20" s="2">
        <f t="shared" si="76"/>
        <v>605.16403294552856</v>
      </c>
      <c r="L20" s="2">
        <f t="shared" si="76"/>
        <v>698.33740877230957</v>
      </c>
      <c r="M20" s="2">
        <f t="shared" si="76"/>
        <v>783.32961344654257</v>
      </c>
      <c r="N20" s="2">
        <f t="shared" ref="N20:AH20" si="77">2*N13*(SIN(N4))^2</f>
        <v>856.75227597627656</v>
      </c>
      <c r="O20" s="2">
        <f t="shared" si="77"/>
        <v>915.6782665050622</v>
      </c>
      <c r="P20" s="2">
        <f t="shared" si="77"/>
        <v>957.75839174223199</v>
      </c>
      <c r="Q20" s="2">
        <f t="shared" si="77"/>
        <v>981.3150498860947</v>
      </c>
      <c r="R20" s="2">
        <f t="shared" si="77"/>
        <v>985.40911131378755</v>
      </c>
      <c r="S20" s="2">
        <f t="shared" si="77"/>
        <v>969.8773587157466</v>
      </c>
      <c r="T20" s="2">
        <f t="shared" si="77"/>
        <v>935.33899405477621</v>
      </c>
      <c r="U20" s="2">
        <f t="shared" si="77"/>
        <v>883.17095293779676</v>
      </c>
      <c r="V20" s="2">
        <f t="shared" si="77"/>
        <v>815.45301053836874</v>
      </c>
      <c r="W20" s="2">
        <f t="shared" si="77"/>
        <v>734.88486752363235</v>
      </c>
      <c r="X20" s="2">
        <f t="shared" si="77"/>
        <v>644.67852150810813</v>
      </c>
      <c r="Y20" s="2">
        <f t="shared" si="77"/>
        <v>548.43021484484882</v>
      </c>
      <c r="Z20" s="2">
        <f t="shared" si="77"/>
        <v>449.97706379142295</v>
      </c>
      <c r="AA20" s="2">
        <f t="shared" si="77"/>
        <v>353.24408479344663</v>
      </c>
      <c r="AB20" s="2">
        <f t="shared" si="77"/>
        <v>262.08771646500156</v>
      </c>
      <c r="AC20" s="2">
        <f t="shared" si="77"/>
        <v>180.14207555078829</v>
      </c>
      <c r="AD20" s="2">
        <f t="shared" si="77"/>
        <v>110.67407615963319</v>
      </c>
      <c r="AE20" s="2">
        <f t="shared" si="77"/>
        <v>56.453188208312113</v>
      </c>
      <c r="AF20" s="2">
        <f t="shared" si="77"/>
        <v>19.641027395538256</v>
      </c>
      <c r="AG20" s="2">
        <f t="shared" si="77"/>
        <v>2.6228736987541725</v>
      </c>
      <c r="AH20" s="2">
        <f t="shared" si="77"/>
        <v>1.7051784054258752</v>
      </c>
    </row>
    <row r="21" spans="2:85">
      <c r="B21" s="2" t="s">
        <v>691</v>
      </c>
      <c r="C21" s="2">
        <f>2*C14*(SIN(C4))^2</f>
        <v>6.553112534691814</v>
      </c>
      <c r="D21" s="2">
        <f t="shared" ref="D21:M21" si="78">2*D14*(SIN(D4))^2</f>
        <v>25.951198221551525</v>
      </c>
      <c r="E21" s="2">
        <f t="shared" si="78"/>
        <v>57.420916598443249</v>
      </c>
      <c r="F21" s="2">
        <f t="shared" si="78"/>
        <v>99.707669302119385</v>
      </c>
      <c r="G21" s="2">
        <f t="shared" si="78"/>
        <v>151.12561694584906</v>
      </c>
      <c r="H21" s="2">
        <f t="shared" si="78"/>
        <v>209.62488821579359</v>
      </c>
      <c r="I21" s="2">
        <f t="shared" si="78"/>
        <v>272.87330177154575</v>
      </c>
      <c r="J21" s="2">
        <f t="shared" si="78"/>
        <v>338.3493429565487</v>
      </c>
      <c r="K21" s="2">
        <f t="shared" si="78"/>
        <v>403.44268863035239</v>
      </c>
      <c r="L21" s="2">
        <f t="shared" si="78"/>
        <v>465.55827251487307</v>
      </c>
      <c r="M21" s="2">
        <f t="shared" si="78"/>
        <v>522.21974229769501</v>
      </c>
      <c r="N21" s="2">
        <f t="shared" ref="N21:AH21" si="79">2*N14*(SIN(N4))^2</f>
        <v>571.16818398418445</v>
      </c>
      <c r="O21" s="2">
        <f t="shared" si="79"/>
        <v>610.45217767004146</v>
      </c>
      <c r="P21" s="2">
        <f t="shared" si="79"/>
        <v>638.50559449482137</v>
      </c>
      <c r="Q21" s="2">
        <f t="shared" si="79"/>
        <v>654.21003325739639</v>
      </c>
      <c r="R21" s="2">
        <f t="shared" si="79"/>
        <v>656.93940754252503</v>
      </c>
      <c r="S21" s="2">
        <f t="shared" si="79"/>
        <v>646.58490581049773</v>
      </c>
      <c r="T21" s="2">
        <f t="shared" si="79"/>
        <v>623.55932936985084</v>
      </c>
      <c r="U21" s="2">
        <f t="shared" si="79"/>
        <v>588.78063529186454</v>
      </c>
      <c r="V21" s="2">
        <f t="shared" si="79"/>
        <v>543.63534035891246</v>
      </c>
      <c r="W21" s="2">
        <f t="shared" si="79"/>
        <v>489.9232450157549</v>
      </c>
      <c r="X21" s="2">
        <f t="shared" si="79"/>
        <v>429.78568100540542</v>
      </c>
      <c r="Y21" s="2">
        <f t="shared" si="79"/>
        <v>365.62014322989927</v>
      </c>
      <c r="Z21" s="2">
        <f t="shared" si="79"/>
        <v>299.98470919428195</v>
      </c>
      <c r="AA21" s="2">
        <f t="shared" si="79"/>
        <v>235.49605652896443</v>
      </c>
      <c r="AB21" s="2">
        <f t="shared" si="79"/>
        <v>174.72514431000101</v>
      </c>
      <c r="AC21" s="2">
        <f t="shared" si="79"/>
        <v>120.09471703385887</v>
      </c>
      <c r="AD21" s="2">
        <f t="shared" si="79"/>
        <v>73.782717439755459</v>
      </c>
      <c r="AE21" s="2">
        <f t="shared" si="79"/>
        <v>37.635458805541411</v>
      </c>
      <c r="AF21" s="2">
        <f t="shared" si="79"/>
        <v>13.09401826369217</v>
      </c>
      <c r="AG21" s="2">
        <f t="shared" si="79"/>
        <v>1.7485824658361149</v>
      </c>
      <c r="AH21" s="2">
        <f t="shared" si="79"/>
        <v>1.1367856036172501</v>
      </c>
    </row>
    <row r="22" spans="2:85">
      <c r="B22" s="2" t="s">
        <v>692</v>
      </c>
      <c r="C22" s="2">
        <f>2*C15*(SIN(C4))^2</f>
        <v>3.276556267345907</v>
      </c>
      <c r="D22" s="2">
        <f t="shared" ref="D22:M22" si="80">2*D15*(SIN(D4))^2</f>
        <v>12.975599110775763</v>
      </c>
      <c r="E22" s="2">
        <f t="shared" si="80"/>
        <v>28.710458299221624</v>
      </c>
      <c r="F22" s="2">
        <f t="shared" si="80"/>
        <v>49.853834651059692</v>
      </c>
      <c r="G22" s="2">
        <f t="shared" si="80"/>
        <v>75.56280847292453</v>
      </c>
      <c r="H22" s="2">
        <f t="shared" si="80"/>
        <v>104.81244410789679</v>
      </c>
      <c r="I22" s="2">
        <f t="shared" si="80"/>
        <v>136.43665088577288</v>
      </c>
      <c r="J22" s="2">
        <f t="shared" si="80"/>
        <v>169.17467147827435</v>
      </c>
      <c r="K22" s="2">
        <f t="shared" si="80"/>
        <v>201.7213443151762</v>
      </c>
      <c r="L22" s="2">
        <f t="shared" si="80"/>
        <v>232.77913625743653</v>
      </c>
      <c r="M22" s="2">
        <f t="shared" si="80"/>
        <v>261.1098711488475</v>
      </c>
      <c r="N22" s="2">
        <f t="shared" ref="N22:AH22" si="81">2*N15*(SIN(N4))^2</f>
        <v>285.58409199209223</v>
      </c>
      <c r="O22" s="2">
        <f t="shared" si="81"/>
        <v>305.22608883502073</v>
      </c>
      <c r="P22" s="2">
        <f t="shared" si="81"/>
        <v>319.25279724741068</v>
      </c>
      <c r="Q22" s="2">
        <f t="shared" si="81"/>
        <v>327.10501662869819</v>
      </c>
      <c r="R22" s="2">
        <f t="shared" si="81"/>
        <v>328.46970377126252</v>
      </c>
      <c r="S22" s="2">
        <f t="shared" si="81"/>
        <v>323.29245290524887</v>
      </c>
      <c r="T22" s="2">
        <f t="shared" si="81"/>
        <v>311.77966468492542</v>
      </c>
      <c r="U22" s="2">
        <f t="shared" si="81"/>
        <v>294.39031764593227</v>
      </c>
      <c r="V22" s="2">
        <f t="shared" si="81"/>
        <v>271.81767017945623</v>
      </c>
      <c r="W22" s="2">
        <f t="shared" si="81"/>
        <v>244.96162250787745</v>
      </c>
      <c r="X22" s="2">
        <f t="shared" si="81"/>
        <v>214.89284050270271</v>
      </c>
      <c r="Y22" s="2">
        <f t="shared" si="81"/>
        <v>182.81007161494963</v>
      </c>
      <c r="Z22" s="2">
        <f t="shared" si="81"/>
        <v>149.99235459714097</v>
      </c>
      <c r="AA22" s="2">
        <f t="shared" si="81"/>
        <v>117.74802826448222</v>
      </c>
      <c r="AB22" s="2">
        <f t="shared" si="81"/>
        <v>87.362572155000507</v>
      </c>
      <c r="AC22" s="2">
        <f t="shared" si="81"/>
        <v>60.047358516929435</v>
      </c>
      <c r="AD22" s="2">
        <f t="shared" si="81"/>
        <v>36.891358719877729</v>
      </c>
      <c r="AE22" s="2">
        <f t="shared" si="81"/>
        <v>18.817729402770706</v>
      </c>
      <c r="AF22" s="2">
        <f t="shared" si="81"/>
        <v>6.5470091318460852</v>
      </c>
      <c r="AG22" s="2">
        <f t="shared" si="81"/>
        <v>0.87429123291805744</v>
      </c>
      <c r="AH22" s="2">
        <f t="shared" si="81"/>
        <v>0.56839280180862506</v>
      </c>
    </row>
    <row r="23" spans="2:85">
      <c r="B23" s="2" t="s">
        <v>152</v>
      </c>
      <c r="C23" s="2">
        <f>'Res. Tank Design'!$D$50</f>
        <v>0.45833333333333331</v>
      </c>
      <c r="D23" s="2">
        <f>'Res. Tank Design'!$D$50</f>
        <v>0.45833333333333331</v>
      </c>
      <c r="E23" s="2">
        <f>'Res. Tank Design'!$D$50</f>
        <v>0.45833333333333331</v>
      </c>
      <c r="F23" s="2">
        <f>'Res. Tank Design'!$D$50</f>
        <v>0.45833333333333331</v>
      </c>
      <c r="G23" s="2">
        <f>'Res. Tank Design'!$D$50</f>
        <v>0.45833333333333331</v>
      </c>
      <c r="H23" s="2">
        <f>'Res. Tank Design'!$D$50</f>
        <v>0.45833333333333331</v>
      </c>
      <c r="I23" s="2">
        <f>'Res. Tank Design'!$D$50</f>
        <v>0.45833333333333331</v>
      </c>
      <c r="J23" s="2">
        <f>'Res. Tank Design'!$D$50</f>
        <v>0.45833333333333331</v>
      </c>
      <c r="K23" s="2">
        <f>'Res. Tank Design'!$D$50</f>
        <v>0.45833333333333331</v>
      </c>
      <c r="L23" s="2">
        <f>'Res. Tank Design'!$D$50</f>
        <v>0.45833333333333331</v>
      </c>
      <c r="M23" s="2">
        <f>'Res. Tank Design'!$D$50</f>
        <v>0.45833333333333331</v>
      </c>
      <c r="N23" s="2">
        <f>'Res. Tank Design'!$D$50</f>
        <v>0.45833333333333331</v>
      </c>
      <c r="O23" s="2">
        <f>'Res. Tank Design'!$D$50</f>
        <v>0.45833333333333331</v>
      </c>
      <c r="P23" s="2">
        <f>'Res. Tank Design'!$D$50</f>
        <v>0.45833333333333331</v>
      </c>
      <c r="Q23" s="2">
        <f>'Res. Tank Design'!$D$50</f>
        <v>0.45833333333333331</v>
      </c>
      <c r="R23" s="2">
        <f>'Res. Tank Design'!$D$50</f>
        <v>0.45833333333333331</v>
      </c>
      <c r="S23" s="2">
        <f>'Res. Tank Design'!$D$50</f>
        <v>0.45833333333333331</v>
      </c>
      <c r="T23" s="2">
        <f>'Res. Tank Design'!$D$50</f>
        <v>0.45833333333333331</v>
      </c>
      <c r="U23" s="2">
        <f>'Res. Tank Design'!$D$50</f>
        <v>0.45833333333333331</v>
      </c>
      <c r="V23" s="2">
        <f>'Res. Tank Design'!$D$50</f>
        <v>0.45833333333333331</v>
      </c>
      <c r="W23" s="2">
        <f>'Res. Tank Design'!$D$50</f>
        <v>0.45833333333333331</v>
      </c>
      <c r="X23" s="2">
        <f>'Res. Tank Design'!$D$50</f>
        <v>0.45833333333333331</v>
      </c>
      <c r="Y23" s="2">
        <f>'Res. Tank Design'!$D$50</f>
        <v>0.45833333333333331</v>
      </c>
      <c r="Z23" s="2">
        <f>'Res. Tank Design'!$D$50</f>
        <v>0.45833333333333331</v>
      </c>
      <c r="AA23" s="2">
        <f>'Res. Tank Design'!$D$50</f>
        <v>0.45833333333333331</v>
      </c>
      <c r="AB23" s="2">
        <f>'Res. Tank Design'!$D$50</f>
        <v>0.45833333333333331</v>
      </c>
      <c r="AC23" s="2">
        <f>'Res. Tank Design'!$D$50</f>
        <v>0.45833333333333331</v>
      </c>
      <c r="AD23" s="2">
        <f>'Res. Tank Design'!$D$50</f>
        <v>0.45833333333333331</v>
      </c>
      <c r="AE23" s="2">
        <f>'Res. Tank Design'!$D$50</f>
        <v>0.45833333333333331</v>
      </c>
      <c r="AF23" s="2">
        <f>'Res. Tank Design'!$D$50</f>
        <v>0.45833333333333331</v>
      </c>
      <c r="AG23" s="2">
        <f>'Res. Tank Design'!$D$50</f>
        <v>0.45833333333333331</v>
      </c>
      <c r="AH23" s="2">
        <f>'Res. Tank Design'!$D$50</f>
        <v>0.45833333333333331</v>
      </c>
      <c r="AI23" s="2">
        <f>'Res. Tank Design'!$D$50</f>
        <v>0.45833333333333331</v>
      </c>
      <c r="AJ23" s="2">
        <f>'Res. Tank Design'!$D$50</f>
        <v>0.45833333333333331</v>
      </c>
      <c r="AK23" s="2">
        <f>'Res. Tank Design'!$D$50</f>
        <v>0.45833333333333331</v>
      </c>
      <c r="AL23" s="2">
        <f>'Res. Tank Design'!$D$50</f>
        <v>0.45833333333333331</v>
      </c>
      <c r="AM23" s="2">
        <f>'Res. Tank Design'!$D$50</f>
        <v>0.45833333333333331</v>
      </c>
      <c r="AN23" s="2">
        <f>'Res. Tank Design'!$D$50</f>
        <v>0.45833333333333331</v>
      </c>
      <c r="AO23" s="2">
        <f>'Res. Tank Design'!$D$50</f>
        <v>0.45833333333333331</v>
      </c>
      <c r="AP23" s="2">
        <f>'Res. Tank Design'!$D$50</f>
        <v>0.45833333333333331</v>
      </c>
      <c r="AQ23" s="2">
        <f>'Res. Tank Design'!$D$50</f>
        <v>0.45833333333333331</v>
      </c>
      <c r="AR23" s="2">
        <f>'Res. Tank Design'!$D$50</f>
        <v>0.45833333333333331</v>
      </c>
      <c r="AS23" s="2">
        <f>'Res. Tank Design'!$D$50</f>
        <v>0.45833333333333331</v>
      </c>
      <c r="AT23" s="2">
        <f>'Res. Tank Design'!$D$50</f>
        <v>0.45833333333333331</v>
      </c>
      <c r="AU23" s="2">
        <f>'Res. Tank Design'!$D$50</f>
        <v>0.45833333333333331</v>
      </c>
      <c r="AV23" s="2">
        <f>'Res. Tank Design'!$D$50</f>
        <v>0.45833333333333331</v>
      </c>
      <c r="AW23" s="2">
        <f>'Res. Tank Design'!$D$50</f>
        <v>0.45833333333333331</v>
      </c>
      <c r="AX23" s="2">
        <f>'Res. Tank Design'!$D$50</f>
        <v>0.45833333333333331</v>
      </c>
      <c r="AY23" s="2">
        <f>'Res. Tank Design'!$D$50</f>
        <v>0.45833333333333331</v>
      </c>
      <c r="AZ23" s="2">
        <f>'Res. Tank Design'!$D$50</f>
        <v>0.45833333333333331</v>
      </c>
      <c r="BA23" s="2">
        <f>'Res. Tank Design'!$D$50</f>
        <v>0.45833333333333331</v>
      </c>
      <c r="BB23" s="2">
        <f>'Res. Tank Design'!$D$50</f>
        <v>0.45833333333333331</v>
      </c>
      <c r="BC23" s="2">
        <f>'Res. Tank Design'!$D$50</f>
        <v>0.45833333333333331</v>
      </c>
      <c r="BD23" s="2">
        <f>'Res. Tank Design'!$D$50</f>
        <v>0.45833333333333331</v>
      </c>
      <c r="BE23" s="2">
        <f>'Res. Tank Design'!$D$50</f>
        <v>0.45833333333333331</v>
      </c>
      <c r="BF23" s="2">
        <f>'Res. Tank Design'!$D$50</f>
        <v>0.45833333333333331</v>
      </c>
      <c r="BG23" s="2">
        <f>'Res. Tank Design'!$D$50</f>
        <v>0.45833333333333331</v>
      </c>
      <c r="BH23" s="2">
        <f>'Res. Tank Design'!$D$50</f>
        <v>0.45833333333333331</v>
      </c>
      <c r="BI23" s="2">
        <f>'Res. Tank Design'!$D$50</f>
        <v>0.45833333333333331</v>
      </c>
      <c r="BJ23" s="2">
        <f>'Res. Tank Design'!$D$50</f>
        <v>0.45833333333333331</v>
      </c>
      <c r="BK23" s="2">
        <f>'Res. Tank Design'!$D$50</f>
        <v>0.45833333333333331</v>
      </c>
      <c r="BL23" s="2">
        <f>'Res. Tank Design'!$D$50</f>
        <v>0.45833333333333331</v>
      </c>
      <c r="BM23" s="2">
        <f>'Res. Tank Design'!$D$50</f>
        <v>0.45833333333333331</v>
      </c>
      <c r="BN23" s="2">
        <f>'Res. Tank Design'!$D$50</f>
        <v>0.45833333333333331</v>
      </c>
      <c r="BO23" s="2">
        <f>'Res. Tank Design'!$D$50</f>
        <v>0.45833333333333331</v>
      </c>
      <c r="BP23" s="2">
        <f>'Res. Tank Design'!$D$50</f>
        <v>0.45833333333333331</v>
      </c>
      <c r="BQ23" s="2">
        <f>'Res. Tank Design'!$D$50</f>
        <v>0.45833333333333331</v>
      </c>
      <c r="BR23" s="2">
        <f>'Res. Tank Design'!$D$50</f>
        <v>0.45833333333333331</v>
      </c>
      <c r="BS23" s="2">
        <f>'Res. Tank Design'!$D$50</f>
        <v>0.45833333333333331</v>
      </c>
      <c r="BT23" s="2">
        <f>'Res. Tank Design'!$D$50</f>
        <v>0.45833333333333331</v>
      </c>
      <c r="BU23" s="2">
        <f>'Res. Tank Design'!$D$50</f>
        <v>0.45833333333333331</v>
      </c>
      <c r="BV23" s="2">
        <f>'Res. Tank Design'!$D$50</f>
        <v>0.45833333333333331</v>
      </c>
      <c r="BW23" s="2">
        <f>'Res. Tank Design'!$D$50</f>
        <v>0.45833333333333331</v>
      </c>
      <c r="BX23" s="2">
        <f>'Res. Tank Design'!$D$50</f>
        <v>0.45833333333333331</v>
      </c>
      <c r="BY23" s="2">
        <f>'Res. Tank Design'!$D$50</f>
        <v>0.45833333333333331</v>
      </c>
      <c r="BZ23" s="2">
        <f>'Res. Tank Design'!$D$50</f>
        <v>0.45833333333333331</v>
      </c>
      <c r="CA23" s="2">
        <f>'Res. Tank Design'!$D$50</f>
        <v>0.45833333333333331</v>
      </c>
      <c r="CB23" s="2">
        <f>'Res. Tank Design'!$D$50</f>
        <v>0.45833333333333331</v>
      </c>
      <c r="CC23" s="2">
        <f>'Res. Tank Design'!$D$50</f>
        <v>0.45833333333333331</v>
      </c>
      <c r="CD23" s="2">
        <f>'Res. Tank Design'!$D$50</f>
        <v>0.45833333333333331</v>
      </c>
      <c r="CE23" s="2">
        <f>'Res. Tank Design'!$D$50</f>
        <v>0.45833333333333331</v>
      </c>
      <c r="CF23" s="2">
        <f>'Res. Tank Design'!$D$50</f>
        <v>0.45833333333333331</v>
      </c>
      <c r="CG23" s="2">
        <f>'Res. Tank Design'!$D$50</f>
        <v>0.45833333333333331</v>
      </c>
    </row>
    <row r="24" spans="2:85">
      <c r="B24" s="2" t="s">
        <v>693</v>
      </c>
      <c r="C24" s="2">
        <f>'Res. Tank Design'!$D$56/'Res. Tank Design'!$D$55</f>
        <v>0.56061191058138804</v>
      </c>
      <c r="D24" s="2">
        <f>'Res. Tank Design'!$D$56/'Res. Tank Design'!$D$55</f>
        <v>0.56061191058138804</v>
      </c>
      <c r="E24" s="2">
        <f>'Res. Tank Design'!$D$56/'Res. Tank Design'!$D$55</f>
        <v>0.56061191058138804</v>
      </c>
      <c r="F24" s="2">
        <f>'Res. Tank Design'!$D$56/'Res. Tank Design'!$D$55</f>
        <v>0.56061191058138804</v>
      </c>
      <c r="G24" s="2">
        <f>'Res. Tank Design'!$D$56/'Res. Tank Design'!$D$55</f>
        <v>0.56061191058138804</v>
      </c>
      <c r="H24" s="2">
        <f>'Res. Tank Design'!$D$56/'Res. Tank Design'!$D$55</f>
        <v>0.56061191058138804</v>
      </c>
      <c r="I24" s="2">
        <f>'Res. Tank Design'!$D$56/'Res. Tank Design'!$D$55</f>
        <v>0.56061191058138804</v>
      </c>
      <c r="J24" s="2">
        <f>'Res. Tank Design'!$D$56/'Res. Tank Design'!$D$55</f>
        <v>0.56061191058138804</v>
      </c>
      <c r="K24" s="2">
        <f>'Res. Tank Design'!$D$56/'Res. Tank Design'!$D$55</f>
        <v>0.56061191058138804</v>
      </c>
      <c r="L24" s="2">
        <f>'Res. Tank Design'!$D$56/'Res. Tank Design'!$D$55</f>
        <v>0.56061191058138804</v>
      </c>
      <c r="M24" s="2">
        <f>'Res. Tank Design'!$D$56/'Res. Tank Design'!$D$55</f>
        <v>0.56061191058138804</v>
      </c>
      <c r="N24" s="2">
        <f>'Res. Tank Design'!$D$56/'Res. Tank Design'!$D$55</f>
        <v>0.56061191058138804</v>
      </c>
      <c r="O24" s="2">
        <f>'Res. Tank Design'!$D$56/'Res. Tank Design'!$D$55</f>
        <v>0.56061191058138804</v>
      </c>
      <c r="P24" s="2">
        <f>'Res. Tank Design'!$D$56/'Res. Tank Design'!$D$55</f>
        <v>0.56061191058138804</v>
      </c>
      <c r="Q24" s="2">
        <f>'Res. Tank Design'!$D$56/'Res. Tank Design'!$D$55</f>
        <v>0.56061191058138804</v>
      </c>
      <c r="R24" s="2">
        <f>'Res. Tank Design'!$D$56/'Res. Tank Design'!$D$55</f>
        <v>0.56061191058138804</v>
      </c>
      <c r="S24" s="2">
        <f>'Res. Tank Design'!$D$56/'Res. Tank Design'!$D$55</f>
        <v>0.56061191058138804</v>
      </c>
      <c r="T24" s="2">
        <f>'Res. Tank Design'!$D$56/'Res. Tank Design'!$D$55</f>
        <v>0.56061191058138804</v>
      </c>
      <c r="U24" s="2">
        <f>'Res. Tank Design'!$D$56/'Res. Tank Design'!$D$55</f>
        <v>0.56061191058138804</v>
      </c>
      <c r="V24" s="2">
        <f>'Res. Tank Design'!$D$56/'Res. Tank Design'!$D$55</f>
        <v>0.56061191058138804</v>
      </c>
      <c r="W24" s="2">
        <f>'Res. Tank Design'!$D$56/'Res. Tank Design'!$D$55</f>
        <v>0.56061191058138804</v>
      </c>
      <c r="X24" s="2">
        <f>'Res. Tank Design'!$D$56/'Res. Tank Design'!$D$55</f>
        <v>0.56061191058138804</v>
      </c>
      <c r="Y24" s="2">
        <f>'Res. Tank Design'!$D$56/'Res. Tank Design'!$D$55</f>
        <v>0.56061191058138804</v>
      </c>
      <c r="Z24" s="2">
        <f>'Res. Tank Design'!$D$56/'Res. Tank Design'!$D$55</f>
        <v>0.56061191058138804</v>
      </c>
      <c r="AA24" s="2">
        <f>'Res. Tank Design'!$D$56/'Res. Tank Design'!$D$55</f>
        <v>0.56061191058138804</v>
      </c>
      <c r="AB24" s="2">
        <f>'Res. Tank Design'!$D$56/'Res. Tank Design'!$D$55</f>
        <v>0.56061191058138804</v>
      </c>
      <c r="AC24" s="2">
        <f>'Res. Tank Design'!$D$56/'Res. Tank Design'!$D$55</f>
        <v>0.56061191058138804</v>
      </c>
      <c r="AD24" s="2">
        <f>'Res. Tank Design'!$D$56/'Res. Tank Design'!$D$55</f>
        <v>0.56061191058138804</v>
      </c>
      <c r="AE24" s="2">
        <f>'Res. Tank Design'!$D$56/'Res. Tank Design'!$D$55</f>
        <v>0.56061191058138804</v>
      </c>
      <c r="AF24" s="2">
        <f>'Res. Tank Design'!$D$56/'Res. Tank Design'!$D$55</f>
        <v>0.56061191058138804</v>
      </c>
      <c r="AG24" s="2">
        <f>'Res. Tank Design'!$D$56/'Res. Tank Design'!$D$55</f>
        <v>0.56061191058138804</v>
      </c>
      <c r="AH24" s="2">
        <f>'Res. Tank Design'!$D$56/'Res. Tank Design'!$D$55</f>
        <v>0.56061191058138804</v>
      </c>
      <c r="AI24" s="2">
        <f>'Res. Tank Design'!$D$56/'Res. Tank Design'!$D$55</f>
        <v>0.56061191058138804</v>
      </c>
      <c r="AJ24" s="2">
        <f>'Res. Tank Design'!$D$56/'Res. Tank Design'!$D$55</f>
        <v>0.56061191058138804</v>
      </c>
      <c r="AK24" s="2">
        <f>'Res. Tank Design'!$D$56/'Res. Tank Design'!$D$55</f>
        <v>0.56061191058138804</v>
      </c>
      <c r="AL24" s="2">
        <f>'Res. Tank Design'!$D$56/'Res. Tank Design'!$D$55</f>
        <v>0.56061191058138804</v>
      </c>
      <c r="AM24" s="2">
        <f>'Res. Tank Design'!$D$56/'Res. Tank Design'!$D$55</f>
        <v>0.56061191058138804</v>
      </c>
      <c r="AN24" s="2">
        <f>'Res. Tank Design'!$D$56/'Res. Tank Design'!$D$55</f>
        <v>0.56061191058138804</v>
      </c>
      <c r="AO24" s="2">
        <f>'Res. Tank Design'!$D$56/'Res. Tank Design'!$D$55</f>
        <v>0.56061191058138804</v>
      </c>
      <c r="AP24" s="2">
        <f>'Res. Tank Design'!$D$56/'Res. Tank Design'!$D$55</f>
        <v>0.56061191058138804</v>
      </c>
      <c r="AQ24" s="2">
        <f>'Res. Tank Design'!$D$56/'Res. Tank Design'!$D$55</f>
        <v>0.56061191058138804</v>
      </c>
      <c r="AR24" s="2">
        <f>'Res. Tank Design'!$D$56/'Res. Tank Design'!$D$55</f>
        <v>0.56061191058138804</v>
      </c>
      <c r="AS24" s="2">
        <f>'Res. Tank Design'!$D$56/'Res. Tank Design'!$D$55</f>
        <v>0.56061191058138804</v>
      </c>
      <c r="AT24" s="2">
        <f>'Res. Tank Design'!$D$56/'Res. Tank Design'!$D$55</f>
        <v>0.56061191058138804</v>
      </c>
      <c r="AU24" s="2">
        <f>'Res. Tank Design'!$D$56/'Res. Tank Design'!$D$55</f>
        <v>0.56061191058138804</v>
      </c>
      <c r="AV24" s="2">
        <f>'Res. Tank Design'!$D$56/'Res. Tank Design'!$D$55</f>
        <v>0.56061191058138804</v>
      </c>
      <c r="AW24" s="2">
        <f>'Res. Tank Design'!$D$56/'Res. Tank Design'!$D$55</f>
        <v>0.56061191058138804</v>
      </c>
      <c r="AX24" s="2">
        <f>'Res. Tank Design'!$D$56/'Res. Tank Design'!$D$55</f>
        <v>0.56061191058138804</v>
      </c>
      <c r="AY24" s="2">
        <f>'Res. Tank Design'!$D$56/'Res. Tank Design'!$D$55</f>
        <v>0.56061191058138804</v>
      </c>
      <c r="AZ24" s="2">
        <f>'Res. Tank Design'!$D$56/'Res. Tank Design'!$D$55</f>
        <v>0.56061191058138804</v>
      </c>
      <c r="BA24" s="2">
        <f>'Res. Tank Design'!$D$56/'Res. Tank Design'!$D$55</f>
        <v>0.56061191058138804</v>
      </c>
      <c r="BB24" s="2">
        <f>'Res. Tank Design'!$D$56/'Res. Tank Design'!$D$55</f>
        <v>0.56061191058138804</v>
      </c>
      <c r="BC24" s="2">
        <f>'Res. Tank Design'!$D$56/'Res. Tank Design'!$D$55</f>
        <v>0.56061191058138804</v>
      </c>
      <c r="BD24" s="2">
        <f>'Res. Tank Design'!$D$56/'Res. Tank Design'!$D$55</f>
        <v>0.56061191058138804</v>
      </c>
      <c r="BE24" s="2">
        <f>'Res. Tank Design'!$D$56/'Res. Tank Design'!$D$55</f>
        <v>0.56061191058138804</v>
      </c>
      <c r="BF24" s="2">
        <f>'Res. Tank Design'!$D$56/'Res. Tank Design'!$D$55</f>
        <v>0.56061191058138804</v>
      </c>
      <c r="BG24" s="2">
        <f>'Res. Tank Design'!$D$56/'Res. Tank Design'!$D$55</f>
        <v>0.56061191058138804</v>
      </c>
      <c r="BH24" s="2">
        <f>'Res. Tank Design'!$D$56/'Res. Tank Design'!$D$55</f>
        <v>0.56061191058138804</v>
      </c>
      <c r="BI24" s="2">
        <f>'Res. Tank Design'!$D$56/'Res. Tank Design'!$D$55</f>
        <v>0.56061191058138804</v>
      </c>
      <c r="BJ24" s="2">
        <f>'Res. Tank Design'!$D$56/'Res. Tank Design'!$D$55</f>
        <v>0.56061191058138804</v>
      </c>
      <c r="BK24" s="2">
        <f>'Res. Tank Design'!$D$56/'Res. Tank Design'!$D$55</f>
        <v>0.56061191058138804</v>
      </c>
      <c r="BL24" s="2">
        <f>'Res. Tank Design'!$D$56/'Res. Tank Design'!$D$55</f>
        <v>0.56061191058138804</v>
      </c>
      <c r="BM24" s="2">
        <f>'Res. Tank Design'!$D$56/'Res. Tank Design'!$D$55</f>
        <v>0.56061191058138804</v>
      </c>
      <c r="BN24" s="2">
        <f>'Res. Tank Design'!$D$56/'Res. Tank Design'!$D$55</f>
        <v>0.56061191058138804</v>
      </c>
      <c r="BO24" s="2">
        <f>'Res. Tank Design'!$D$56/'Res. Tank Design'!$D$55</f>
        <v>0.56061191058138804</v>
      </c>
      <c r="BP24" s="2">
        <f>'Res. Tank Design'!$D$56/'Res. Tank Design'!$D$55</f>
        <v>0.56061191058138804</v>
      </c>
      <c r="BQ24" s="2">
        <f>'Res. Tank Design'!$D$56/'Res. Tank Design'!$D$55</f>
        <v>0.56061191058138804</v>
      </c>
      <c r="BR24" s="2">
        <f>'Res. Tank Design'!$D$56/'Res. Tank Design'!$D$55</f>
        <v>0.56061191058138804</v>
      </c>
      <c r="BS24" s="2">
        <f>'Res. Tank Design'!$D$56/'Res. Tank Design'!$D$55</f>
        <v>0.56061191058138804</v>
      </c>
      <c r="BT24" s="2">
        <f>'Res. Tank Design'!$D$56/'Res. Tank Design'!$D$55</f>
        <v>0.56061191058138804</v>
      </c>
      <c r="BU24" s="2">
        <f>'Res. Tank Design'!$D$56/'Res. Tank Design'!$D$55</f>
        <v>0.56061191058138804</v>
      </c>
      <c r="BV24" s="2">
        <f>'Res. Tank Design'!$D$56/'Res. Tank Design'!$D$55</f>
        <v>0.56061191058138804</v>
      </c>
      <c r="BW24" s="2">
        <f>'Res. Tank Design'!$D$56/'Res. Tank Design'!$D$55</f>
        <v>0.56061191058138804</v>
      </c>
      <c r="BX24" s="2">
        <f>'Res. Tank Design'!$D$56/'Res. Tank Design'!$D$55</f>
        <v>0.56061191058138804</v>
      </c>
      <c r="BY24" s="2">
        <f>'Res. Tank Design'!$D$56/'Res. Tank Design'!$D$55</f>
        <v>0.56061191058138804</v>
      </c>
      <c r="BZ24" s="2">
        <f>'Res. Tank Design'!$D$56/'Res. Tank Design'!$D$55</f>
        <v>0.56061191058138804</v>
      </c>
      <c r="CA24" s="2">
        <f>'Res. Tank Design'!$D$56/'Res. Tank Design'!$D$55</f>
        <v>0.56061191058138804</v>
      </c>
      <c r="CB24" s="2">
        <f>'Res. Tank Design'!$D$56/'Res. Tank Design'!$D$55</f>
        <v>0.56061191058138804</v>
      </c>
      <c r="CC24" s="2">
        <f>'Res. Tank Design'!$D$56/'Res. Tank Design'!$D$55</f>
        <v>0.56061191058138804</v>
      </c>
      <c r="CD24" s="2">
        <f>'Res. Tank Design'!$D$56/'Res. Tank Design'!$D$55</f>
        <v>0.56061191058138804</v>
      </c>
      <c r="CE24" s="2">
        <f>'Res. Tank Design'!$D$56/'Res. Tank Design'!$D$55</f>
        <v>0.56061191058138804</v>
      </c>
      <c r="CF24" s="2">
        <f>'Res. Tank Design'!$D$56/'Res. Tank Design'!$D$55</f>
        <v>0.56061191058138804</v>
      </c>
      <c r="CG24" s="2">
        <f>'Res. Tank Design'!$D$56/'Res. Tank Design'!$D$55</f>
        <v>0.56061191058138804</v>
      </c>
    </row>
    <row r="25" spans="2:85">
      <c r="B25" s="2" t="s">
        <v>694</v>
      </c>
      <c r="C25" s="2">
        <v>1E-4</v>
      </c>
      <c r="D25" s="2">
        <f t="shared" ref="D25:BO25" si="82">IF(OR(E25&lt;=D24,E25-1/69&gt;D24),E25-1/69,D24-0.0001)</f>
        <v>2.4280026523417007E-2</v>
      </c>
      <c r="E25" s="2">
        <f t="shared" si="82"/>
        <v>3.8772780146605415E-2</v>
      </c>
      <c r="F25" s="2">
        <f t="shared" si="82"/>
        <v>5.3265533769793823E-2</v>
      </c>
      <c r="G25" s="2">
        <f t="shared" si="82"/>
        <v>6.775828739298223E-2</v>
      </c>
      <c r="H25" s="2">
        <f t="shared" si="82"/>
        <v>8.2251041016170631E-2</v>
      </c>
      <c r="I25" s="2">
        <f t="shared" si="82"/>
        <v>9.6743794639359032E-2</v>
      </c>
      <c r="J25" s="2">
        <f t="shared" si="82"/>
        <v>0.11123654826254743</v>
      </c>
      <c r="K25" s="2">
        <f t="shared" si="82"/>
        <v>0.12572930188573583</v>
      </c>
      <c r="L25" s="2">
        <f t="shared" si="82"/>
        <v>0.14022205550892425</v>
      </c>
      <c r="M25" s="2">
        <f t="shared" si="82"/>
        <v>0.15471480913211266</v>
      </c>
      <c r="N25" s="2">
        <f t="shared" si="82"/>
        <v>0.16920756275530108</v>
      </c>
      <c r="O25" s="2">
        <f t="shared" si="82"/>
        <v>0.18370031637848949</v>
      </c>
      <c r="P25" s="2">
        <f t="shared" si="82"/>
        <v>0.19819307000167791</v>
      </c>
      <c r="Q25" s="2">
        <f t="shared" si="82"/>
        <v>0.21268582362486632</v>
      </c>
      <c r="R25" s="2">
        <f t="shared" si="82"/>
        <v>0.22717857724805474</v>
      </c>
      <c r="S25" s="2">
        <f t="shared" si="82"/>
        <v>0.24167133087124315</v>
      </c>
      <c r="T25" s="2">
        <f t="shared" si="82"/>
        <v>0.25616408449443157</v>
      </c>
      <c r="U25" s="2">
        <f t="shared" si="82"/>
        <v>0.27065683811761998</v>
      </c>
      <c r="V25" s="2">
        <f t="shared" si="82"/>
        <v>0.28514959174080839</v>
      </c>
      <c r="W25" s="2">
        <f t="shared" si="82"/>
        <v>0.29964234536399681</v>
      </c>
      <c r="X25" s="2">
        <f t="shared" si="82"/>
        <v>0.31413509898718522</v>
      </c>
      <c r="Y25" s="2">
        <f t="shared" si="82"/>
        <v>0.32862785261037364</v>
      </c>
      <c r="Z25" s="2">
        <f t="shared" si="82"/>
        <v>0.34312060623356205</v>
      </c>
      <c r="AA25" s="2">
        <f t="shared" si="82"/>
        <v>0.35761335985675047</v>
      </c>
      <c r="AB25" s="2">
        <f t="shared" si="82"/>
        <v>0.37210611347993888</v>
      </c>
      <c r="AC25" s="2">
        <f t="shared" si="82"/>
        <v>0.3865988671031273</v>
      </c>
      <c r="AD25" s="2">
        <f t="shared" si="82"/>
        <v>0.40109162072631571</v>
      </c>
      <c r="AE25" s="2">
        <f t="shared" si="82"/>
        <v>0.41558437434950413</v>
      </c>
      <c r="AF25" s="2">
        <f t="shared" si="82"/>
        <v>0.43007712797269254</v>
      </c>
      <c r="AG25" s="2">
        <f t="shared" si="82"/>
        <v>0.44456988159588096</v>
      </c>
      <c r="AH25" s="2">
        <f t="shared" si="82"/>
        <v>0.45906263521906937</v>
      </c>
      <c r="AI25" s="2">
        <f>IF(OR(AJ25&lt;=AI24,AJ25-1/69&gt;AI24),AJ25-1/69,AI24-0.0001)</f>
        <v>0.47355538884225779</v>
      </c>
      <c r="AJ25" s="2">
        <f t="shared" si="82"/>
        <v>0.4880481424654462</v>
      </c>
      <c r="AK25" s="2">
        <f t="shared" si="82"/>
        <v>0.50254089608863461</v>
      </c>
      <c r="AL25" s="2">
        <f t="shared" si="82"/>
        <v>0.51703364971182297</v>
      </c>
      <c r="AM25" s="2">
        <f t="shared" si="82"/>
        <v>0.53152640333501133</v>
      </c>
      <c r="AN25" s="2">
        <f t="shared" si="82"/>
        <v>0.54601915695819969</v>
      </c>
      <c r="AO25" s="2">
        <f t="shared" si="82"/>
        <v>0.56051191058138805</v>
      </c>
      <c r="AP25" s="2">
        <f t="shared" si="82"/>
        <v>0.56521739130434923</v>
      </c>
      <c r="AQ25" s="2">
        <f t="shared" si="82"/>
        <v>0.57971014492753759</v>
      </c>
      <c r="AR25" s="2">
        <f t="shared" si="82"/>
        <v>0.59420289855072594</v>
      </c>
      <c r="AS25" s="2">
        <f t="shared" si="82"/>
        <v>0.6086956521739143</v>
      </c>
      <c r="AT25" s="2">
        <f t="shared" si="82"/>
        <v>0.62318840579710266</v>
      </c>
      <c r="AU25" s="2">
        <f t="shared" si="82"/>
        <v>0.63768115942029102</v>
      </c>
      <c r="AV25" s="2">
        <f t="shared" si="82"/>
        <v>0.65217391304347938</v>
      </c>
      <c r="AW25" s="2">
        <f t="shared" si="82"/>
        <v>0.66666666666666774</v>
      </c>
      <c r="AX25" s="2">
        <f t="shared" si="82"/>
        <v>0.6811594202898561</v>
      </c>
      <c r="AY25" s="2">
        <f t="shared" si="82"/>
        <v>0.69565217391304446</v>
      </c>
      <c r="AZ25" s="2">
        <f t="shared" si="82"/>
        <v>0.71014492753623282</v>
      </c>
      <c r="BA25" s="2">
        <f t="shared" si="82"/>
        <v>0.72463768115942118</v>
      </c>
      <c r="BB25" s="2">
        <f t="shared" si="82"/>
        <v>0.73913043478260954</v>
      </c>
      <c r="BC25" s="2">
        <f t="shared" si="82"/>
        <v>0.75362318840579789</v>
      </c>
      <c r="BD25" s="2">
        <f t="shared" si="82"/>
        <v>0.76811594202898625</v>
      </c>
      <c r="BE25" s="2">
        <f t="shared" si="82"/>
        <v>0.78260869565217461</v>
      </c>
      <c r="BF25" s="2">
        <f t="shared" si="82"/>
        <v>0.79710144927536297</v>
      </c>
      <c r="BG25" s="2">
        <f t="shared" si="82"/>
        <v>0.81159420289855133</v>
      </c>
      <c r="BH25" s="2">
        <f t="shared" si="82"/>
        <v>0.82608695652173969</v>
      </c>
      <c r="BI25" s="2">
        <f t="shared" si="82"/>
        <v>0.84057971014492805</v>
      </c>
      <c r="BJ25" s="2">
        <f t="shared" si="82"/>
        <v>0.85507246376811641</v>
      </c>
      <c r="BK25" s="2">
        <f t="shared" si="82"/>
        <v>0.86956521739130477</v>
      </c>
      <c r="BL25" s="2">
        <f t="shared" si="82"/>
        <v>0.88405797101449313</v>
      </c>
      <c r="BM25" s="2">
        <f t="shared" si="82"/>
        <v>0.89855072463768149</v>
      </c>
      <c r="BN25" s="2">
        <f t="shared" si="82"/>
        <v>0.91304347826086985</v>
      </c>
      <c r="BO25" s="2">
        <f t="shared" si="82"/>
        <v>0.9275362318840582</v>
      </c>
      <c r="BP25" s="2">
        <f t="shared" ref="BP25:BR25" si="83">IF(OR(BQ25&lt;=BP24,BQ25-1/69&gt;BP24),BQ25-1/69,BP24-0.0001)</f>
        <v>0.94202898550724656</v>
      </c>
      <c r="BQ25" s="2">
        <f t="shared" si="83"/>
        <v>0.95652173913043492</v>
      </c>
      <c r="BR25" s="2">
        <f t="shared" si="83"/>
        <v>0.97101449275362328</v>
      </c>
      <c r="BS25" s="2">
        <f>IF(OR(BT25&lt;=BS24,BT25-1/69&gt;BS24),BT25-1/69,BS24-0.0001)</f>
        <v>0.98550724637681164</v>
      </c>
      <c r="BT25" s="2">
        <f>($CG$25-1)*(BT3-70)/($CG$3-70)+1</f>
        <v>1</v>
      </c>
      <c r="BU25" s="2">
        <f t="shared" ref="BU25:CF25" si="84">($CG$25-1)*(BU3-70)/($CG$3-70)+1</f>
        <v>1.0387046318516557</v>
      </c>
      <c r="BV25" s="2">
        <f t="shared" si="84"/>
        <v>1.0774092637033115</v>
      </c>
      <c r="BW25" s="2">
        <f t="shared" si="84"/>
        <v>1.1161138955549672</v>
      </c>
      <c r="BX25" s="2">
        <f t="shared" si="84"/>
        <v>1.1548185274066229</v>
      </c>
      <c r="BY25" s="2">
        <f t="shared" si="84"/>
        <v>1.1935231592582787</v>
      </c>
      <c r="BZ25" s="2">
        <f t="shared" si="84"/>
        <v>1.2322277911099344</v>
      </c>
      <c r="CA25" s="2">
        <f t="shared" si="84"/>
        <v>1.2709324229615901</v>
      </c>
      <c r="CB25" s="2">
        <f t="shared" si="84"/>
        <v>1.3096370548132459</v>
      </c>
      <c r="CC25" s="2">
        <f t="shared" si="84"/>
        <v>1.3483416866649016</v>
      </c>
      <c r="CD25" s="2">
        <f t="shared" si="84"/>
        <v>1.3870463185165574</v>
      </c>
      <c r="CE25" s="2">
        <f t="shared" si="84"/>
        <v>1.4257509503682131</v>
      </c>
      <c r="CF25" s="2">
        <f t="shared" si="84"/>
        <v>1.4644555822198688</v>
      </c>
      <c r="CG25" s="2">
        <f>1.5*$CG$26</f>
        <v>1.5031602140715246</v>
      </c>
    </row>
    <row r="26" spans="2:85">
      <c r="B26" s="2" t="s">
        <v>695</v>
      </c>
      <c r="C26" s="2">
        <f>(C23/(1+C23-(1/C18)))^0.5</f>
        <v>1.0021068093810164</v>
      </c>
      <c r="D26" s="2">
        <f t="shared" ref="D26:BO26" si="85">(D23/(1+D23-(1/D18)))^0.5</f>
        <v>1.0021068093810164</v>
      </c>
      <c r="E26" s="2">
        <f t="shared" si="85"/>
        <v>1.0021068093810164</v>
      </c>
      <c r="F26" s="2">
        <f t="shared" si="85"/>
        <v>1.0021068093810164</v>
      </c>
      <c r="G26" s="2">
        <f t="shared" si="85"/>
        <v>1.0021068093810164</v>
      </c>
      <c r="H26" s="2">
        <f t="shared" si="85"/>
        <v>1.0021068093810164</v>
      </c>
      <c r="I26" s="2">
        <f t="shared" si="85"/>
        <v>1.0021068093810164</v>
      </c>
      <c r="J26" s="2">
        <f t="shared" si="85"/>
        <v>1.0021068093810164</v>
      </c>
      <c r="K26" s="2">
        <f t="shared" si="85"/>
        <v>1.0021068093810164</v>
      </c>
      <c r="L26" s="2">
        <f t="shared" si="85"/>
        <v>1.0021068093810164</v>
      </c>
      <c r="M26" s="2">
        <f t="shared" si="85"/>
        <v>1.0021068093810164</v>
      </c>
      <c r="N26" s="2">
        <f t="shared" si="85"/>
        <v>1.0021068093810164</v>
      </c>
      <c r="O26" s="2">
        <f t="shared" si="85"/>
        <v>1.0021068093810164</v>
      </c>
      <c r="P26" s="2">
        <f t="shared" si="85"/>
        <v>1.0021068093810164</v>
      </c>
      <c r="Q26" s="2">
        <f t="shared" si="85"/>
        <v>1.0021068093810164</v>
      </c>
      <c r="R26" s="2">
        <f t="shared" si="85"/>
        <v>1.0021068093810164</v>
      </c>
      <c r="S26" s="2">
        <f t="shared" si="85"/>
        <v>1.0021068093810164</v>
      </c>
      <c r="T26" s="2">
        <f t="shared" si="85"/>
        <v>1.0021068093810164</v>
      </c>
      <c r="U26" s="2">
        <f t="shared" si="85"/>
        <v>1.0021068093810164</v>
      </c>
      <c r="V26" s="2">
        <f t="shared" si="85"/>
        <v>1.0021068093810164</v>
      </c>
      <c r="W26" s="2">
        <f t="shared" si="85"/>
        <v>1.0021068093810164</v>
      </c>
      <c r="X26" s="2">
        <f t="shared" si="85"/>
        <v>1.0021068093810164</v>
      </c>
      <c r="Y26" s="2">
        <f t="shared" si="85"/>
        <v>1.0021068093810164</v>
      </c>
      <c r="Z26" s="2">
        <f t="shared" si="85"/>
        <v>1.0021068093810164</v>
      </c>
      <c r="AA26" s="2">
        <f t="shared" si="85"/>
        <v>1.0021068093810164</v>
      </c>
      <c r="AB26" s="2">
        <f t="shared" si="85"/>
        <v>1.0021068093810164</v>
      </c>
      <c r="AC26" s="2">
        <f t="shared" si="85"/>
        <v>1.0021068093810164</v>
      </c>
      <c r="AD26" s="2">
        <f t="shared" si="85"/>
        <v>1.0021068093810164</v>
      </c>
      <c r="AE26" s="2">
        <f t="shared" si="85"/>
        <v>1.0021068093810164</v>
      </c>
      <c r="AF26" s="2">
        <f t="shared" si="85"/>
        <v>1.0021068093810164</v>
      </c>
      <c r="AG26" s="2">
        <f t="shared" si="85"/>
        <v>1.0021068093810164</v>
      </c>
      <c r="AH26" s="2">
        <f t="shared" si="85"/>
        <v>1.0021068093810164</v>
      </c>
      <c r="AI26" s="2">
        <f t="shared" si="85"/>
        <v>1.0021068093810164</v>
      </c>
      <c r="AJ26" s="2">
        <f t="shared" si="85"/>
        <v>1.0021068093810164</v>
      </c>
      <c r="AK26" s="2">
        <f t="shared" si="85"/>
        <v>1.0021068093810164</v>
      </c>
      <c r="AL26" s="2">
        <f t="shared" si="85"/>
        <v>1.0021068093810164</v>
      </c>
      <c r="AM26" s="2">
        <f t="shared" si="85"/>
        <v>1.0021068093810164</v>
      </c>
      <c r="AN26" s="2">
        <f t="shared" si="85"/>
        <v>1.0021068093810164</v>
      </c>
      <c r="AO26" s="2">
        <f t="shared" si="85"/>
        <v>1.0021068093810164</v>
      </c>
      <c r="AP26" s="2">
        <f t="shared" si="85"/>
        <v>1.0021068093810164</v>
      </c>
      <c r="AQ26" s="2">
        <f t="shared" si="85"/>
        <v>1.0021068093810164</v>
      </c>
      <c r="AR26" s="2">
        <f t="shared" si="85"/>
        <v>1.0021068093810164</v>
      </c>
      <c r="AS26" s="2">
        <f t="shared" si="85"/>
        <v>1.0021068093810164</v>
      </c>
      <c r="AT26" s="2">
        <f t="shared" si="85"/>
        <v>1.0021068093810164</v>
      </c>
      <c r="AU26" s="2">
        <f t="shared" si="85"/>
        <v>1.0021068093810164</v>
      </c>
      <c r="AV26" s="2">
        <f t="shared" si="85"/>
        <v>1.0021068093810164</v>
      </c>
      <c r="AW26" s="2">
        <f t="shared" si="85"/>
        <v>1.0021068093810164</v>
      </c>
      <c r="AX26" s="2">
        <f t="shared" si="85"/>
        <v>1.0021068093810164</v>
      </c>
      <c r="AY26" s="2">
        <f t="shared" si="85"/>
        <v>1.0021068093810164</v>
      </c>
      <c r="AZ26" s="2">
        <f t="shared" si="85"/>
        <v>1.0021068093810164</v>
      </c>
      <c r="BA26" s="2">
        <f t="shared" si="85"/>
        <v>1.0021068093810164</v>
      </c>
      <c r="BB26" s="2">
        <f t="shared" si="85"/>
        <v>1.0021068093810164</v>
      </c>
      <c r="BC26" s="2">
        <f t="shared" si="85"/>
        <v>1.0021068093810164</v>
      </c>
      <c r="BD26" s="2">
        <f t="shared" si="85"/>
        <v>1.0021068093810164</v>
      </c>
      <c r="BE26" s="2">
        <f t="shared" si="85"/>
        <v>1.0021068093810164</v>
      </c>
      <c r="BF26" s="2">
        <f t="shared" si="85"/>
        <v>1.0021068093810164</v>
      </c>
      <c r="BG26" s="2">
        <f t="shared" si="85"/>
        <v>1.0021068093810164</v>
      </c>
      <c r="BH26" s="2">
        <f t="shared" si="85"/>
        <v>1.0021068093810164</v>
      </c>
      <c r="BI26" s="2">
        <f t="shared" si="85"/>
        <v>1.0021068093810164</v>
      </c>
      <c r="BJ26" s="2">
        <f t="shared" si="85"/>
        <v>1.0021068093810164</v>
      </c>
      <c r="BK26" s="2">
        <f t="shared" si="85"/>
        <v>1.0021068093810164</v>
      </c>
      <c r="BL26" s="2">
        <f t="shared" si="85"/>
        <v>1.0021068093810164</v>
      </c>
      <c r="BM26" s="2">
        <f t="shared" si="85"/>
        <v>1.0021068093810164</v>
      </c>
      <c r="BN26" s="2">
        <f t="shared" si="85"/>
        <v>1.0021068093810164</v>
      </c>
      <c r="BO26" s="2">
        <f t="shared" si="85"/>
        <v>1.0021068093810164</v>
      </c>
      <c r="BP26" s="2">
        <f t="shared" ref="BP26:CG26" si="86">(BP23/(1+BP23-(1/BP18)))^0.5</f>
        <v>1.0021068093810164</v>
      </c>
      <c r="BQ26" s="2">
        <f t="shared" si="86"/>
        <v>1.0021068093810164</v>
      </c>
      <c r="BR26" s="2">
        <f t="shared" si="86"/>
        <v>1.0021068093810164</v>
      </c>
      <c r="BS26" s="2">
        <f t="shared" si="86"/>
        <v>1.0021068093810164</v>
      </c>
      <c r="BT26" s="2">
        <f t="shared" si="86"/>
        <v>1.0021068093810164</v>
      </c>
      <c r="BU26" s="2">
        <f t="shared" si="86"/>
        <v>1.0021068093810164</v>
      </c>
      <c r="BV26" s="2">
        <f t="shared" si="86"/>
        <v>1.0021068093810164</v>
      </c>
      <c r="BW26" s="2">
        <f t="shared" si="86"/>
        <v>1.0021068093810164</v>
      </c>
      <c r="BX26" s="2">
        <f t="shared" si="86"/>
        <v>1.0021068093810164</v>
      </c>
      <c r="BY26" s="2">
        <f t="shared" si="86"/>
        <v>1.0021068093810164</v>
      </c>
      <c r="BZ26" s="2">
        <f t="shared" si="86"/>
        <v>1.0021068093810164</v>
      </c>
      <c r="CA26" s="2">
        <f t="shared" si="86"/>
        <v>1.0021068093810164</v>
      </c>
      <c r="CB26" s="2">
        <f t="shared" si="86"/>
        <v>1.0021068093810164</v>
      </c>
      <c r="CC26" s="2">
        <f t="shared" si="86"/>
        <v>1.0021068093810164</v>
      </c>
      <c r="CD26" s="2">
        <f t="shared" si="86"/>
        <v>1.0021068093810164</v>
      </c>
      <c r="CE26" s="2">
        <f t="shared" si="86"/>
        <v>1.0021068093810164</v>
      </c>
      <c r="CF26" s="2">
        <f t="shared" si="86"/>
        <v>1.0021068093810164</v>
      </c>
      <c r="CG26" s="2">
        <f t="shared" si="86"/>
        <v>1.0021068093810164</v>
      </c>
    </row>
    <row r="27" spans="2:85">
      <c r="B27" s="2" t="s">
        <v>696</v>
      </c>
      <c r="C27" s="2">
        <f>C26*'Res. Tank Design'!$D$55</f>
        <v>152.06798884019506</v>
      </c>
      <c r="D27" s="2">
        <f>D26*'Res. Tank Design'!$D$55</f>
        <v>152.06798884019506</v>
      </c>
      <c r="E27" s="2">
        <f>E26*'Res. Tank Design'!$D$55</f>
        <v>152.06798884019506</v>
      </c>
      <c r="F27" s="2">
        <f>F26*'Res. Tank Design'!$D$55</f>
        <v>152.06798884019506</v>
      </c>
      <c r="G27" s="2">
        <f>G26*'Res. Tank Design'!$D$55</f>
        <v>152.06798884019506</v>
      </c>
      <c r="H27" s="2">
        <f>H26*'Res. Tank Design'!$D$55</f>
        <v>152.06798884019506</v>
      </c>
      <c r="I27" s="2">
        <f>I26*'Res. Tank Design'!$D$55</f>
        <v>152.06798884019506</v>
      </c>
      <c r="J27" s="2">
        <f>J26*'Res. Tank Design'!$D$55</f>
        <v>152.06798884019506</v>
      </c>
      <c r="K27" s="2">
        <f>K26*'Res. Tank Design'!$D$55</f>
        <v>152.06798884019506</v>
      </c>
      <c r="L27" s="2">
        <f>L26*'Res. Tank Design'!$D$55</f>
        <v>152.06798884019506</v>
      </c>
      <c r="M27" s="2">
        <f>M26*'Res. Tank Design'!$D$55</f>
        <v>152.06798884019506</v>
      </c>
      <c r="N27" s="2">
        <f>N26*'Res. Tank Design'!$D$55</f>
        <v>152.06798884019506</v>
      </c>
      <c r="O27" s="2">
        <f>O26*'Res. Tank Design'!$D$55</f>
        <v>152.06798884019506</v>
      </c>
      <c r="P27" s="2">
        <f>P26*'Res. Tank Design'!$D$55</f>
        <v>152.06798884019506</v>
      </c>
      <c r="Q27" s="2">
        <f>Q26*'Res. Tank Design'!$D$55</f>
        <v>152.06798884019506</v>
      </c>
      <c r="R27" s="2">
        <f>R26*'Res. Tank Design'!$D$55</f>
        <v>152.06798884019506</v>
      </c>
      <c r="S27" s="2">
        <f>S26*'Res. Tank Design'!$D$55</f>
        <v>152.06798884019506</v>
      </c>
      <c r="T27" s="2">
        <f>T26*'Res. Tank Design'!$D$55</f>
        <v>152.06798884019506</v>
      </c>
      <c r="U27" s="2">
        <f>U26*'Res. Tank Design'!$D$55</f>
        <v>152.06798884019506</v>
      </c>
      <c r="V27" s="2">
        <f>V26*'Res. Tank Design'!$D$55</f>
        <v>152.06798884019506</v>
      </c>
      <c r="W27" s="2">
        <f>W26*'Res. Tank Design'!$D$55</f>
        <v>152.06798884019506</v>
      </c>
      <c r="X27" s="2">
        <f>X26*'Res. Tank Design'!$D$55</f>
        <v>152.06798884019506</v>
      </c>
      <c r="Y27" s="2">
        <f>Y26*'Res. Tank Design'!$D$55</f>
        <v>152.06798884019506</v>
      </c>
      <c r="Z27" s="2">
        <f>Z26*'Res. Tank Design'!$D$55</f>
        <v>152.06798884019506</v>
      </c>
      <c r="AA27" s="2">
        <f>AA26*'Res. Tank Design'!$D$55</f>
        <v>152.06798884019506</v>
      </c>
      <c r="AB27" s="2">
        <f>AB26*'Res. Tank Design'!$D$55</f>
        <v>152.06798884019506</v>
      </c>
      <c r="AC27" s="2">
        <f>AC26*'Res. Tank Design'!$D$55</f>
        <v>152.06798884019506</v>
      </c>
      <c r="AD27" s="2">
        <f>AD26*'Res. Tank Design'!$D$55</f>
        <v>152.06798884019506</v>
      </c>
      <c r="AE27" s="2">
        <f>AE26*'Res. Tank Design'!$D$55</f>
        <v>152.06798884019506</v>
      </c>
      <c r="AF27" s="2">
        <f>AF26*'Res. Tank Design'!$D$55</f>
        <v>152.06798884019506</v>
      </c>
      <c r="AG27" s="2">
        <f>AG26*'Res. Tank Design'!$D$55</f>
        <v>152.06798884019506</v>
      </c>
      <c r="AH27" s="2">
        <f>AH26*'Res. Tank Design'!$D$55</f>
        <v>152.06798884019506</v>
      </c>
      <c r="AI27" s="2">
        <f>AI26*'Res. Tank Design'!$D$55</f>
        <v>152.06798884019506</v>
      </c>
      <c r="AJ27" s="2">
        <f>AJ26*'Res. Tank Design'!$D$55</f>
        <v>152.06798884019506</v>
      </c>
      <c r="AK27" s="2">
        <f>AK26*'Res. Tank Design'!$D$55</f>
        <v>152.06798884019506</v>
      </c>
      <c r="AL27" s="2">
        <f>AL26*'Res. Tank Design'!$D$55</f>
        <v>152.06798884019506</v>
      </c>
      <c r="AM27" s="2">
        <f>AM26*'Res. Tank Design'!$D$55</f>
        <v>152.06798884019506</v>
      </c>
      <c r="AN27" s="2">
        <f>AN26*'Res. Tank Design'!$D$55</f>
        <v>152.06798884019506</v>
      </c>
      <c r="AO27" s="2">
        <f>AO26*'Res. Tank Design'!$D$55</f>
        <v>152.06798884019506</v>
      </c>
      <c r="AP27" s="2">
        <f>AP26*'Res. Tank Design'!$D$55</f>
        <v>152.06798884019506</v>
      </c>
      <c r="AQ27" s="2">
        <f>AQ26*'Res. Tank Design'!$D$55</f>
        <v>152.06798884019506</v>
      </c>
      <c r="AR27" s="2">
        <f>AR26*'Res. Tank Design'!$D$55</f>
        <v>152.06798884019506</v>
      </c>
      <c r="AS27" s="2">
        <f>AS26*'Res. Tank Design'!$D$55</f>
        <v>152.06798884019506</v>
      </c>
      <c r="AT27" s="2">
        <f>AT26*'Res. Tank Design'!$D$55</f>
        <v>152.06798884019506</v>
      </c>
      <c r="AU27" s="2">
        <f>AU26*'Res. Tank Design'!$D$55</f>
        <v>152.06798884019506</v>
      </c>
      <c r="AV27" s="2">
        <f>AV26*'Res. Tank Design'!$D$55</f>
        <v>152.06798884019506</v>
      </c>
      <c r="AW27" s="2">
        <f>AW26*'Res. Tank Design'!$D$55</f>
        <v>152.06798884019506</v>
      </c>
      <c r="AX27" s="2">
        <f>AX26*'Res. Tank Design'!$D$55</f>
        <v>152.06798884019506</v>
      </c>
      <c r="AY27" s="2">
        <f>AY26*'Res. Tank Design'!$D$55</f>
        <v>152.06798884019506</v>
      </c>
      <c r="AZ27" s="2">
        <f>AZ26*'Res. Tank Design'!$D$55</f>
        <v>152.06798884019506</v>
      </c>
      <c r="BA27" s="2">
        <f>BA26*'Res. Tank Design'!$D$55</f>
        <v>152.06798884019506</v>
      </c>
      <c r="BB27" s="2">
        <f>BB26*'Res. Tank Design'!$D$55</f>
        <v>152.06798884019506</v>
      </c>
      <c r="BC27" s="2">
        <f>BC26*'Res. Tank Design'!$D$55</f>
        <v>152.06798884019506</v>
      </c>
      <c r="BD27" s="2">
        <f>BD26*'Res. Tank Design'!$D$55</f>
        <v>152.06798884019506</v>
      </c>
      <c r="BE27" s="2">
        <f>BE26*'Res. Tank Design'!$D$55</f>
        <v>152.06798884019506</v>
      </c>
      <c r="BF27" s="2">
        <f>BF26*'Res. Tank Design'!$D$55</f>
        <v>152.06798884019506</v>
      </c>
      <c r="BG27" s="2">
        <f>BG26*'Res. Tank Design'!$D$55</f>
        <v>152.06798884019506</v>
      </c>
      <c r="BH27" s="2">
        <f>BH26*'Res. Tank Design'!$D$55</f>
        <v>152.06798884019506</v>
      </c>
      <c r="BI27" s="2">
        <f>BI26*'Res. Tank Design'!$D$55</f>
        <v>152.06798884019506</v>
      </c>
      <c r="BJ27" s="2">
        <f>BJ26*'Res. Tank Design'!$D$55</f>
        <v>152.06798884019506</v>
      </c>
      <c r="BK27" s="2">
        <f>BK26*'Res. Tank Design'!$D$55</f>
        <v>152.06798884019506</v>
      </c>
      <c r="BL27" s="2">
        <f>BL26*'Res. Tank Design'!$D$55</f>
        <v>152.06798884019506</v>
      </c>
      <c r="BM27" s="2">
        <f>BM26*'Res. Tank Design'!$D$55</f>
        <v>152.06798884019506</v>
      </c>
      <c r="BN27" s="2">
        <f>BN26*'Res. Tank Design'!$D$55</f>
        <v>152.06798884019506</v>
      </c>
      <c r="BO27" s="2">
        <f>BO26*'Res. Tank Design'!$D$55</f>
        <v>152.06798884019506</v>
      </c>
      <c r="BP27" s="2">
        <f>BP26*'Res. Tank Design'!$D$55</f>
        <v>152.06798884019506</v>
      </c>
      <c r="BQ27" s="2">
        <f>BQ26*'Res. Tank Design'!$D$55</f>
        <v>152.06798884019506</v>
      </c>
      <c r="BR27" s="2">
        <f>BR26*'Res. Tank Design'!$D$55</f>
        <v>152.06798884019506</v>
      </c>
      <c r="BS27" s="2">
        <f>BS26*'Res. Tank Design'!$D$55</f>
        <v>152.06798884019506</v>
      </c>
      <c r="BT27" s="2">
        <f>BT26*'Res. Tank Design'!$D$55</f>
        <v>152.06798884019506</v>
      </c>
      <c r="BU27" s="2">
        <f>BU26*'Res. Tank Design'!$D$55</f>
        <v>152.06798884019506</v>
      </c>
      <c r="BV27" s="2">
        <f>BV26*'Res. Tank Design'!$D$55</f>
        <v>152.06798884019506</v>
      </c>
      <c r="BW27" s="2">
        <f>BW26*'Res. Tank Design'!$D$55</f>
        <v>152.06798884019506</v>
      </c>
      <c r="BX27" s="2">
        <f>BX26*'Res. Tank Design'!$D$55</f>
        <v>152.06798884019506</v>
      </c>
      <c r="BY27" s="2">
        <f>BY26*'Res. Tank Design'!$D$55</f>
        <v>152.06798884019506</v>
      </c>
      <c r="BZ27" s="2">
        <f>BZ26*'Res. Tank Design'!$D$55</f>
        <v>152.06798884019506</v>
      </c>
      <c r="CA27" s="2">
        <f>CA26*'Res. Tank Design'!$D$55</f>
        <v>152.06798884019506</v>
      </c>
      <c r="CB27" s="2">
        <f>CB26*'Res. Tank Design'!$D$55</f>
        <v>152.06798884019506</v>
      </c>
      <c r="CC27" s="2">
        <f>CC26*'Res. Tank Design'!$D$55</f>
        <v>152.06798884019506</v>
      </c>
      <c r="CD27" s="2">
        <f>CD26*'Res. Tank Design'!$D$55</f>
        <v>152.06798884019506</v>
      </c>
      <c r="CE27" s="2">
        <f>CE26*'Res. Tank Design'!$D$55</f>
        <v>152.06798884019506</v>
      </c>
      <c r="CF27" s="2">
        <f>CF26*'Res. Tank Design'!$D$55</f>
        <v>152.06798884019506</v>
      </c>
      <c r="CG27" s="2">
        <f>CG26*'Res. Tank Design'!$D$55</f>
        <v>152.06798884019506</v>
      </c>
    </row>
    <row r="28" spans="2:85">
      <c r="B28" s="2" t="s">
        <v>697</v>
      </c>
      <c r="C28" s="2">
        <f>1/ABS(1+C23-(C23/(C25^2)))</f>
        <v>2.1818182512396718E-8</v>
      </c>
      <c r="D28" s="2">
        <f t="shared" ref="D28:AH28" si="87">1/ABS(1+D23-(D23/(D25^2)))</f>
        <v>1.2886419367458453E-3</v>
      </c>
      <c r="E28" s="2">
        <f t="shared" si="87"/>
        <v>3.2957540508757933E-3</v>
      </c>
      <c r="F28" s="2">
        <f t="shared" si="87"/>
        <v>6.2466838217803949E-3</v>
      </c>
      <c r="G28" s="2">
        <f t="shared" si="87"/>
        <v>1.0165634844491057E-2</v>
      </c>
      <c r="H28" s="2">
        <f t="shared" si="87"/>
        <v>1.5085230808885637E-2</v>
      </c>
      <c r="I28" s="2">
        <f t="shared" si="87"/>
        <v>2.104720710419164E-2</v>
      </c>
      <c r="J28" s="2">
        <f t="shared" si="87"/>
        <v>2.8103319587713758E-2</v>
      </c>
      <c r="K28" s="2">
        <f t="shared" si="87"/>
        <v>3.6316508449383139E-2</v>
      </c>
      <c r="L28" s="2">
        <f t="shared" si="87"/>
        <v>4.5762367743434479E-2</v>
      </c>
      <c r="M28" s="2">
        <f t="shared" si="87"/>
        <v>5.6530987448607108E-2</v>
      </c>
      <c r="N28" s="2">
        <f t="shared" si="87"/>
        <v>6.8729256295102084E-2</v>
      </c>
      <c r="O28" s="2">
        <f t="shared" si="87"/>
        <v>8.2483742085161724E-2</v>
      </c>
      <c r="P28" s="2">
        <f t="shared" si="87"/>
        <v>9.7944304735298124E-2</v>
      </c>
      <c r="Q28" s="2">
        <f t="shared" si="87"/>
        <v>0.11528864999952876</v>
      </c>
      <c r="R28" s="2">
        <f t="shared" si="87"/>
        <v>0.1347281050187448</v>
      </c>
      <c r="S28" s="2">
        <f t="shared" si="87"/>
        <v>0.15651499980883612</v>
      </c>
      <c r="T28" s="2">
        <f t="shared" si="87"/>
        <v>0.18095218575415503</v>
      </c>
      <c r="U28" s="2">
        <f t="shared" si="87"/>
        <v>0.20840543512238516</v>
      </c>
      <c r="V28" s="2">
        <f t="shared" si="87"/>
        <v>0.23931977930378859</v>
      </c>
      <c r="W28" s="2">
        <f t="shared" si="87"/>
        <v>0.27424131386312434</v>
      </c>
      <c r="X28" s="2">
        <f t="shared" si="87"/>
        <v>0.31384671772931005</v>
      </c>
      <c r="Y28" s="2">
        <f t="shared" si="87"/>
        <v>0.3589838574142431</v>
      </c>
      <c r="Z28" s="2">
        <f t="shared" si="87"/>
        <v>0.41072864448862639</v>
      </c>
      <c r="AA28" s="2">
        <f t="shared" si="87"/>
        <v>0.47046626668653735</v>
      </c>
      <c r="AB28" s="2">
        <f t="shared" si="87"/>
        <v>0.54000990781304037</v>
      </c>
      <c r="AC28" s="2">
        <f t="shared" si="87"/>
        <v>0.62177881033586746</v>
      </c>
      <c r="AD28" s="2">
        <f t="shared" si="87"/>
        <v>0.71907341857608231</v>
      </c>
      <c r="AE28" s="2">
        <f t="shared" si="87"/>
        <v>0.83651551018079373</v>
      </c>
      <c r="AF28" s="2">
        <f t="shared" si="87"/>
        <v>0.98078153994784389</v>
      </c>
      <c r="AG28" s="2">
        <f t="shared" si="87"/>
        <v>1.1618855338834528</v>
      </c>
      <c r="AH28" s="2">
        <f t="shared" si="87"/>
        <v>1.3955605407023011</v>
      </c>
      <c r="AI28" s="2">
        <f t="shared" ref="AI28:BN28" si="88">1/ABS(1+AI23-(AI23/(AI25^2)))</f>
        <v>1.70801881699095</v>
      </c>
      <c r="AJ28" s="2">
        <f t="shared" si="88"/>
        <v>2.1464163817304032</v>
      </c>
      <c r="AK28" s="2">
        <f t="shared" si="88"/>
        <v>2.8049873938594398</v>
      </c>
      <c r="AL28" s="2">
        <f t="shared" si="88"/>
        <v>3.9033273688464369</v>
      </c>
      <c r="AM28" s="2">
        <f t="shared" si="88"/>
        <v>6.098718634915044</v>
      </c>
      <c r="AN28" s="2">
        <f t="shared" si="88"/>
        <v>12.659566924581251</v>
      </c>
      <c r="AO28" s="2">
        <f t="shared" si="88"/>
        <v>1921.5837087114464</v>
      </c>
      <c r="AP28" s="2">
        <f t="shared" si="88"/>
        <v>42.249999999987104</v>
      </c>
      <c r="AQ28" s="2">
        <f t="shared" si="88"/>
        <v>10.581427390464974</v>
      </c>
      <c r="AR28" s="2">
        <f t="shared" si="88"/>
        <v>6.2413366336631526</v>
      </c>
      <c r="AS28" s="2">
        <f t="shared" si="88"/>
        <v>4.5187319884725161</v>
      </c>
      <c r="AT28" s="2">
        <f t="shared" si="88"/>
        <v>3.5949449125080415</v>
      </c>
      <c r="AU28" s="2">
        <f t="shared" si="88"/>
        <v>3.0192994996425648</v>
      </c>
      <c r="AV28" s="2">
        <f t="shared" si="88"/>
        <v>2.6264591439688467</v>
      </c>
      <c r="AW28" s="2">
        <f t="shared" si="88"/>
        <v>2.3414634146341284</v>
      </c>
      <c r="AX28" s="2">
        <f t="shared" si="88"/>
        <v>2.1254008980115326</v>
      </c>
      <c r="AY28" s="2">
        <f t="shared" si="88"/>
        <v>1.9560649474689491</v>
      </c>
      <c r="AZ28" s="2">
        <f t="shared" si="88"/>
        <v>1.8198585144012047</v>
      </c>
      <c r="BA28" s="2">
        <f t="shared" si="88"/>
        <v>1.7079905491189553</v>
      </c>
      <c r="BB28" s="2">
        <f t="shared" si="88"/>
        <v>1.6145251396647997</v>
      </c>
      <c r="BC28" s="2">
        <f t="shared" si="88"/>
        <v>1.5353095649293769</v>
      </c>
      <c r="BD28" s="2">
        <f t="shared" si="88"/>
        <v>1.4673515584189416</v>
      </c>
      <c r="BE28" s="2">
        <f t="shared" si="88"/>
        <v>1.4084404999094342</v>
      </c>
      <c r="BF28" s="2">
        <f t="shared" si="88"/>
        <v>1.35690789473684</v>
      </c>
      <c r="BG28" s="2">
        <f t="shared" si="88"/>
        <v>1.3114708393594574</v>
      </c>
      <c r="BH28" s="2">
        <f t="shared" si="88"/>
        <v>1.2711267605633787</v>
      </c>
      <c r="BI28" s="2">
        <f t="shared" si="88"/>
        <v>1.2350808487203404</v>
      </c>
      <c r="BJ28" s="2">
        <f t="shared" si="88"/>
        <v>1.2026949211102145</v>
      </c>
      <c r="BK28" s="2">
        <f t="shared" si="88"/>
        <v>1.1734506784011727</v>
      </c>
      <c r="BL28" s="2">
        <f t="shared" si="88"/>
        <v>1.1469228398232809</v>
      </c>
      <c r="BM28" s="2">
        <f t="shared" si="88"/>
        <v>1.1227591914225556</v>
      </c>
      <c r="BN28" s="2">
        <f t="shared" si="88"/>
        <v>1.1006655574043258</v>
      </c>
      <c r="BO28" s="2">
        <f t="shared" ref="BO28:CG28" si="89">1/ABS(1+BO23-(BO23/(BO25^2)))</f>
        <v>1.080394333380958</v>
      </c>
      <c r="BP28" s="2">
        <f t="shared" si="89"/>
        <v>1.0617356341095658</v>
      </c>
      <c r="BQ28" s="2">
        <f t="shared" si="89"/>
        <v>1.0445103857566764</v>
      </c>
      <c r="BR28" s="2">
        <f t="shared" si="89"/>
        <v>1.0285648819980142</v>
      </c>
      <c r="BS28" s="2">
        <f t="shared" si="89"/>
        <v>1.0137664544300213</v>
      </c>
      <c r="BT28" s="2">
        <f t="shared" si="89"/>
        <v>1</v>
      </c>
      <c r="BU28" s="2">
        <f t="shared" si="89"/>
        <v>0.96756638701644149</v>
      </c>
      <c r="BV28" s="2">
        <f t="shared" si="89"/>
        <v>0.94029649207737387</v>
      </c>
      <c r="BW28" s="2">
        <f t="shared" si="89"/>
        <v>0.9170912797089299</v>
      </c>
      <c r="BX28" s="2">
        <f t="shared" si="89"/>
        <v>0.89713972557044763</v>
      </c>
      <c r="BY28" s="2">
        <f t="shared" si="89"/>
        <v>0.87983058019429439</v>
      </c>
      <c r="BZ28" s="2">
        <f t="shared" si="89"/>
        <v>0.86469466359597535</v>
      </c>
      <c r="CA28" s="2">
        <f t="shared" si="89"/>
        <v>0.85136604264766635</v>
      </c>
      <c r="CB28" s="2">
        <f t="shared" si="89"/>
        <v>0.83955525874231718</v>
      </c>
      <c r="CC28" s="2">
        <f t="shared" si="89"/>
        <v>0.82903045930975283</v>
      </c>
      <c r="CD28" s="2">
        <f t="shared" si="89"/>
        <v>0.81960384055727298</v>
      </c>
      <c r="CE28" s="2">
        <f t="shared" si="89"/>
        <v>0.81112173694104106</v>
      </c>
      <c r="CF28" s="2">
        <f t="shared" si="89"/>
        <v>0.80345726326884537</v>
      </c>
      <c r="CG28" s="2">
        <f t="shared" si="89"/>
        <v>0.7965047748976446</v>
      </c>
    </row>
    <row r="29" spans="2:85">
      <c r="B29" s="2" t="s">
        <v>698</v>
      </c>
      <c r="C29" s="2" t="e">
        <f>IF(D30&gt;C30,NA(),(IF(C30&lt;1,NA(),C30)))</f>
        <v>#N/A</v>
      </c>
      <c r="D29" s="2" t="e">
        <f t="shared" ref="D29:BA29" si="90">IF(E30&gt;D30,NA(),(IF(D30&lt;1,NA(),D30)))</f>
        <v>#N/A</v>
      </c>
      <c r="E29" s="2" t="e">
        <f t="shared" si="90"/>
        <v>#N/A</v>
      </c>
      <c r="F29" s="2" t="e">
        <f t="shared" si="90"/>
        <v>#N/A</v>
      </c>
      <c r="G29" s="2" t="e">
        <f t="shared" si="90"/>
        <v>#N/A</v>
      </c>
      <c r="H29" s="2" t="e">
        <f t="shared" si="90"/>
        <v>#N/A</v>
      </c>
      <c r="I29" s="2" t="e">
        <f t="shared" si="90"/>
        <v>#N/A</v>
      </c>
      <c r="J29" s="2" t="e">
        <f t="shared" si="90"/>
        <v>#N/A</v>
      </c>
      <c r="K29" s="2" t="e">
        <f t="shared" si="90"/>
        <v>#N/A</v>
      </c>
      <c r="L29" s="2" t="e">
        <f t="shared" si="90"/>
        <v>#N/A</v>
      </c>
      <c r="M29" s="2" t="e">
        <f t="shared" si="90"/>
        <v>#N/A</v>
      </c>
      <c r="N29" s="2" t="e">
        <f t="shared" si="90"/>
        <v>#N/A</v>
      </c>
      <c r="O29" s="2" t="e">
        <f t="shared" si="90"/>
        <v>#N/A</v>
      </c>
      <c r="P29" s="2" t="e">
        <f t="shared" si="90"/>
        <v>#N/A</v>
      </c>
      <c r="Q29" s="2" t="e">
        <f t="shared" si="90"/>
        <v>#N/A</v>
      </c>
      <c r="R29" s="2" t="e">
        <f t="shared" si="90"/>
        <v>#N/A</v>
      </c>
      <c r="S29" s="2" t="e">
        <f t="shared" si="90"/>
        <v>#N/A</v>
      </c>
      <c r="T29" s="2" t="e">
        <f t="shared" si="90"/>
        <v>#N/A</v>
      </c>
      <c r="U29" s="2" t="e">
        <f t="shared" si="90"/>
        <v>#N/A</v>
      </c>
      <c r="V29" s="2" t="e">
        <f t="shared" si="90"/>
        <v>#N/A</v>
      </c>
      <c r="W29" s="2" t="e">
        <f t="shared" si="90"/>
        <v>#N/A</v>
      </c>
      <c r="X29" s="2" t="e">
        <f t="shared" si="90"/>
        <v>#N/A</v>
      </c>
      <c r="Y29" s="2" t="e">
        <f t="shared" si="90"/>
        <v>#N/A</v>
      </c>
      <c r="Z29" s="2" t="e">
        <f>IF(AA30&gt;Z30,NA(),(IF(Z30&lt;1,NA(),Z30)))</f>
        <v>#N/A</v>
      </c>
      <c r="AA29" s="2" t="e">
        <f t="shared" si="90"/>
        <v>#N/A</v>
      </c>
      <c r="AB29" s="2" t="e">
        <f t="shared" si="90"/>
        <v>#N/A</v>
      </c>
      <c r="AC29" s="2" t="e">
        <f t="shared" si="90"/>
        <v>#N/A</v>
      </c>
      <c r="AD29" s="2" t="e">
        <f t="shared" si="90"/>
        <v>#N/A</v>
      </c>
      <c r="AE29" s="2" t="e">
        <f t="shared" si="90"/>
        <v>#N/A</v>
      </c>
      <c r="AF29" s="2" t="e">
        <f t="shared" si="90"/>
        <v>#N/A</v>
      </c>
      <c r="AG29" s="2" t="e">
        <f t="shared" si="90"/>
        <v>#N/A</v>
      </c>
      <c r="AH29" s="2" t="e">
        <f t="shared" si="90"/>
        <v>#N/A</v>
      </c>
      <c r="AI29" s="2" t="e">
        <f t="shared" si="90"/>
        <v>#N/A</v>
      </c>
      <c r="AJ29" s="2" t="e">
        <f t="shared" si="90"/>
        <v>#N/A</v>
      </c>
      <c r="AK29" s="2" t="e">
        <f t="shared" si="90"/>
        <v>#N/A</v>
      </c>
      <c r="AL29" s="2" t="e">
        <f t="shared" si="90"/>
        <v>#N/A</v>
      </c>
      <c r="AM29" s="2" t="e">
        <f t="shared" si="90"/>
        <v>#N/A</v>
      </c>
      <c r="AN29" s="2" t="e">
        <f t="shared" si="90"/>
        <v>#N/A</v>
      </c>
      <c r="AO29" s="2">
        <f t="shared" si="90"/>
        <v>1921.5837087114464</v>
      </c>
      <c r="AP29" s="2">
        <f t="shared" si="90"/>
        <v>6.499999999999007</v>
      </c>
      <c r="AQ29" s="2">
        <f t="shared" si="90"/>
        <v>3.2529106029008803</v>
      </c>
      <c r="AR29" s="2">
        <f t="shared" si="90"/>
        <v>2.4982667258847973</v>
      </c>
      <c r="AS29" s="2">
        <f t="shared" si="90"/>
        <v>2.1257309304031207</v>
      </c>
      <c r="AT29" s="2">
        <f t="shared" si="90"/>
        <v>1.8960339956097945</v>
      </c>
      <c r="AU29" s="2">
        <f t="shared" si="90"/>
        <v>1.7376131616797115</v>
      </c>
      <c r="AV29" s="2">
        <f t="shared" si="90"/>
        <v>1.6206354136476369</v>
      </c>
      <c r="AW29" s="2">
        <f t="shared" si="90"/>
        <v>1.5301841113520063</v>
      </c>
      <c r="AX29" s="2">
        <f t="shared" si="90"/>
        <v>1.4578754741100259</v>
      </c>
      <c r="AY29" s="2">
        <f t="shared" si="90"/>
        <v>1.3985939180008431</v>
      </c>
      <c r="AZ29" s="2">
        <f t="shared" si="90"/>
        <v>1.3490213172523273</v>
      </c>
      <c r="BA29" s="2">
        <f t="shared" si="90"/>
        <v>1.3069011244615849</v>
      </c>
      <c r="BB29" s="2">
        <f t="shared" ref="BB29" si="91">IF(BC30&gt;BB30,NA(),(IF(BB30&lt;1,NA(),BB30)))</f>
        <v>1.2706396576782892</v>
      </c>
      <c r="BC29" s="2">
        <f t="shared" ref="BC29" si="92">IF(BD30&gt;BC30,NA(),(IF(BC30&lt;1,NA(),BC30)))</f>
        <v>1.2390760932765092</v>
      </c>
      <c r="BD29" s="2">
        <f t="shared" ref="BD29" si="93">IF(BE30&gt;BD30,NA(),(IF(BD30&lt;1,NA(),BD30)))</f>
        <v>1.2113428740117067</v>
      </c>
      <c r="BE29" s="2">
        <f t="shared" ref="BE29" si="94">IF(BF30&gt;BE30,NA(),(IF(BE30&lt;1,NA(),BE30)))</f>
        <v>1.1867773590313537</v>
      </c>
      <c r="BF29" s="2">
        <f t="shared" ref="BF29" si="95">IF(BG30&gt;BF30,NA(),(IF(BF30&lt;1,NA(),BF30)))</f>
        <v>1.1648638953701158</v>
      </c>
      <c r="BG29" s="2">
        <f t="shared" ref="BG29" si="96">IF(BH30&gt;BG30,NA(),(IF(BG30&lt;1,NA(),BG30)))</f>
        <v>1.1451946731274369</v>
      </c>
      <c r="BH29" s="2">
        <f t="shared" ref="BH29" si="97">IF(BI30&gt;BH30,NA(),(IF(BH30&lt;1,NA(),BH30)))</f>
        <v>1.1274425752841599</v>
      </c>
      <c r="BI29" s="2">
        <f t="shared" ref="BI29" si="98">IF(BJ30&gt;BI30,NA(),(IF(BI30&lt;1,NA(),BI30)))</f>
        <v>1.1113419135083229</v>
      </c>
      <c r="BJ29" s="2">
        <f t="shared" ref="BJ29" si="99">IF(BK30&gt;BJ30,NA(),(IF(BJ30&lt;1,NA(),BJ30)))</f>
        <v>1.0966744827478272</v>
      </c>
      <c r="BK29" s="2">
        <f t="shared" ref="BK29" si="100">IF(BL30&gt;BK30,NA(),(IF(BK30&lt;1,NA(),BK30)))</f>
        <v>1.0832592849365161</v>
      </c>
      <c r="BL29" s="2">
        <f t="shared" ref="BL29" si="101">IF(BM30&gt;BL30,NA(),(IF(BL30&lt;1,NA(),BL30)))</f>
        <v>1.0709448350980926</v>
      </c>
      <c r="BM29" s="2">
        <f t="shared" ref="BM29" si="102">IF(BN30&gt;BM30,NA(),(IF(BM30&lt;1,NA(),BM30)))</f>
        <v>1.0596033179556184</v>
      </c>
      <c r="BN29" s="2">
        <f t="shared" ref="BN29" si="103">IF(BO30&gt;BN30,NA(),(IF(BN30&lt;1,NA(),BN30)))</f>
        <v>1.0491260922331147</v>
      </c>
      <c r="BO29" s="2">
        <f t="shared" ref="BO29" si="104">IF(BP30&gt;BO30,NA(),(IF(BO30&lt;1,NA(),BO30)))</f>
        <v>1.0394201909627108</v>
      </c>
      <c r="BP29" s="2">
        <f t="shared" ref="BP29" si="105">IF(BQ30&gt;BP30,NA(),(IF(BP30&lt;1,NA(),BP30)))</f>
        <v>1.0304055677788071</v>
      </c>
      <c r="BQ29" s="2">
        <f t="shared" ref="BQ29" si="106">IF(BR30&gt;BQ30,NA(),(IF(BQ30&lt;1,NA(),BQ30)))</f>
        <v>1.022012908801389</v>
      </c>
      <c r="BR29" s="2">
        <f t="shared" ref="BR29" si="107">IF(BS30&gt;BR30,NA(),(IF(BR30&lt;1,NA(),BR30)))</f>
        <v>1.0141818781648655</v>
      </c>
      <c r="BS29" s="2">
        <f t="shared" ref="BS29" si="108">IF(BT30&gt;BS30,NA(),(IF(BS30&lt;1,NA(),BS30)))</f>
        <v>1.0068596994765564</v>
      </c>
      <c r="BT29" s="2">
        <f t="shared" ref="BT29" si="109">IF(BU30&gt;BT30,NA(),(IF(BT30&lt;1,NA(),BT30)))</f>
        <v>1</v>
      </c>
      <c r="BU29" s="2" t="e">
        <f t="shared" ref="BU29" si="110">IF(BV30&gt;BU30,NA(),(IF(BU30&lt;1,NA(),BU30)))</f>
        <v>#N/A</v>
      </c>
      <c r="BV29" s="2" t="e">
        <f t="shared" ref="BV29" si="111">IF(BW30&gt;BV30,NA(),(IF(BV30&lt;1,NA(),BV30)))</f>
        <v>#N/A</v>
      </c>
      <c r="BW29" s="2" t="e">
        <f t="shared" ref="BW29" si="112">IF(BX30&gt;BW30,NA(),(IF(BW30&lt;1,NA(),BW30)))</f>
        <v>#N/A</v>
      </c>
      <c r="BX29" s="2" t="e">
        <f t="shared" ref="BX29" si="113">IF(BY30&gt;BX30,NA(),(IF(BX30&lt;1,NA(),BX30)))</f>
        <v>#N/A</v>
      </c>
      <c r="BY29" s="2" t="e">
        <f t="shared" ref="BY29" si="114">IF(BZ30&gt;BY30,NA(),(IF(BY30&lt;1,NA(),BY30)))</f>
        <v>#N/A</v>
      </c>
      <c r="BZ29" s="2" t="e">
        <f t="shared" ref="BZ29" si="115">IF(CA30&gt;BZ30,NA(),(IF(BZ30&lt;1,NA(),BZ30)))</f>
        <v>#N/A</v>
      </c>
      <c r="CA29" s="2" t="e">
        <f t="shared" ref="CA29" si="116">IF(CB30&gt;CA30,NA(),(IF(CA30&lt;1,NA(),CA30)))</f>
        <v>#N/A</v>
      </c>
      <c r="CB29" s="2" t="e">
        <f t="shared" ref="CB29" si="117">IF(CC30&gt;CB30,NA(),(IF(CB30&lt;1,NA(),CB30)))</f>
        <v>#N/A</v>
      </c>
      <c r="CC29" s="2" t="e">
        <f t="shared" ref="CC29" si="118">IF(CD30&gt;CC30,NA(),(IF(CC30&lt;1,NA(),CC30)))</f>
        <v>#N/A</v>
      </c>
      <c r="CD29" s="2" t="e">
        <f t="shared" ref="CD29" si="119">IF(CE30&gt;CD30,NA(),(IF(CD30&lt;1,NA(),CD30)))</f>
        <v>#N/A</v>
      </c>
      <c r="CE29" s="2" t="e">
        <f t="shared" ref="CE29" si="120">IF(CF30&gt;CE30,NA(),(IF(CE30&lt;1,NA(),CE30)))</f>
        <v>#N/A</v>
      </c>
      <c r="CF29" s="2" t="e">
        <f t="shared" ref="CF29" si="121">IF(CG30&gt;CF30,NA(),(IF(CF30&lt;1,NA(),CF30)))</f>
        <v>#N/A</v>
      </c>
      <c r="CG29" s="2" t="e">
        <f t="shared" ref="CG29" si="122">IF(CH30&gt;CG30,NA(),(IF(CG30&lt;1,NA(),CG30)))</f>
        <v>#N/A</v>
      </c>
    </row>
    <row r="30" spans="2:85">
      <c r="C30" s="2">
        <f>IFERROR(C25/((((C25^2)*(1+C23))-C23)^0.5),C28)</f>
        <v>2.1818182512396718E-8</v>
      </c>
      <c r="D30" s="2">
        <f t="shared" ref="D30:AH30" si="123">IFERROR(D25/((((D25^2)*(1+D23))-D23)^0.5),D28)</f>
        <v>1.2886419367458453E-3</v>
      </c>
      <c r="E30" s="2">
        <f t="shared" si="123"/>
        <v>3.2957540508757933E-3</v>
      </c>
      <c r="F30" s="2">
        <f t="shared" si="123"/>
        <v>6.2466838217803949E-3</v>
      </c>
      <c r="G30" s="2">
        <f t="shared" si="123"/>
        <v>1.0165634844491057E-2</v>
      </c>
      <c r="H30" s="2">
        <f t="shared" si="123"/>
        <v>1.5085230808885637E-2</v>
      </c>
      <c r="I30" s="2">
        <f t="shared" si="123"/>
        <v>2.104720710419164E-2</v>
      </c>
      <c r="J30" s="2">
        <f t="shared" si="123"/>
        <v>2.8103319587713758E-2</v>
      </c>
      <c r="K30" s="2">
        <f t="shared" si="123"/>
        <v>3.6316508449383139E-2</v>
      </c>
      <c r="L30" s="2">
        <f t="shared" si="123"/>
        <v>4.5762367743434479E-2</v>
      </c>
      <c r="M30" s="2">
        <f t="shared" si="123"/>
        <v>5.6530987448607108E-2</v>
      </c>
      <c r="N30" s="2">
        <f t="shared" si="123"/>
        <v>6.8729256295102084E-2</v>
      </c>
      <c r="O30" s="2">
        <f t="shared" si="123"/>
        <v>8.2483742085161724E-2</v>
      </c>
      <c r="P30" s="2">
        <f t="shared" si="123"/>
        <v>9.7944304735298124E-2</v>
      </c>
      <c r="Q30" s="2">
        <f t="shared" si="123"/>
        <v>0.11528864999952876</v>
      </c>
      <c r="R30" s="2">
        <f t="shared" si="123"/>
        <v>0.1347281050187448</v>
      </c>
      <c r="S30" s="2">
        <f t="shared" si="123"/>
        <v>0.15651499980883612</v>
      </c>
      <c r="T30" s="2">
        <f t="shared" si="123"/>
        <v>0.18095218575415503</v>
      </c>
      <c r="U30" s="2">
        <f t="shared" si="123"/>
        <v>0.20840543512238516</v>
      </c>
      <c r="V30" s="2">
        <f t="shared" si="123"/>
        <v>0.23931977930378859</v>
      </c>
      <c r="W30" s="2">
        <f t="shared" si="123"/>
        <v>0.27424131386312434</v>
      </c>
      <c r="X30" s="2">
        <f t="shared" si="123"/>
        <v>0.31384671772931005</v>
      </c>
      <c r="Y30" s="2">
        <f t="shared" si="123"/>
        <v>0.3589838574142431</v>
      </c>
      <c r="Z30" s="2">
        <f t="shared" si="123"/>
        <v>0.41072864448862639</v>
      </c>
      <c r="AA30" s="2">
        <f t="shared" si="123"/>
        <v>0.47046626668653735</v>
      </c>
      <c r="AB30" s="2">
        <f t="shared" si="123"/>
        <v>0.54000990781304037</v>
      </c>
      <c r="AC30" s="2">
        <f t="shared" si="123"/>
        <v>0.62177881033586746</v>
      </c>
      <c r="AD30" s="2">
        <f t="shared" si="123"/>
        <v>0.71907341857608231</v>
      </c>
      <c r="AE30" s="2">
        <f t="shared" si="123"/>
        <v>0.83651551018079373</v>
      </c>
      <c r="AF30" s="2">
        <f t="shared" si="123"/>
        <v>0.98078153994784389</v>
      </c>
      <c r="AG30" s="2">
        <f t="shared" si="123"/>
        <v>1.1618855338834528</v>
      </c>
      <c r="AH30" s="2">
        <f t="shared" si="123"/>
        <v>1.3955605407023011</v>
      </c>
      <c r="AI30" s="2">
        <f t="shared" ref="AI30:BN30" si="124">IFERROR(AI25/((((AI25^2)*(1+AI23))-AI23)^0.5),AI28)</f>
        <v>1.70801881699095</v>
      </c>
      <c r="AJ30" s="2">
        <f t="shared" si="124"/>
        <v>2.1464163817304032</v>
      </c>
      <c r="AK30" s="2">
        <f t="shared" si="124"/>
        <v>2.8049873938594398</v>
      </c>
      <c r="AL30" s="2">
        <f t="shared" si="124"/>
        <v>3.9033273688464369</v>
      </c>
      <c r="AM30" s="2">
        <f t="shared" si="124"/>
        <v>6.098718634915044</v>
      </c>
      <c r="AN30" s="2">
        <f t="shared" si="124"/>
        <v>12.659566924581251</v>
      </c>
      <c r="AO30" s="2">
        <f t="shared" si="124"/>
        <v>1921.5837087114464</v>
      </c>
      <c r="AP30" s="2">
        <f t="shared" si="124"/>
        <v>6.499999999999007</v>
      </c>
      <c r="AQ30" s="2">
        <f t="shared" si="124"/>
        <v>3.2529106029008803</v>
      </c>
      <c r="AR30" s="2">
        <f t="shared" si="124"/>
        <v>2.4982667258847973</v>
      </c>
      <c r="AS30" s="2">
        <f t="shared" si="124"/>
        <v>2.1257309304031207</v>
      </c>
      <c r="AT30" s="2">
        <f t="shared" si="124"/>
        <v>1.8960339956097945</v>
      </c>
      <c r="AU30" s="2">
        <f t="shared" si="124"/>
        <v>1.7376131616797115</v>
      </c>
      <c r="AV30" s="2">
        <f t="shared" si="124"/>
        <v>1.6206354136476369</v>
      </c>
      <c r="AW30" s="2">
        <f t="shared" si="124"/>
        <v>1.5301841113520063</v>
      </c>
      <c r="AX30" s="2">
        <f t="shared" si="124"/>
        <v>1.4578754741100259</v>
      </c>
      <c r="AY30" s="2">
        <f t="shared" si="124"/>
        <v>1.3985939180008431</v>
      </c>
      <c r="AZ30" s="2">
        <f t="shared" si="124"/>
        <v>1.3490213172523273</v>
      </c>
      <c r="BA30" s="2">
        <f t="shared" si="124"/>
        <v>1.3069011244615849</v>
      </c>
      <c r="BB30" s="2">
        <f t="shared" si="124"/>
        <v>1.2706396576782892</v>
      </c>
      <c r="BC30" s="2">
        <f t="shared" si="124"/>
        <v>1.2390760932765092</v>
      </c>
      <c r="BD30" s="2">
        <f t="shared" si="124"/>
        <v>1.2113428740117067</v>
      </c>
      <c r="BE30" s="2">
        <f t="shared" si="124"/>
        <v>1.1867773590313537</v>
      </c>
      <c r="BF30" s="2">
        <f t="shared" si="124"/>
        <v>1.1648638953701158</v>
      </c>
      <c r="BG30" s="2">
        <f t="shared" si="124"/>
        <v>1.1451946731274369</v>
      </c>
      <c r="BH30" s="2">
        <f t="shared" si="124"/>
        <v>1.1274425752841599</v>
      </c>
      <c r="BI30" s="2">
        <f t="shared" si="124"/>
        <v>1.1113419135083229</v>
      </c>
      <c r="BJ30" s="2">
        <f t="shared" si="124"/>
        <v>1.0966744827478272</v>
      </c>
      <c r="BK30" s="2">
        <f t="shared" si="124"/>
        <v>1.0832592849365161</v>
      </c>
      <c r="BL30" s="2">
        <f t="shared" si="124"/>
        <v>1.0709448350980926</v>
      </c>
      <c r="BM30" s="2">
        <f t="shared" si="124"/>
        <v>1.0596033179556184</v>
      </c>
      <c r="BN30" s="2">
        <f t="shared" si="124"/>
        <v>1.0491260922331147</v>
      </c>
      <c r="BO30" s="2">
        <f t="shared" ref="BO30:CG30" si="125">IFERROR(BO25/((((BO25^2)*(1+BO23))-BO23)^0.5),BO28)</f>
        <v>1.0394201909627108</v>
      </c>
      <c r="BP30" s="2">
        <f t="shared" si="125"/>
        <v>1.0304055677788071</v>
      </c>
      <c r="BQ30" s="2">
        <f t="shared" si="125"/>
        <v>1.022012908801389</v>
      </c>
      <c r="BR30" s="2">
        <f t="shared" si="125"/>
        <v>1.0141818781648655</v>
      </c>
      <c r="BS30" s="2">
        <f t="shared" si="125"/>
        <v>1.0068596994765564</v>
      </c>
      <c r="BT30" s="2">
        <f t="shared" si="125"/>
        <v>1</v>
      </c>
      <c r="BU30" s="2">
        <f t="shared" si="125"/>
        <v>0.98364952448341136</v>
      </c>
      <c r="BV30" s="2">
        <f t="shared" si="125"/>
        <v>0.96968886354199901</v>
      </c>
      <c r="BW30" s="2">
        <f t="shared" si="125"/>
        <v>0.95764882901245696</v>
      </c>
      <c r="BX30" s="2">
        <f t="shared" si="125"/>
        <v>0.94717460141752519</v>
      </c>
      <c r="BY30" s="2">
        <f t="shared" si="125"/>
        <v>0.93799284655816784</v>
      </c>
      <c r="BZ30" s="2">
        <f t="shared" si="125"/>
        <v>0.92988959753079037</v>
      </c>
      <c r="CA30" s="2">
        <f t="shared" si="125"/>
        <v>0.92269498895770885</v>
      </c>
      <c r="CB30" s="2">
        <f t="shared" si="125"/>
        <v>0.91627248062043054</v>
      </c>
      <c r="CC30" s="2">
        <f t="shared" si="125"/>
        <v>0.91051109785095585</v>
      </c>
      <c r="CD30" s="2">
        <f t="shared" si="125"/>
        <v>0.90531974492842737</v>
      </c>
      <c r="CE30" s="2">
        <f t="shared" si="125"/>
        <v>0.90062297158191629</v>
      </c>
      <c r="CF30" s="2">
        <f t="shared" si="125"/>
        <v>0.89635777637550818</v>
      </c>
      <c r="CG30" s="2">
        <f t="shared" si="125"/>
        <v>0.89247116194174292</v>
      </c>
    </row>
    <row r="31" spans="2:85">
      <c r="B31" s="2" t="s">
        <v>699</v>
      </c>
      <c r="C31" s="2">
        <f>1/(1+C23)</f>
        <v>0.68571428571428572</v>
      </c>
      <c r="D31" s="2">
        <f t="shared" ref="D31:AH31" si="126">1/(1+D23)</f>
        <v>0.68571428571428572</v>
      </c>
      <c r="E31" s="2">
        <f t="shared" si="126"/>
        <v>0.68571428571428572</v>
      </c>
      <c r="F31" s="2">
        <f t="shared" si="126"/>
        <v>0.68571428571428572</v>
      </c>
      <c r="G31" s="2">
        <f t="shared" si="126"/>
        <v>0.68571428571428572</v>
      </c>
      <c r="H31" s="2">
        <f t="shared" si="126"/>
        <v>0.68571428571428572</v>
      </c>
      <c r="I31" s="2">
        <f t="shared" si="126"/>
        <v>0.68571428571428572</v>
      </c>
      <c r="J31" s="2">
        <f t="shared" si="126"/>
        <v>0.68571428571428572</v>
      </c>
      <c r="K31" s="2">
        <f t="shared" si="126"/>
        <v>0.68571428571428572</v>
      </c>
      <c r="L31" s="2">
        <f t="shared" si="126"/>
        <v>0.68571428571428572</v>
      </c>
      <c r="M31" s="2">
        <f t="shared" si="126"/>
        <v>0.68571428571428572</v>
      </c>
      <c r="N31" s="2">
        <f t="shared" si="126"/>
        <v>0.68571428571428572</v>
      </c>
      <c r="O31" s="2">
        <f t="shared" si="126"/>
        <v>0.68571428571428572</v>
      </c>
      <c r="P31" s="2">
        <f t="shared" si="126"/>
        <v>0.68571428571428572</v>
      </c>
      <c r="Q31" s="2">
        <f t="shared" si="126"/>
        <v>0.68571428571428572</v>
      </c>
      <c r="R31" s="2">
        <f t="shared" si="126"/>
        <v>0.68571428571428572</v>
      </c>
      <c r="S31" s="2">
        <f t="shared" si="126"/>
        <v>0.68571428571428572</v>
      </c>
      <c r="T31" s="2">
        <f t="shared" si="126"/>
        <v>0.68571428571428572</v>
      </c>
      <c r="U31" s="2">
        <f t="shared" si="126"/>
        <v>0.68571428571428572</v>
      </c>
      <c r="V31" s="2">
        <f t="shared" si="126"/>
        <v>0.68571428571428572</v>
      </c>
      <c r="W31" s="2">
        <f t="shared" si="126"/>
        <v>0.68571428571428572</v>
      </c>
      <c r="X31" s="2">
        <f t="shared" si="126"/>
        <v>0.68571428571428572</v>
      </c>
      <c r="Y31" s="2">
        <f t="shared" si="126"/>
        <v>0.68571428571428572</v>
      </c>
      <c r="Z31" s="2">
        <f t="shared" si="126"/>
        <v>0.68571428571428572</v>
      </c>
      <c r="AA31" s="2">
        <f t="shared" si="126"/>
        <v>0.68571428571428572</v>
      </c>
      <c r="AB31" s="2">
        <f t="shared" si="126"/>
        <v>0.68571428571428572</v>
      </c>
      <c r="AC31" s="2">
        <f t="shared" si="126"/>
        <v>0.68571428571428572</v>
      </c>
      <c r="AD31" s="2">
        <f t="shared" si="126"/>
        <v>0.68571428571428572</v>
      </c>
      <c r="AE31" s="2">
        <f t="shared" si="126"/>
        <v>0.68571428571428572</v>
      </c>
      <c r="AF31" s="2">
        <f t="shared" si="126"/>
        <v>0.68571428571428572</v>
      </c>
      <c r="AG31" s="2">
        <f t="shared" si="126"/>
        <v>0.68571428571428572</v>
      </c>
      <c r="AH31" s="2">
        <f t="shared" si="126"/>
        <v>0.68571428571428572</v>
      </c>
      <c r="AI31" s="2">
        <f t="shared" ref="AI31:BN31" si="127">1/(1+AI23)</f>
        <v>0.68571428571428572</v>
      </c>
      <c r="AJ31" s="2">
        <f t="shared" si="127"/>
        <v>0.68571428571428572</v>
      </c>
      <c r="AK31" s="2">
        <f t="shared" si="127"/>
        <v>0.68571428571428572</v>
      </c>
      <c r="AL31" s="2">
        <f t="shared" si="127"/>
        <v>0.68571428571428572</v>
      </c>
      <c r="AM31" s="2">
        <f t="shared" si="127"/>
        <v>0.68571428571428572</v>
      </c>
      <c r="AN31" s="2">
        <f t="shared" si="127"/>
        <v>0.68571428571428572</v>
      </c>
      <c r="AO31" s="2">
        <f t="shared" si="127"/>
        <v>0.68571428571428572</v>
      </c>
      <c r="AP31" s="2">
        <f t="shared" si="127"/>
        <v>0.68571428571428572</v>
      </c>
      <c r="AQ31" s="2">
        <f t="shared" si="127"/>
        <v>0.68571428571428572</v>
      </c>
      <c r="AR31" s="2">
        <f t="shared" si="127"/>
        <v>0.68571428571428572</v>
      </c>
      <c r="AS31" s="2">
        <f t="shared" si="127"/>
        <v>0.68571428571428572</v>
      </c>
      <c r="AT31" s="2">
        <f t="shared" si="127"/>
        <v>0.68571428571428572</v>
      </c>
      <c r="AU31" s="2">
        <f t="shared" si="127"/>
        <v>0.68571428571428572</v>
      </c>
      <c r="AV31" s="2">
        <f t="shared" si="127"/>
        <v>0.68571428571428572</v>
      </c>
      <c r="AW31" s="2">
        <f t="shared" si="127"/>
        <v>0.68571428571428572</v>
      </c>
      <c r="AX31" s="2">
        <f t="shared" si="127"/>
        <v>0.68571428571428572</v>
      </c>
      <c r="AY31" s="2">
        <f t="shared" si="127"/>
        <v>0.68571428571428572</v>
      </c>
      <c r="AZ31" s="2">
        <f t="shared" si="127"/>
        <v>0.68571428571428572</v>
      </c>
      <c r="BA31" s="2">
        <f t="shared" si="127"/>
        <v>0.68571428571428572</v>
      </c>
      <c r="BB31" s="2">
        <f t="shared" si="127"/>
        <v>0.68571428571428572</v>
      </c>
      <c r="BC31" s="2">
        <f t="shared" si="127"/>
        <v>0.68571428571428572</v>
      </c>
      <c r="BD31" s="2">
        <f t="shared" si="127"/>
        <v>0.68571428571428572</v>
      </c>
      <c r="BE31" s="2">
        <f t="shared" si="127"/>
        <v>0.68571428571428572</v>
      </c>
      <c r="BF31" s="2">
        <f t="shared" si="127"/>
        <v>0.68571428571428572</v>
      </c>
      <c r="BG31" s="2">
        <f t="shared" si="127"/>
        <v>0.68571428571428572</v>
      </c>
      <c r="BH31" s="2">
        <f t="shared" si="127"/>
        <v>0.68571428571428572</v>
      </c>
      <c r="BI31" s="2">
        <f t="shared" si="127"/>
        <v>0.68571428571428572</v>
      </c>
      <c r="BJ31" s="2">
        <f t="shared" si="127"/>
        <v>0.68571428571428572</v>
      </c>
      <c r="BK31" s="2">
        <f t="shared" si="127"/>
        <v>0.68571428571428572</v>
      </c>
      <c r="BL31" s="2">
        <f t="shared" si="127"/>
        <v>0.68571428571428572</v>
      </c>
      <c r="BM31" s="2">
        <f t="shared" si="127"/>
        <v>0.68571428571428572</v>
      </c>
      <c r="BN31" s="2">
        <f t="shared" si="127"/>
        <v>0.68571428571428572</v>
      </c>
      <c r="BO31" s="2">
        <f t="shared" ref="BO31:CG31" si="128">1/(1+BO23)</f>
        <v>0.68571428571428572</v>
      </c>
      <c r="BP31" s="2">
        <f t="shared" si="128"/>
        <v>0.68571428571428572</v>
      </c>
      <c r="BQ31" s="2">
        <f t="shared" si="128"/>
        <v>0.68571428571428572</v>
      </c>
      <c r="BR31" s="2">
        <f t="shared" si="128"/>
        <v>0.68571428571428572</v>
      </c>
      <c r="BS31" s="2">
        <f t="shared" si="128"/>
        <v>0.68571428571428572</v>
      </c>
      <c r="BT31" s="2">
        <f t="shared" si="128"/>
        <v>0.68571428571428572</v>
      </c>
      <c r="BU31" s="2">
        <f t="shared" si="128"/>
        <v>0.68571428571428572</v>
      </c>
      <c r="BV31" s="2">
        <f t="shared" si="128"/>
        <v>0.68571428571428572</v>
      </c>
      <c r="BW31" s="2">
        <f t="shared" si="128"/>
        <v>0.68571428571428572</v>
      </c>
      <c r="BX31" s="2">
        <f t="shared" si="128"/>
        <v>0.68571428571428572</v>
      </c>
      <c r="BY31" s="2">
        <f t="shared" si="128"/>
        <v>0.68571428571428572</v>
      </c>
      <c r="BZ31" s="2">
        <f t="shared" si="128"/>
        <v>0.68571428571428572</v>
      </c>
      <c r="CA31" s="2">
        <f t="shared" si="128"/>
        <v>0.68571428571428572</v>
      </c>
      <c r="CB31" s="2">
        <f t="shared" si="128"/>
        <v>0.68571428571428572</v>
      </c>
      <c r="CC31" s="2">
        <f t="shared" si="128"/>
        <v>0.68571428571428572</v>
      </c>
      <c r="CD31" s="2">
        <f t="shared" si="128"/>
        <v>0.68571428571428572</v>
      </c>
      <c r="CE31" s="2">
        <f t="shared" si="128"/>
        <v>0.68571428571428572</v>
      </c>
      <c r="CF31" s="2">
        <f t="shared" si="128"/>
        <v>0.68571428571428572</v>
      </c>
      <c r="CG31" s="2">
        <f t="shared" si="128"/>
        <v>0.68571428571428572</v>
      </c>
    </row>
    <row r="33" spans="2:89">
      <c r="B33" s="33" t="s">
        <v>700</v>
      </c>
      <c r="C33" s="2">
        <f>PI()/2</f>
        <v>1.5707963267948966</v>
      </c>
      <c r="D33" s="2">
        <f t="shared" ref="D33:BO33" si="129">PI()/2</f>
        <v>1.5707963267948966</v>
      </c>
      <c r="E33" s="2">
        <f t="shared" si="129"/>
        <v>1.5707963267948966</v>
      </c>
      <c r="F33" s="2">
        <f t="shared" si="129"/>
        <v>1.5707963267948966</v>
      </c>
      <c r="G33" s="2">
        <f t="shared" si="129"/>
        <v>1.5707963267948966</v>
      </c>
      <c r="H33" s="2">
        <f t="shared" si="129"/>
        <v>1.5707963267948966</v>
      </c>
      <c r="I33" s="2">
        <f t="shared" si="129"/>
        <v>1.5707963267948966</v>
      </c>
      <c r="J33" s="2">
        <f t="shared" si="129"/>
        <v>1.5707963267948966</v>
      </c>
      <c r="K33" s="2">
        <f t="shared" si="129"/>
        <v>1.5707963267948966</v>
      </c>
      <c r="L33" s="2">
        <f t="shared" si="129"/>
        <v>1.5707963267948966</v>
      </c>
      <c r="M33" s="2">
        <f t="shared" si="129"/>
        <v>1.5707963267948966</v>
      </c>
      <c r="N33" s="2">
        <f t="shared" si="129"/>
        <v>1.5707963267948966</v>
      </c>
      <c r="O33" s="2">
        <f t="shared" si="129"/>
        <v>1.5707963267948966</v>
      </c>
      <c r="P33" s="2">
        <f t="shared" si="129"/>
        <v>1.5707963267948966</v>
      </c>
      <c r="Q33" s="2">
        <f t="shared" si="129"/>
        <v>1.5707963267948966</v>
      </c>
      <c r="R33" s="2">
        <f t="shared" si="129"/>
        <v>1.5707963267948966</v>
      </c>
      <c r="S33" s="2">
        <f t="shared" si="129"/>
        <v>1.5707963267948966</v>
      </c>
      <c r="T33" s="2">
        <f t="shared" si="129"/>
        <v>1.5707963267948966</v>
      </c>
      <c r="U33" s="2">
        <f t="shared" si="129"/>
        <v>1.5707963267948966</v>
      </c>
      <c r="V33" s="2">
        <f t="shared" si="129"/>
        <v>1.5707963267948966</v>
      </c>
      <c r="W33" s="2">
        <f t="shared" si="129"/>
        <v>1.5707963267948966</v>
      </c>
      <c r="X33" s="2">
        <f t="shared" si="129"/>
        <v>1.5707963267948966</v>
      </c>
      <c r="Y33" s="2">
        <f t="shared" si="129"/>
        <v>1.5707963267948966</v>
      </c>
      <c r="Z33" s="2">
        <f t="shared" si="129"/>
        <v>1.5707963267948966</v>
      </c>
      <c r="AA33" s="2">
        <f t="shared" si="129"/>
        <v>1.5707963267948966</v>
      </c>
      <c r="AB33" s="2">
        <f t="shared" si="129"/>
        <v>1.5707963267948966</v>
      </c>
      <c r="AC33" s="2">
        <f t="shared" si="129"/>
        <v>1.5707963267948966</v>
      </c>
      <c r="AD33" s="2">
        <f t="shared" si="129"/>
        <v>1.5707963267948966</v>
      </c>
      <c r="AE33" s="2">
        <f t="shared" si="129"/>
        <v>1.5707963267948966</v>
      </c>
      <c r="AF33" s="2">
        <f t="shared" si="129"/>
        <v>1.5707963267948966</v>
      </c>
      <c r="AG33" s="2">
        <f t="shared" si="129"/>
        <v>1.5707963267948966</v>
      </c>
      <c r="AH33" s="2">
        <f t="shared" si="129"/>
        <v>1.5707963267948966</v>
      </c>
      <c r="AI33" s="2">
        <f t="shared" si="129"/>
        <v>1.5707963267948966</v>
      </c>
      <c r="AJ33" s="2">
        <f t="shared" si="129"/>
        <v>1.5707963267948966</v>
      </c>
      <c r="AK33" s="2">
        <f t="shared" si="129"/>
        <v>1.5707963267948966</v>
      </c>
      <c r="AL33" s="2">
        <f t="shared" si="129"/>
        <v>1.5707963267948966</v>
      </c>
      <c r="AM33" s="2">
        <f t="shared" si="129"/>
        <v>1.5707963267948966</v>
      </c>
      <c r="AN33" s="2">
        <f t="shared" si="129"/>
        <v>1.5707963267948966</v>
      </c>
      <c r="AO33" s="2">
        <f t="shared" si="129"/>
        <v>1.5707963267948966</v>
      </c>
      <c r="AP33" s="2">
        <f t="shared" si="129"/>
        <v>1.5707963267948966</v>
      </c>
      <c r="AQ33" s="2">
        <f t="shared" si="129"/>
        <v>1.5707963267948966</v>
      </c>
      <c r="AR33" s="2">
        <f t="shared" si="129"/>
        <v>1.5707963267948966</v>
      </c>
      <c r="AS33" s="2">
        <f t="shared" si="129"/>
        <v>1.5707963267948966</v>
      </c>
      <c r="AT33" s="2">
        <f t="shared" si="129"/>
        <v>1.5707963267948966</v>
      </c>
      <c r="AU33" s="2">
        <f t="shared" si="129"/>
        <v>1.5707963267948966</v>
      </c>
      <c r="AV33" s="2">
        <f t="shared" si="129"/>
        <v>1.5707963267948966</v>
      </c>
      <c r="AW33" s="2">
        <f t="shared" si="129"/>
        <v>1.5707963267948966</v>
      </c>
      <c r="AX33" s="2">
        <f t="shared" si="129"/>
        <v>1.5707963267948966</v>
      </c>
      <c r="AY33" s="2">
        <f t="shared" si="129"/>
        <v>1.5707963267948966</v>
      </c>
      <c r="AZ33" s="2">
        <f t="shared" si="129"/>
        <v>1.5707963267948966</v>
      </c>
      <c r="BA33" s="2">
        <f t="shared" si="129"/>
        <v>1.5707963267948966</v>
      </c>
      <c r="BB33" s="2">
        <f t="shared" si="129"/>
        <v>1.5707963267948966</v>
      </c>
      <c r="BC33" s="2">
        <f t="shared" si="129"/>
        <v>1.5707963267948966</v>
      </c>
      <c r="BD33" s="2">
        <f t="shared" si="129"/>
        <v>1.5707963267948966</v>
      </c>
      <c r="BE33" s="2">
        <f t="shared" si="129"/>
        <v>1.5707963267948966</v>
      </c>
      <c r="BF33" s="2">
        <f t="shared" si="129"/>
        <v>1.5707963267948966</v>
      </c>
      <c r="BG33" s="2">
        <f t="shared" si="129"/>
        <v>1.5707963267948966</v>
      </c>
      <c r="BH33" s="2">
        <f t="shared" si="129"/>
        <v>1.5707963267948966</v>
      </c>
      <c r="BI33" s="2">
        <f t="shared" si="129"/>
        <v>1.5707963267948966</v>
      </c>
      <c r="BJ33" s="2">
        <f t="shared" si="129"/>
        <v>1.5707963267948966</v>
      </c>
      <c r="BK33" s="2">
        <f t="shared" si="129"/>
        <v>1.5707963267948966</v>
      </c>
      <c r="BL33" s="2">
        <f t="shared" si="129"/>
        <v>1.5707963267948966</v>
      </c>
      <c r="BM33" s="2">
        <f t="shared" si="129"/>
        <v>1.5707963267948966</v>
      </c>
      <c r="BN33" s="2">
        <f t="shared" si="129"/>
        <v>1.5707963267948966</v>
      </c>
      <c r="BO33" s="2">
        <f t="shared" si="129"/>
        <v>1.5707963267948966</v>
      </c>
      <c r="BP33" s="2">
        <f t="shared" ref="BP33:CG33" si="130">PI()/2</f>
        <v>1.5707963267948966</v>
      </c>
      <c r="BQ33" s="2">
        <f t="shared" si="130"/>
        <v>1.5707963267948966</v>
      </c>
      <c r="BR33" s="2">
        <f t="shared" si="130"/>
        <v>1.5707963267948966</v>
      </c>
      <c r="BS33" s="2">
        <f t="shared" si="130"/>
        <v>1.5707963267948966</v>
      </c>
      <c r="BT33" s="2">
        <f t="shared" si="130"/>
        <v>1.5707963267948966</v>
      </c>
      <c r="BU33" s="2">
        <f t="shared" si="130"/>
        <v>1.5707963267948966</v>
      </c>
      <c r="BV33" s="2">
        <f t="shared" si="130"/>
        <v>1.5707963267948966</v>
      </c>
      <c r="BW33" s="2">
        <f t="shared" si="130"/>
        <v>1.5707963267948966</v>
      </c>
      <c r="BX33" s="2">
        <f t="shared" si="130"/>
        <v>1.5707963267948966</v>
      </c>
      <c r="BY33" s="2">
        <f t="shared" si="130"/>
        <v>1.5707963267948966</v>
      </c>
      <c r="BZ33" s="2">
        <f t="shared" si="130"/>
        <v>1.5707963267948966</v>
      </c>
      <c r="CA33" s="2">
        <f t="shared" si="130"/>
        <v>1.5707963267948966</v>
      </c>
      <c r="CB33" s="2">
        <f t="shared" si="130"/>
        <v>1.5707963267948966</v>
      </c>
      <c r="CC33" s="2">
        <f t="shared" si="130"/>
        <v>1.5707963267948966</v>
      </c>
      <c r="CD33" s="2">
        <f t="shared" si="130"/>
        <v>1.5707963267948966</v>
      </c>
      <c r="CE33" s="2">
        <f t="shared" si="130"/>
        <v>1.5707963267948966</v>
      </c>
      <c r="CF33" s="2">
        <f t="shared" si="130"/>
        <v>1.5707963267948966</v>
      </c>
      <c r="CG33" s="2">
        <f t="shared" si="130"/>
        <v>1.5707963267948966</v>
      </c>
    </row>
    <row r="34" spans="2:89">
      <c r="B34" s="33" t="s">
        <v>701</v>
      </c>
      <c r="C34" s="2">
        <f>5*PI()/12</f>
        <v>1.3089969389957472</v>
      </c>
      <c r="D34" s="2">
        <f t="shared" ref="D34:BO34" si="131">5*PI()/12</f>
        <v>1.3089969389957472</v>
      </c>
      <c r="E34" s="2">
        <f t="shared" si="131"/>
        <v>1.3089969389957472</v>
      </c>
      <c r="F34" s="2">
        <f t="shared" si="131"/>
        <v>1.3089969389957472</v>
      </c>
      <c r="G34" s="2">
        <f t="shared" si="131"/>
        <v>1.3089969389957472</v>
      </c>
      <c r="H34" s="2">
        <f t="shared" si="131"/>
        <v>1.3089969389957472</v>
      </c>
      <c r="I34" s="2">
        <f t="shared" si="131"/>
        <v>1.3089969389957472</v>
      </c>
      <c r="J34" s="2">
        <f t="shared" si="131"/>
        <v>1.3089969389957472</v>
      </c>
      <c r="K34" s="2">
        <f t="shared" si="131"/>
        <v>1.3089969389957472</v>
      </c>
      <c r="L34" s="2">
        <f t="shared" si="131"/>
        <v>1.3089969389957472</v>
      </c>
      <c r="M34" s="2">
        <f t="shared" si="131"/>
        <v>1.3089969389957472</v>
      </c>
      <c r="N34" s="2">
        <f t="shared" si="131"/>
        <v>1.3089969389957472</v>
      </c>
      <c r="O34" s="2">
        <f t="shared" si="131"/>
        <v>1.3089969389957472</v>
      </c>
      <c r="P34" s="2">
        <f t="shared" si="131"/>
        <v>1.3089969389957472</v>
      </c>
      <c r="Q34" s="2">
        <f t="shared" si="131"/>
        <v>1.3089969389957472</v>
      </c>
      <c r="R34" s="2">
        <f t="shared" si="131"/>
        <v>1.3089969389957472</v>
      </c>
      <c r="S34" s="2">
        <f t="shared" si="131"/>
        <v>1.3089969389957472</v>
      </c>
      <c r="T34" s="2">
        <f t="shared" si="131"/>
        <v>1.3089969389957472</v>
      </c>
      <c r="U34" s="2">
        <f t="shared" si="131"/>
        <v>1.3089969389957472</v>
      </c>
      <c r="V34" s="2">
        <f t="shared" si="131"/>
        <v>1.3089969389957472</v>
      </c>
      <c r="W34" s="2">
        <f t="shared" si="131"/>
        <v>1.3089969389957472</v>
      </c>
      <c r="X34" s="2">
        <f t="shared" si="131"/>
        <v>1.3089969389957472</v>
      </c>
      <c r="Y34" s="2">
        <f t="shared" si="131"/>
        <v>1.3089969389957472</v>
      </c>
      <c r="Z34" s="2">
        <f t="shared" si="131"/>
        <v>1.3089969389957472</v>
      </c>
      <c r="AA34" s="2">
        <f t="shared" si="131"/>
        <v>1.3089969389957472</v>
      </c>
      <c r="AB34" s="2">
        <f t="shared" si="131"/>
        <v>1.3089969389957472</v>
      </c>
      <c r="AC34" s="2">
        <f t="shared" si="131"/>
        <v>1.3089969389957472</v>
      </c>
      <c r="AD34" s="2">
        <f t="shared" si="131"/>
        <v>1.3089969389957472</v>
      </c>
      <c r="AE34" s="2">
        <f t="shared" si="131"/>
        <v>1.3089969389957472</v>
      </c>
      <c r="AF34" s="2">
        <f t="shared" si="131"/>
        <v>1.3089969389957472</v>
      </c>
      <c r="AG34" s="2">
        <f t="shared" si="131"/>
        <v>1.3089969389957472</v>
      </c>
      <c r="AH34" s="2">
        <f t="shared" si="131"/>
        <v>1.3089969389957472</v>
      </c>
      <c r="AI34" s="2">
        <f t="shared" si="131"/>
        <v>1.3089969389957472</v>
      </c>
      <c r="AJ34" s="2">
        <f t="shared" si="131"/>
        <v>1.3089969389957472</v>
      </c>
      <c r="AK34" s="2">
        <f t="shared" si="131"/>
        <v>1.3089969389957472</v>
      </c>
      <c r="AL34" s="2">
        <f t="shared" si="131"/>
        <v>1.3089969389957472</v>
      </c>
      <c r="AM34" s="2">
        <f t="shared" si="131"/>
        <v>1.3089969389957472</v>
      </c>
      <c r="AN34" s="2">
        <f t="shared" si="131"/>
        <v>1.3089969389957472</v>
      </c>
      <c r="AO34" s="2">
        <f t="shared" si="131"/>
        <v>1.3089969389957472</v>
      </c>
      <c r="AP34" s="2">
        <f t="shared" si="131"/>
        <v>1.3089969389957472</v>
      </c>
      <c r="AQ34" s="2">
        <f t="shared" si="131"/>
        <v>1.3089969389957472</v>
      </c>
      <c r="AR34" s="2">
        <f t="shared" si="131"/>
        <v>1.3089969389957472</v>
      </c>
      <c r="AS34" s="2">
        <f t="shared" si="131"/>
        <v>1.3089969389957472</v>
      </c>
      <c r="AT34" s="2">
        <f t="shared" si="131"/>
        <v>1.3089969389957472</v>
      </c>
      <c r="AU34" s="2">
        <f t="shared" si="131"/>
        <v>1.3089969389957472</v>
      </c>
      <c r="AV34" s="2">
        <f t="shared" si="131"/>
        <v>1.3089969389957472</v>
      </c>
      <c r="AW34" s="2">
        <f t="shared" si="131"/>
        <v>1.3089969389957472</v>
      </c>
      <c r="AX34" s="2">
        <f t="shared" si="131"/>
        <v>1.3089969389957472</v>
      </c>
      <c r="AY34" s="2">
        <f t="shared" si="131"/>
        <v>1.3089969389957472</v>
      </c>
      <c r="AZ34" s="2">
        <f t="shared" si="131"/>
        <v>1.3089969389957472</v>
      </c>
      <c r="BA34" s="2">
        <f t="shared" si="131"/>
        <v>1.3089969389957472</v>
      </c>
      <c r="BB34" s="2">
        <f t="shared" si="131"/>
        <v>1.3089969389957472</v>
      </c>
      <c r="BC34" s="2">
        <f t="shared" si="131"/>
        <v>1.3089969389957472</v>
      </c>
      <c r="BD34" s="2">
        <f t="shared" si="131"/>
        <v>1.3089969389957472</v>
      </c>
      <c r="BE34" s="2">
        <f t="shared" si="131"/>
        <v>1.3089969389957472</v>
      </c>
      <c r="BF34" s="2">
        <f t="shared" si="131"/>
        <v>1.3089969389957472</v>
      </c>
      <c r="BG34" s="2">
        <f t="shared" si="131"/>
        <v>1.3089969389957472</v>
      </c>
      <c r="BH34" s="2">
        <f t="shared" si="131"/>
        <v>1.3089969389957472</v>
      </c>
      <c r="BI34" s="2">
        <f t="shared" si="131"/>
        <v>1.3089969389957472</v>
      </c>
      <c r="BJ34" s="2">
        <f t="shared" si="131"/>
        <v>1.3089969389957472</v>
      </c>
      <c r="BK34" s="2">
        <f t="shared" si="131"/>
        <v>1.3089969389957472</v>
      </c>
      <c r="BL34" s="2">
        <f t="shared" si="131"/>
        <v>1.3089969389957472</v>
      </c>
      <c r="BM34" s="2">
        <f t="shared" si="131"/>
        <v>1.3089969389957472</v>
      </c>
      <c r="BN34" s="2">
        <f t="shared" si="131"/>
        <v>1.3089969389957472</v>
      </c>
      <c r="BO34" s="2">
        <f t="shared" si="131"/>
        <v>1.3089969389957472</v>
      </c>
      <c r="BP34" s="2">
        <f t="shared" ref="BP34:CG34" si="132">5*PI()/12</f>
        <v>1.3089969389957472</v>
      </c>
      <c r="BQ34" s="2">
        <f t="shared" si="132"/>
        <v>1.3089969389957472</v>
      </c>
      <c r="BR34" s="2">
        <f t="shared" si="132"/>
        <v>1.3089969389957472</v>
      </c>
      <c r="BS34" s="2">
        <f t="shared" si="132"/>
        <v>1.3089969389957472</v>
      </c>
      <c r="BT34" s="2">
        <f t="shared" si="132"/>
        <v>1.3089969389957472</v>
      </c>
      <c r="BU34" s="2">
        <f t="shared" si="132"/>
        <v>1.3089969389957472</v>
      </c>
      <c r="BV34" s="2">
        <f t="shared" si="132"/>
        <v>1.3089969389957472</v>
      </c>
      <c r="BW34" s="2">
        <f t="shared" si="132"/>
        <v>1.3089969389957472</v>
      </c>
      <c r="BX34" s="2">
        <f t="shared" si="132"/>
        <v>1.3089969389957472</v>
      </c>
      <c r="BY34" s="2">
        <f t="shared" si="132"/>
        <v>1.3089969389957472</v>
      </c>
      <c r="BZ34" s="2">
        <f t="shared" si="132"/>
        <v>1.3089969389957472</v>
      </c>
      <c r="CA34" s="2">
        <f t="shared" si="132"/>
        <v>1.3089969389957472</v>
      </c>
      <c r="CB34" s="2">
        <f t="shared" si="132"/>
        <v>1.3089969389957472</v>
      </c>
      <c r="CC34" s="2">
        <f t="shared" si="132"/>
        <v>1.3089969389957472</v>
      </c>
      <c r="CD34" s="2">
        <f t="shared" si="132"/>
        <v>1.3089969389957472</v>
      </c>
      <c r="CE34" s="2">
        <f t="shared" si="132"/>
        <v>1.3089969389957472</v>
      </c>
      <c r="CF34" s="2">
        <f t="shared" si="132"/>
        <v>1.3089969389957472</v>
      </c>
      <c r="CG34" s="2">
        <f t="shared" si="132"/>
        <v>1.3089969389957472</v>
      </c>
    </row>
    <row r="35" spans="2:89">
      <c r="B35" s="33" t="s">
        <v>702</v>
      </c>
      <c r="C35" s="34">
        <f>PI()/3</f>
        <v>1.0471975511965976</v>
      </c>
      <c r="D35" s="34">
        <f t="shared" ref="D35:BO35" si="133">PI()/3</f>
        <v>1.0471975511965976</v>
      </c>
      <c r="E35" s="34">
        <f t="shared" si="133"/>
        <v>1.0471975511965976</v>
      </c>
      <c r="F35" s="34">
        <f t="shared" si="133"/>
        <v>1.0471975511965976</v>
      </c>
      <c r="G35" s="34">
        <f t="shared" si="133"/>
        <v>1.0471975511965976</v>
      </c>
      <c r="H35" s="34">
        <f t="shared" si="133"/>
        <v>1.0471975511965976</v>
      </c>
      <c r="I35" s="34">
        <f t="shared" si="133"/>
        <v>1.0471975511965976</v>
      </c>
      <c r="J35" s="34">
        <f t="shared" si="133"/>
        <v>1.0471975511965976</v>
      </c>
      <c r="K35" s="34">
        <f t="shared" si="133"/>
        <v>1.0471975511965976</v>
      </c>
      <c r="L35" s="34">
        <f t="shared" si="133"/>
        <v>1.0471975511965976</v>
      </c>
      <c r="M35" s="34">
        <f t="shared" si="133"/>
        <v>1.0471975511965976</v>
      </c>
      <c r="N35" s="34">
        <f t="shared" si="133"/>
        <v>1.0471975511965976</v>
      </c>
      <c r="O35" s="34">
        <f t="shared" si="133"/>
        <v>1.0471975511965976</v>
      </c>
      <c r="P35" s="34">
        <f t="shared" si="133"/>
        <v>1.0471975511965976</v>
      </c>
      <c r="Q35" s="34">
        <f t="shared" si="133"/>
        <v>1.0471975511965976</v>
      </c>
      <c r="R35" s="34">
        <f t="shared" si="133"/>
        <v>1.0471975511965976</v>
      </c>
      <c r="S35" s="34">
        <f t="shared" si="133"/>
        <v>1.0471975511965976</v>
      </c>
      <c r="T35" s="34">
        <f t="shared" si="133"/>
        <v>1.0471975511965976</v>
      </c>
      <c r="U35" s="34">
        <f t="shared" si="133"/>
        <v>1.0471975511965976</v>
      </c>
      <c r="V35" s="34">
        <f t="shared" si="133"/>
        <v>1.0471975511965976</v>
      </c>
      <c r="W35" s="34">
        <f t="shared" si="133"/>
        <v>1.0471975511965976</v>
      </c>
      <c r="X35" s="34">
        <f t="shared" si="133"/>
        <v>1.0471975511965976</v>
      </c>
      <c r="Y35" s="34">
        <f t="shared" si="133"/>
        <v>1.0471975511965976</v>
      </c>
      <c r="Z35" s="34">
        <f t="shared" si="133"/>
        <v>1.0471975511965976</v>
      </c>
      <c r="AA35" s="34">
        <f t="shared" si="133"/>
        <v>1.0471975511965976</v>
      </c>
      <c r="AB35" s="34">
        <f t="shared" si="133"/>
        <v>1.0471975511965976</v>
      </c>
      <c r="AC35" s="34">
        <f t="shared" si="133"/>
        <v>1.0471975511965976</v>
      </c>
      <c r="AD35" s="34">
        <f t="shared" si="133"/>
        <v>1.0471975511965976</v>
      </c>
      <c r="AE35" s="34">
        <f t="shared" si="133"/>
        <v>1.0471975511965976</v>
      </c>
      <c r="AF35" s="34">
        <f t="shared" si="133"/>
        <v>1.0471975511965976</v>
      </c>
      <c r="AG35" s="34">
        <f t="shared" si="133"/>
        <v>1.0471975511965976</v>
      </c>
      <c r="AH35" s="34">
        <f t="shared" si="133"/>
        <v>1.0471975511965976</v>
      </c>
      <c r="AI35" s="34">
        <f t="shared" si="133"/>
        <v>1.0471975511965976</v>
      </c>
      <c r="AJ35" s="34">
        <f t="shared" si="133"/>
        <v>1.0471975511965976</v>
      </c>
      <c r="AK35" s="34">
        <f t="shared" si="133"/>
        <v>1.0471975511965976</v>
      </c>
      <c r="AL35" s="34">
        <f t="shared" si="133"/>
        <v>1.0471975511965976</v>
      </c>
      <c r="AM35" s="34">
        <f t="shared" si="133"/>
        <v>1.0471975511965976</v>
      </c>
      <c r="AN35" s="34">
        <f t="shared" si="133"/>
        <v>1.0471975511965976</v>
      </c>
      <c r="AO35" s="34">
        <f t="shared" si="133"/>
        <v>1.0471975511965976</v>
      </c>
      <c r="AP35" s="34">
        <f t="shared" si="133"/>
        <v>1.0471975511965976</v>
      </c>
      <c r="AQ35" s="34">
        <f t="shared" si="133"/>
        <v>1.0471975511965976</v>
      </c>
      <c r="AR35" s="34">
        <f t="shared" si="133"/>
        <v>1.0471975511965976</v>
      </c>
      <c r="AS35" s="34">
        <f t="shared" si="133"/>
        <v>1.0471975511965976</v>
      </c>
      <c r="AT35" s="34">
        <f t="shared" si="133"/>
        <v>1.0471975511965976</v>
      </c>
      <c r="AU35" s="34">
        <f t="shared" si="133"/>
        <v>1.0471975511965976</v>
      </c>
      <c r="AV35" s="34">
        <f t="shared" si="133"/>
        <v>1.0471975511965976</v>
      </c>
      <c r="AW35" s="34">
        <f t="shared" si="133"/>
        <v>1.0471975511965976</v>
      </c>
      <c r="AX35" s="34">
        <f t="shared" si="133"/>
        <v>1.0471975511965976</v>
      </c>
      <c r="AY35" s="34">
        <f t="shared" si="133"/>
        <v>1.0471975511965976</v>
      </c>
      <c r="AZ35" s="34">
        <f t="shared" si="133"/>
        <v>1.0471975511965976</v>
      </c>
      <c r="BA35" s="34">
        <f t="shared" si="133"/>
        <v>1.0471975511965976</v>
      </c>
      <c r="BB35" s="34">
        <f t="shared" si="133"/>
        <v>1.0471975511965976</v>
      </c>
      <c r="BC35" s="34">
        <f t="shared" si="133"/>
        <v>1.0471975511965976</v>
      </c>
      <c r="BD35" s="34">
        <f t="shared" si="133"/>
        <v>1.0471975511965976</v>
      </c>
      <c r="BE35" s="34">
        <f t="shared" si="133"/>
        <v>1.0471975511965976</v>
      </c>
      <c r="BF35" s="34">
        <f t="shared" si="133"/>
        <v>1.0471975511965976</v>
      </c>
      <c r="BG35" s="34">
        <f t="shared" si="133"/>
        <v>1.0471975511965976</v>
      </c>
      <c r="BH35" s="34">
        <f t="shared" si="133"/>
        <v>1.0471975511965976</v>
      </c>
      <c r="BI35" s="34">
        <f t="shared" si="133"/>
        <v>1.0471975511965976</v>
      </c>
      <c r="BJ35" s="34">
        <f t="shared" si="133"/>
        <v>1.0471975511965976</v>
      </c>
      <c r="BK35" s="34">
        <f t="shared" si="133"/>
        <v>1.0471975511965976</v>
      </c>
      <c r="BL35" s="34">
        <f t="shared" si="133"/>
        <v>1.0471975511965976</v>
      </c>
      <c r="BM35" s="34">
        <f t="shared" si="133"/>
        <v>1.0471975511965976</v>
      </c>
      <c r="BN35" s="34">
        <f t="shared" si="133"/>
        <v>1.0471975511965976</v>
      </c>
      <c r="BO35" s="34">
        <f t="shared" si="133"/>
        <v>1.0471975511965976</v>
      </c>
      <c r="BP35" s="34">
        <f t="shared" ref="BP35:CG35" si="134">PI()/3</f>
        <v>1.0471975511965976</v>
      </c>
      <c r="BQ35" s="34">
        <f t="shared" si="134"/>
        <v>1.0471975511965976</v>
      </c>
      <c r="BR35" s="34">
        <f t="shared" si="134"/>
        <v>1.0471975511965976</v>
      </c>
      <c r="BS35" s="34">
        <f t="shared" si="134"/>
        <v>1.0471975511965976</v>
      </c>
      <c r="BT35" s="34">
        <f t="shared" si="134"/>
        <v>1.0471975511965976</v>
      </c>
      <c r="BU35" s="34">
        <f t="shared" si="134"/>
        <v>1.0471975511965976</v>
      </c>
      <c r="BV35" s="34">
        <f t="shared" si="134"/>
        <v>1.0471975511965976</v>
      </c>
      <c r="BW35" s="34">
        <f t="shared" si="134"/>
        <v>1.0471975511965976</v>
      </c>
      <c r="BX35" s="34">
        <f t="shared" si="134"/>
        <v>1.0471975511965976</v>
      </c>
      <c r="BY35" s="34">
        <f t="shared" si="134"/>
        <v>1.0471975511965976</v>
      </c>
      <c r="BZ35" s="34">
        <f t="shared" si="134"/>
        <v>1.0471975511965976</v>
      </c>
      <c r="CA35" s="34">
        <f t="shared" si="134"/>
        <v>1.0471975511965976</v>
      </c>
      <c r="CB35" s="34">
        <f t="shared" si="134"/>
        <v>1.0471975511965976</v>
      </c>
      <c r="CC35" s="34">
        <f t="shared" si="134"/>
        <v>1.0471975511965976</v>
      </c>
      <c r="CD35" s="34">
        <f t="shared" si="134"/>
        <v>1.0471975511965976</v>
      </c>
      <c r="CE35" s="34">
        <f t="shared" si="134"/>
        <v>1.0471975511965976</v>
      </c>
      <c r="CF35" s="34">
        <f t="shared" si="134"/>
        <v>1.0471975511965976</v>
      </c>
      <c r="CG35" s="34">
        <f t="shared" si="134"/>
        <v>1.0471975511965976</v>
      </c>
      <c r="CH35" s="34"/>
    </row>
    <row r="36" spans="2:89">
      <c r="B36" s="33" t="s">
        <v>703</v>
      </c>
      <c r="C36" s="34">
        <f>PI()/4</f>
        <v>0.78539816339744828</v>
      </c>
      <c r="D36" s="34">
        <f t="shared" ref="D36:BO36" si="135">PI()/4</f>
        <v>0.78539816339744828</v>
      </c>
      <c r="E36" s="34">
        <f t="shared" si="135"/>
        <v>0.78539816339744828</v>
      </c>
      <c r="F36" s="34">
        <f t="shared" si="135"/>
        <v>0.78539816339744828</v>
      </c>
      <c r="G36" s="34">
        <f t="shared" si="135"/>
        <v>0.78539816339744828</v>
      </c>
      <c r="H36" s="34">
        <f t="shared" si="135"/>
        <v>0.78539816339744828</v>
      </c>
      <c r="I36" s="34">
        <f t="shared" si="135"/>
        <v>0.78539816339744828</v>
      </c>
      <c r="J36" s="34">
        <f t="shared" si="135"/>
        <v>0.78539816339744828</v>
      </c>
      <c r="K36" s="34">
        <f t="shared" si="135"/>
        <v>0.78539816339744828</v>
      </c>
      <c r="L36" s="34">
        <f t="shared" si="135"/>
        <v>0.78539816339744828</v>
      </c>
      <c r="M36" s="34">
        <f t="shared" si="135"/>
        <v>0.78539816339744828</v>
      </c>
      <c r="N36" s="34">
        <f t="shared" si="135"/>
        <v>0.78539816339744828</v>
      </c>
      <c r="O36" s="34">
        <f t="shared" si="135"/>
        <v>0.78539816339744828</v>
      </c>
      <c r="P36" s="34">
        <f t="shared" si="135"/>
        <v>0.78539816339744828</v>
      </c>
      <c r="Q36" s="34">
        <f t="shared" si="135"/>
        <v>0.78539816339744828</v>
      </c>
      <c r="R36" s="34">
        <f t="shared" si="135"/>
        <v>0.78539816339744828</v>
      </c>
      <c r="S36" s="34">
        <f t="shared" si="135"/>
        <v>0.78539816339744828</v>
      </c>
      <c r="T36" s="34">
        <f t="shared" si="135"/>
        <v>0.78539816339744828</v>
      </c>
      <c r="U36" s="34">
        <f t="shared" si="135"/>
        <v>0.78539816339744828</v>
      </c>
      <c r="V36" s="34">
        <f t="shared" si="135"/>
        <v>0.78539816339744828</v>
      </c>
      <c r="W36" s="34">
        <f t="shared" si="135"/>
        <v>0.78539816339744828</v>
      </c>
      <c r="X36" s="34">
        <f t="shared" si="135"/>
        <v>0.78539816339744828</v>
      </c>
      <c r="Y36" s="34">
        <f t="shared" si="135"/>
        <v>0.78539816339744828</v>
      </c>
      <c r="Z36" s="34">
        <f t="shared" si="135"/>
        <v>0.78539816339744828</v>
      </c>
      <c r="AA36" s="34">
        <f t="shared" si="135"/>
        <v>0.78539816339744828</v>
      </c>
      <c r="AB36" s="34">
        <f t="shared" si="135"/>
        <v>0.78539816339744828</v>
      </c>
      <c r="AC36" s="34">
        <f t="shared" si="135"/>
        <v>0.78539816339744828</v>
      </c>
      <c r="AD36" s="34">
        <f t="shared" si="135"/>
        <v>0.78539816339744828</v>
      </c>
      <c r="AE36" s="34">
        <f t="shared" si="135"/>
        <v>0.78539816339744828</v>
      </c>
      <c r="AF36" s="34">
        <f t="shared" si="135"/>
        <v>0.78539816339744828</v>
      </c>
      <c r="AG36" s="34">
        <f t="shared" si="135"/>
        <v>0.78539816339744828</v>
      </c>
      <c r="AH36" s="34">
        <f t="shared" si="135"/>
        <v>0.78539816339744828</v>
      </c>
      <c r="AI36" s="34">
        <f t="shared" si="135"/>
        <v>0.78539816339744828</v>
      </c>
      <c r="AJ36" s="34">
        <f t="shared" si="135"/>
        <v>0.78539816339744828</v>
      </c>
      <c r="AK36" s="34">
        <f t="shared" si="135"/>
        <v>0.78539816339744828</v>
      </c>
      <c r="AL36" s="34">
        <f t="shared" si="135"/>
        <v>0.78539816339744828</v>
      </c>
      <c r="AM36" s="34">
        <f t="shared" si="135"/>
        <v>0.78539816339744828</v>
      </c>
      <c r="AN36" s="34">
        <f t="shared" si="135"/>
        <v>0.78539816339744828</v>
      </c>
      <c r="AO36" s="34">
        <f t="shared" si="135"/>
        <v>0.78539816339744828</v>
      </c>
      <c r="AP36" s="34">
        <f t="shared" si="135"/>
        <v>0.78539816339744828</v>
      </c>
      <c r="AQ36" s="34">
        <f t="shared" si="135"/>
        <v>0.78539816339744828</v>
      </c>
      <c r="AR36" s="34">
        <f t="shared" si="135"/>
        <v>0.78539816339744828</v>
      </c>
      <c r="AS36" s="34">
        <f t="shared" si="135"/>
        <v>0.78539816339744828</v>
      </c>
      <c r="AT36" s="34">
        <f t="shared" si="135"/>
        <v>0.78539816339744828</v>
      </c>
      <c r="AU36" s="34">
        <f t="shared" si="135"/>
        <v>0.78539816339744828</v>
      </c>
      <c r="AV36" s="34">
        <f t="shared" si="135"/>
        <v>0.78539816339744828</v>
      </c>
      <c r="AW36" s="34">
        <f t="shared" si="135"/>
        <v>0.78539816339744828</v>
      </c>
      <c r="AX36" s="34">
        <f t="shared" si="135"/>
        <v>0.78539816339744828</v>
      </c>
      <c r="AY36" s="34">
        <f t="shared" si="135"/>
        <v>0.78539816339744828</v>
      </c>
      <c r="AZ36" s="34">
        <f t="shared" si="135"/>
        <v>0.78539816339744828</v>
      </c>
      <c r="BA36" s="34">
        <f t="shared" si="135"/>
        <v>0.78539816339744828</v>
      </c>
      <c r="BB36" s="34">
        <f t="shared" si="135"/>
        <v>0.78539816339744828</v>
      </c>
      <c r="BC36" s="34">
        <f t="shared" si="135"/>
        <v>0.78539816339744828</v>
      </c>
      <c r="BD36" s="34">
        <f t="shared" si="135"/>
        <v>0.78539816339744828</v>
      </c>
      <c r="BE36" s="34">
        <f t="shared" si="135"/>
        <v>0.78539816339744828</v>
      </c>
      <c r="BF36" s="34">
        <f t="shared" si="135"/>
        <v>0.78539816339744828</v>
      </c>
      <c r="BG36" s="34">
        <f t="shared" si="135"/>
        <v>0.78539816339744828</v>
      </c>
      <c r="BH36" s="34">
        <f t="shared" si="135"/>
        <v>0.78539816339744828</v>
      </c>
      <c r="BI36" s="34">
        <f t="shared" si="135"/>
        <v>0.78539816339744828</v>
      </c>
      <c r="BJ36" s="34">
        <f t="shared" si="135"/>
        <v>0.78539816339744828</v>
      </c>
      <c r="BK36" s="34">
        <f t="shared" si="135"/>
        <v>0.78539816339744828</v>
      </c>
      <c r="BL36" s="34">
        <f t="shared" si="135"/>
        <v>0.78539816339744828</v>
      </c>
      <c r="BM36" s="34">
        <f t="shared" si="135"/>
        <v>0.78539816339744828</v>
      </c>
      <c r="BN36" s="34">
        <f t="shared" si="135"/>
        <v>0.78539816339744828</v>
      </c>
      <c r="BO36" s="34">
        <f t="shared" si="135"/>
        <v>0.78539816339744828</v>
      </c>
      <c r="BP36" s="34">
        <f t="shared" ref="BP36:CG36" si="136">PI()/4</f>
        <v>0.78539816339744828</v>
      </c>
      <c r="BQ36" s="34">
        <f t="shared" si="136"/>
        <v>0.78539816339744828</v>
      </c>
      <c r="BR36" s="34">
        <f t="shared" si="136"/>
        <v>0.78539816339744828</v>
      </c>
      <c r="BS36" s="34">
        <f t="shared" si="136"/>
        <v>0.78539816339744828</v>
      </c>
      <c r="BT36" s="34">
        <f t="shared" si="136"/>
        <v>0.78539816339744828</v>
      </c>
      <c r="BU36" s="34">
        <f t="shared" si="136"/>
        <v>0.78539816339744828</v>
      </c>
      <c r="BV36" s="34">
        <f t="shared" si="136"/>
        <v>0.78539816339744828</v>
      </c>
      <c r="BW36" s="34">
        <f t="shared" si="136"/>
        <v>0.78539816339744828</v>
      </c>
      <c r="BX36" s="34">
        <f t="shared" si="136"/>
        <v>0.78539816339744828</v>
      </c>
      <c r="BY36" s="34">
        <f t="shared" si="136"/>
        <v>0.78539816339744828</v>
      </c>
      <c r="BZ36" s="34">
        <f t="shared" si="136"/>
        <v>0.78539816339744828</v>
      </c>
      <c r="CA36" s="34">
        <f t="shared" si="136"/>
        <v>0.78539816339744828</v>
      </c>
      <c r="CB36" s="34">
        <f t="shared" si="136"/>
        <v>0.78539816339744828</v>
      </c>
      <c r="CC36" s="34">
        <f t="shared" si="136"/>
        <v>0.78539816339744828</v>
      </c>
      <c r="CD36" s="34">
        <f t="shared" si="136"/>
        <v>0.78539816339744828</v>
      </c>
      <c r="CE36" s="34">
        <f t="shared" si="136"/>
        <v>0.78539816339744828</v>
      </c>
      <c r="CF36" s="34">
        <f t="shared" si="136"/>
        <v>0.78539816339744828</v>
      </c>
      <c r="CG36" s="34">
        <f t="shared" si="136"/>
        <v>0.78539816339744828</v>
      </c>
      <c r="CH36" s="34"/>
    </row>
    <row r="37" spans="2:89">
      <c r="B37" s="33" t="s">
        <v>704</v>
      </c>
      <c r="C37" s="34">
        <f>PI()/6</f>
        <v>0.52359877559829882</v>
      </c>
      <c r="D37" s="34">
        <f t="shared" ref="D37:BO37" si="137">PI()/6</f>
        <v>0.52359877559829882</v>
      </c>
      <c r="E37" s="34">
        <f t="shared" si="137"/>
        <v>0.52359877559829882</v>
      </c>
      <c r="F37" s="34">
        <f t="shared" si="137"/>
        <v>0.52359877559829882</v>
      </c>
      <c r="G37" s="34">
        <f t="shared" si="137"/>
        <v>0.52359877559829882</v>
      </c>
      <c r="H37" s="34">
        <f t="shared" si="137"/>
        <v>0.52359877559829882</v>
      </c>
      <c r="I37" s="34">
        <f t="shared" si="137"/>
        <v>0.52359877559829882</v>
      </c>
      <c r="J37" s="34">
        <f t="shared" si="137"/>
        <v>0.52359877559829882</v>
      </c>
      <c r="K37" s="34">
        <f t="shared" si="137"/>
        <v>0.52359877559829882</v>
      </c>
      <c r="L37" s="34">
        <f t="shared" si="137"/>
        <v>0.52359877559829882</v>
      </c>
      <c r="M37" s="34">
        <f t="shared" si="137"/>
        <v>0.52359877559829882</v>
      </c>
      <c r="N37" s="34">
        <f t="shared" si="137"/>
        <v>0.52359877559829882</v>
      </c>
      <c r="O37" s="34">
        <f t="shared" si="137"/>
        <v>0.52359877559829882</v>
      </c>
      <c r="P37" s="34">
        <f t="shared" si="137"/>
        <v>0.52359877559829882</v>
      </c>
      <c r="Q37" s="34">
        <f t="shared" si="137"/>
        <v>0.52359877559829882</v>
      </c>
      <c r="R37" s="34">
        <f t="shared" si="137"/>
        <v>0.52359877559829882</v>
      </c>
      <c r="S37" s="34">
        <f t="shared" si="137"/>
        <v>0.52359877559829882</v>
      </c>
      <c r="T37" s="34">
        <f t="shared" si="137"/>
        <v>0.52359877559829882</v>
      </c>
      <c r="U37" s="34">
        <f t="shared" si="137"/>
        <v>0.52359877559829882</v>
      </c>
      <c r="V37" s="34">
        <f t="shared" si="137"/>
        <v>0.52359877559829882</v>
      </c>
      <c r="W37" s="34">
        <f t="shared" si="137"/>
        <v>0.52359877559829882</v>
      </c>
      <c r="X37" s="34">
        <f t="shared" si="137"/>
        <v>0.52359877559829882</v>
      </c>
      <c r="Y37" s="34">
        <f t="shared" si="137"/>
        <v>0.52359877559829882</v>
      </c>
      <c r="Z37" s="34">
        <f t="shared" si="137"/>
        <v>0.52359877559829882</v>
      </c>
      <c r="AA37" s="34">
        <f t="shared" si="137"/>
        <v>0.52359877559829882</v>
      </c>
      <c r="AB37" s="34">
        <f t="shared" si="137"/>
        <v>0.52359877559829882</v>
      </c>
      <c r="AC37" s="34">
        <f t="shared" si="137"/>
        <v>0.52359877559829882</v>
      </c>
      <c r="AD37" s="34">
        <f t="shared" si="137"/>
        <v>0.52359877559829882</v>
      </c>
      <c r="AE37" s="34">
        <f t="shared" si="137"/>
        <v>0.52359877559829882</v>
      </c>
      <c r="AF37" s="34">
        <f t="shared" si="137"/>
        <v>0.52359877559829882</v>
      </c>
      <c r="AG37" s="34">
        <f t="shared" si="137"/>
        <v>0.52359877559829882</v>
      </c>
      <c r="AH37" s="34">
        <f t="shared" si="137"/>
        <v>0.52359877559829882</v>
      </c>
      <c r="AI37" s="34">
        <f t="shared" si="137"/>
        <v>0.52359877559829882</v>
      </c>
      <c r="AJ37" s="34">
        <f t="shared" si="137"/>
        <v>0.52359877559829882</v>
      </c>
      <c r="AK37" s="34">
        <f t="shared" si="137"/>
        <v>0.52359877559829882</v>
      </c>
      <c r="AL37" s="34">
        <f t="shared" si="137"/>
        <v>0.52359877559829882</v>
      </c>
      <c r="AM37" s="34">
        <f t="shared" si="137"/>
        <v>0.52359877559829882</v>
      </c>
      <c r="AN37" s="34">
        <f t="shared" si="137"/>
        <v>0.52359877559829882</v>
      </c>
      <c r="AO37" s="34">
        <f t="shared" si="137"/>
        <v>0.52359877559829882</v>
      </c>
      <c r="AP37" s="34">
        <f t="shared" si="137"/>
        <v>0.52359877559829882</v>
      </c>
      <c r="AQ37" s="34">
        <f t="shared" si="137"/>
        <v>0.52359877559829882</v>
      </c>
      <c r="AR37" s="34">
        <f t="shared" si="137"/>
        <v>0.52359877559829882</v>
      </c>
      <c r="AS37" s="34">
        <f t="shared" si="137"/>
        <v>0.52359877559829882</v>
      </c>
      <c r="AT37" s="34">
        <f t="shared" si="137"/>
        <v>0.52359877559829882</v>
      </c>
      <c r="AU37" s="34">
        <f t="shared" si="137"/>
        <v>0.52359877559829882</v>
      </c>
      <c r="AV37" s="34">
        <f t="shared" si="137"/>
        <v>0.52359877559829882</v>
      </c>
      <c r="AW37" s="34">
        <f t="shared" si="137"/>
        <v>0.52359877559829882</v>
      </c>
      <c r="AX37" s="34">
        <f t="shared" si="137"/>
        <v>0.52359877559829882</v>
      </c>
      <c r="AY37" s="34">
        <f t="shared" si="137"/>
        <v>0.52359877559829882</v>
      </c>
      <c r="AZ37" s="34">
        <f t="shared" si="137"/>
        <v>0.52359877559829882</v>
      </c>
      <c r="BA37" s="34">
        <f t="shared" si="137"/>
        <v>0.52359877559829882</v>
      </c>
      <c r="BB37" s="34">
        <f t="shared" si="137"/>
        <v>0.52359877559829882</v>
      </c>
      <c r="BC37" s="34">
        <f t="shared" si="137"/>
        <v>0.52359877559829882</v>
      </c>
      <c r="BD37" s="34">
        <f t="shared" si="137"/>
        <v>0.52359877559829882</v>
      </c>
      <c r="BE37" s="34">
        <f t="shared" si="137"/>
        <v>0.52359877559829882</v>
      </c>
      <c r="BF37" s="34">
        <f t="shared" si="137"/>
        <v>0.52359877559829882</v>
      </c>
      <c r="BG37" s="34">
        <f t="shared" si="137"/>
        <v>0.52359877559829882</v>
      </c>
      <c r="BH37" s="34">
        <f t="shared" si="137"/>
        <v>0.52359877559829882</v>
      </c>
      <c r="BI37" s="34">
        <f t="shared" si="137"/>
        <v>0.52359877559829882</v>
      </c>
      <c r="BJ37" s="34">
        <f t="shared" si="137"/>
        <v>0.52359877559829882</v>
      </c>
      <c r="BK37" s="34">
        <f t="shared" si="137"/>
        <v>0.52359877559829882</v>
      </c>
      <c r="BL37" s="34">
        <f t="shared" si="137"/>
        <v>0.52359877559829882</v>
      </c>
      <c r="BM37" s="34">
        <f t="shared" si="137"/>
        <v>0.52359877559829882</v>
      </c>
      <c r="BN37" s="34">
        <f t="shared" si="137"/>
        <v>0.52359877559829882</v>
      </c>
      <c r="BO37" s="34">
        <f t="shared" si="137"/>
        <v>0.52359877559829882</v>
      </c>
      <c r="BP37" s="34">
        <f t="shared" ref="BP37:CG37" si="138">PI()/6</f>
        <v>0.52359877559829882</v>
      </c>
      <c r="BQ37" s="34">
        <f t="shared" si="138"/>
        <v>0.52359877559829882</v>
      </c>
      <c r="BR37" s="34">
        <f t="shared" si="138"/>
        <v>0.52359877559829882</v>
      </c>
      <c r="BS37" s="34">
        <f t="shared" si="138"/>
        <v>0.52359877559829882</v>
      </c>
      <c r="BT37" s="34">
        <f t="shared" si="138"/>
        <v>0.52359877559829882</v>
      </c>
      <c r="BU37" s="34">
        <f t="shared" si="138"/>
        <v>0.52359877559829882</v>
      </c>
      <c r="BV37" s="34">
        <f t="shared" si="138"/>
        <v>0.52359877559829882</v>
      </c>
      <c r="BW37" s="34">
        <f t="shared" si="138"/>
        <v>0.52359877559829882</v>
      </c>
      <c r="BX37" s="34">
        <f t="shared" si="138"/>
        <v>0.52359877559829882</v>
      </c>
      <c r="BY37" s="34">
        <f t="shared" si="138"/>
        <v>0.52359877559829882</v>
      </c>
      <c r="BZ37" s="34">
        <f t="shared" si="138"/>
        <v>0.52359877559829882</v>
      </c>
      <c r="CA37" s="34">
        <f t="shared" si="138"/>
        <v>0.52359877559829882</v>
      </c>
      <c r="CB37" s="34">
        <f t="shared" si="138"/>
        <v>0.52359877559829882</v>
      </c>
      <c r="CC37" s="34">
        <f t="shared" si="138"/>
        <v>0.52359877559829882</v>
      </c>
      <c r="CD37" s="34">
        <f t="shared" si="138"/>
        <v>0.52359877559829882</v>
      </c>
      <c r="CE37" s="34">
        <f t="shared" si="138"/>
        <v>0.52359877559829882</v>
      </c>
      <c r="CF37" s="34">
        <f t="shared" si="138"/>
        <v>0.52359877559829882</v>
      </c>
      <c r="CG37" s="34">
        <f t="shared" si="138"/>
        <v>0.52359877559829882</v>
      </c>
      <c r="CH37" s="34"/>
    </row>
    <row r="38" spans="2:89">
      <c r="B38" s="33" t="s">
        <v>705</v>
      </c>
      <c r="C38" s="34">
        <f>PI()/12</f>
        <v>0.26179938779914941</v>
      </c>
      <c r="D38" s="34">
        <f t="shared" ref="D38:BO38" si="139">PI()/12</f>
        <v>0.26179938779914941</v>
      </c>
      <c r="E38" s="34">
        <f t="shared" si="139"/>
        <v>0.26179938779914941</v>
      </c>
      <c r="F38" s="34">
        <f t="shared" si="139"/>
        <v>0.26179938779914941</v>
      </c>
      <c r="G38" s="34">
        <f t="shared" si="139"/>
        <v>0.26179938779914941</v>
      </c>
      <c r="H38" s="34">
        <f t="shared" si="139"/>
        <v>0.26179938779914941</v>
      </c>
      <c r="I38" s="34">
        <f t="shared" si="139"/>
        <v>0.26179938779914941</v>
      </c>
      <c r="J38" s="34">
        <f t="shared" si="139"/>
        <v>0.26179938779914941</v>
      </c>
      <c r="K38" s="34">
        <f t="shared" si="139"/>
        <v>0.26179938779914941</v>
      </c>
      <c r="L38" s="34">
        <f t="shared" si="139"/>
        <v>0.26179938779914941</v>
      </c>
      <c r="M38" s="34">
        <f t="shared" si="139"/>
        <v>0.26179938779914941</v>
      </c>
      <c r="N38" s="34">
        <f t="shared" si="139"/>
        <v>0.26179938779914941</v>
      </c>
      <c r="O38" s="34">
        <f t="shared" si="139"/>
        <v>0.26179938779914941</v>
      </c>
      <c r="P38" s="34">
        <f t="shared" si="139"/>
        <v>0.26179938779914941</v>
      </c>
      <c r="Q38" s="34">
        <f t="shared" si="139"/>
        <v>0.26179938779914941</v>
      </c>
      <c r="R38" s="34">
        <f t="shared" si="139"/>
        <v>0.26179938779914941</v>
      </c>
      <c r="S38" s="34">
        <f t="shared" si="139"/>
        <v>0.26179938779914941</v>
      </c>
      <c r="T38" s="34">
        <f t="shared" si="139"/>
        <v>0.26179938779914941</v>
      </c>
      <c r="U38" s="34">
        <f t="shared" si="139"/>
        <v>0.26179938779914941</v>
      </c>
      <c r="V38" s="34">
        <f t="shared" si="139"/>
        <v>0.26179938779914941</v>
      </c>
      <c r="W38" s="34">
        <f t="shared" si="139"/>
        <v>0.26179938779914941</v>
      </c>
      <c r="X38" s="34">
        <f t="shared" si="139"/>
        <v>0.26179938779914941</v>
      </c>
      <c r="Y38" s="34">
        <f t="shared" si="139"/>
        <v>0.26179938779914941</v>
      </c>
      <c r="Z38" s="34">
        <f t="shared" si="139"/>
        <v>0.26179938779914941</v>
      </c>
      <c r="AA38" s="34">
        <f t="shared" si="139"/>
        <v>0.26179938779914941</v>
      </c>
      <c r="AB38" s="34">
        <f t="shared" si="139"/>
        <v>0.26179938779914941</v>
      </c>
      <c r="AC38" s="34">
        <f t="shared" si="139"/>
        <v>0.26179938779914941</v>
      </c>
      <c r="AD38" s="34">
        <f t="shared" si="139"/>
        <v>0.26179938779914941</v>
      </c>
      <c r="AE38" s="34">
        <f t="shared" si="139"/>
        <v>0.26179938779914941</v>
      </c>
      <c r="AF38" s="34">
        <f t="shared" si="139"/>
        <v>0.26179938779914941</v>
      </c>
      <c r="AG38" s="34">
        <f t="shared" si="139"/>
        <v>0.26179938779914941</v>
      </c>
      <c r="AH38" s="34">
        <f t="shared" si="139"/>
        <v>0.26179938779914941</v>
      </c>
      <c r="AI38" s="34">
        <f t="shared" si="139"/>
        <v>0.26179938779914941</v>
      </c>
      <c r="AJ38" s="34">
        <f t="shared" si="139"/>
        <v>0.26179938779914941</v>
      </c>
      <c r="AK38" s="34">
        <f t="shared" si="139"/>
        <v>0.26179938779914941</v>
      </c>
      <c r="AL38" s="34">
        <f t="shared" si="139"/>
        <v>0.26179938779914941</v>
      </c>
      <c r="AM38" s="34">
        <f t="shared" si="139"/>
        <v>0.26179938779914941</v>
      </c>
      <c r="AN38" s="34">
        <f t="shared" si="139"/>
        <v>0.26179938779914941</v>
      </c>
      <c r="AO38" s="34">
        <f t="shared" si="139"/>
        <v>0.26179938779914941</v>
      </c>
      <c r="AP38" s="34">
        <f t="shared" si="139"/>
        <v>0.26179938779914941</v>
      </c>
      <c r="AQ38" s="34">
        <f t="shared" si="139"/>
        <v>0.26179938779914941</v>
      </c>
      <c r="AR38" s="34">
        <f t="shared" si="139"/>
        <v>0.26179938779914941</v>
      </c>
      <c r="AS38" s="34">
        <f t="shared" si="139"/>
        <v>0.26179938779914941</v>
      </c>
      <c r="AT38" s="34">
        <f t="shared" si="139"/>
        <v>0.26179938779914941</v>
      </c>
      <c r="AU38" s="34">
        <f t="shared" si="139"/>
        <v>0.26179938779914941</v>
      </c>
      <c r="AV38" s="34">
        <f t="shared" si="139"/>
        <v>0.26179938779914941</v>
      </c>
      <c r="AW38" s="34">
        <f t="shared" si="139"/>
        <v>0.26179938779914941</v>
      </c>
      <c r="AX38" s="34">
        <f t="shared" si="139"/>
        <v>0.26179938779914941</v>
      </c>
      <c r="AY38" s="34">
        <f t="shared" si="139"/>
        <v>0.26179938779914941</v>
      </c>
      <c r="AZ38" s="34">
        <f t="shared" si="139"/>
        <v>0.26179938779914941</v>
      </c>
      <c r="BA38" s="34">
        <f t="shared" si="139"/>
        <v>0.26179938779914941</v>
      </c>
      <c r="BB38" s="34">
        <f t="shared" si="139"/>
        <v>0.26179938779914941</v>
      </c>
      <c r="BC38" s="34">
        <f t="shared" si="139"/>
        <v>0.26179938779914941</v>
      </c>
      <c r="BD38" s="34">
        <f t="shared" si="139"/>
        <v>0.26179938779914941</v>
      </c>
      <c r="BE38" s="34">
        <f t="shared" si="139"/>
        <v>0.26179938779914941</v>
      </c>
      <c r="BF38" s="34">
        <f t="shared" si="139"/>
        <v>0.26179938779914941</v>
      </c>
      <c r="BG38" s="34">
        <f t="shared" si="139"/>
        <v>0.26179938779914941</v>
      </c>
      <c r="BH38" s="34">
        <f t="shared" si="139"/>
        <v>0.26179938779914941</v>
      </c>
      <c r="BI38" s="34">
        <f t="shared" si="139"/>
        <v>0.26179938779914941</v>
      </c>
      <c r="BJ38" s="34">
        <f t="shared" si="139"/>
        <v>0.26179938779914941</v>
      </c>
      <c r="BK38" s="34">
        <f t="shared" si="139"/>
        <v>0.26179938779914941</v>
      </c>
      <c r="BL38" s="34">
        <f t="shared" si="139"/>
        <v>0.26179938779914941</v>
      </c>
      <c r="BM38" s="34">
        <f t="shared" si="139"/>
        <v>0.26179938779914941</v>
      </c>
      <c r="BN38" s="34">
        <f t="shared" si="139"/>
        <v>0.26179938779914941</v>
      </c>
      <c r="BO38" s="34">
        <f t="shared" si="139"/>
        <v>0.26179938779914941</v>
      </c>
      <c r="BP38" s="34">
        <f t="shared" ref="BP38:CG38" si="140">PI()/12</f>
        <v>0.26179938779914941</v>
      </c>
      <c r="BQ38" s="34">
        <f t="shared" si="140"/>
        <v>0.26179938779914941</v>
      </c>
      <c r="BR38" s="34">
        <f t="shared" si="140"/>
        <v>0.26179938779914941</v>
      </c>
      <c r="BS38" s="34">
        <f t="shared" si="140"/>
        <v>0.26179938779914941</v>
      </c>
      <c r="BT38" s="34">
        <f t="shared" si="140"/>
        <v>0.26179938779914941</v>
      </c>
      <c r="BU38" s="34">
        <f t="shared" si="140"/>
        <v>0.26179938779914941</v>
      </c>
      <c r="BV38" s="34">
        <f t="shared" si="140"/>
        <v>0.26179938779914941</v>
      </c>
      <c r="BW38" s="34">
        <f t="shared" si="140"/>
        <v>0.26179938779914941</v>
      </c>
      <c r="BX38" s="34">
        <f t="shared" si="140"/>
        <v>0.26179938779914941</v>
      </c>
      <c r="BY38" s="34">
        <f t="shared" si="140"/>
        <v>0.26179938779914941</v>
      </c>
      <c r="BZ38" s="34">
        <f t="shared" si="140"/>
        <v>0.26179938779914941</v>
      </c>
      <c r="CA38" s="34">
        <f t="shared" si="140"/>
        <v>0.26179938779914941</v>
      </c>
      <c r="CB38" s="34">
        <f t="shared" si="140"/>
        <v>0.26179938779914941</v>
      </c>
      <c r="CC38" s="34">
        <f t="shared" si="140"/>
        <v>0.26179938779914941</v>
      </c>
      <c r="CD38" s="34">
        <f t="shared" si="140"/>
        <v>0.26179938779914941</v>
      </c>
      <c r="CE38" s="34">
        <f t="shared" si="140"/>
        <v>0.26179938779914941</v>
      </c>
      <c r="CF38" s="34">
        <f t="shared" si="140"/>
        <v>0.26179938779914941</v>
      </c>
      <c r="CG38" s="34">
        <f t="shared" si="140"/>
        <v>0.26179938779914941</v>
      </c>
      <c r="CH38" s="34"/>
    </row>
    <row r="39" spans="2:89">
      <c r="B39" s="2" t="s">
        <v>127</v>
      </c>
      <c r="C39" s="4">
        <f>'Preliminary Calculation'!$D$17</f>
        <v>98</v>
      </c>
      <c r="D39" s="4">
        <f>'Preliminary Calculation'!$D$17</f>
        <v>98</v>
      </c>
      <c r="E39" s="4">
        <f>'Preliminary Calculation'!$D$17</f>
        <v>98</v>
      </c>
      <c r="F39" s="4">
        <f>'Preliminary Calculation'!$D$17</f>
        <v>98</v>
      </c>
      <c r="G39" s="4">
        <f>'Preliminary Calculation'!$D$17</f>
        <v>98</v>
      </c>
      <c r="H39" s="4">
        <f>'Preliminary Calculation'!$D$17</f>
        <v>98</v>
      </c>
      <c r="I39" s="4">
        <f>'Preliminary Calculation'!$D$17</f>
        <v>98</v>
      </c>
      <c r="J39" s="4">
        <f>'Preliminary Calculation'!$D$17</f>
        <v>98</v>
      </c>
      <c r="K39" s="4">
        <f>'Preliminary Calculation'!$D$17</f>
        <v>98</v>
      </c>
      <c r="L39" s="4">
        <f>'Preliminary Calculation'!$D$17</f>
        <v>98</v>
      </c>
      <c r="M39" s="4">
        <f>'Preliminary Calculation'!$D$17</f>
        <v>98</v>
      </c>
      <c r="N39" s="4">
        <f>'Preliminary Calculation'!$D$17</f>
        <v>98</v>
      </c>
      <c r="O39" s="4">
        <f>'Preliminary Calculation'!$D$17</f>
        <v>98</v>
      </c>
      <c r="P39" s="4">
        <f>'Preliminary Calculation'!$D$17</f>
        <v>98</v>
      </c>
      <c r="Q39" s="4">
        <f>'Preliminary Calculation'!$D$17</f>
        <v>98</v>
      </c>
      <c r="R39" s="4">
        <f>'Preliminary Calculation'!$D$17</f>
        <v>98</v>
      </c>
      <c r="S39" s="4">
        <f>'Preliminary Calculation'!$D$17</f>
        <v>98</v>
      </c>
      <c r="T39" s="4">
        <f>'Preliminary Calculation'!$D$17</f>
        <v>98</v>
      </c>
      <c r="U39" s="4">
        <f>'Preliminary Calculation'!$D$17</f>
        <v>98</v>
      </c>
      <c r="V39" s="4">
        <f>'Preliminary Calculation'!$D$17</f>
        <v>98</v>
      </c>
      <c r="W39" s="4">
        <f>'Preliminary Calculation'!$D$17</f>
        <v>98</v>
      </c>
      <c r="X39" s="4">
        <f>'Preliminary Calculation'!$D$17</f>
        <v>98</v>
      </c>
      <c r="Y39" s="4">
        <f>'Preliminary Calculation'!$D$17</f>
        <v>98</v>
      </c>
      <c r="Z39" s="4">
        <f>'Preliminary Calculation'!$D$17</f>
        <v>98</v>
      </c>
      <c r="AA39" s="4">
        <f>'Preliminary Calculation'!$D$17</f>
        <v>98</v>
      </c>
      <c r="AB39" s="4">
        <f>'Preliminary Calculation'!$D$17</f>
        <v>98</v>
      </c>
      <c r="AC39" s="4">
        <f>'Preliminary Calculation'!$D$17</f>
        <v>98</v>
      </c>
      <c r="AD39" s="4">
        <f>'Preliminary Calculation'!$D$17</f>
        <v>98</v>
      </c>
      <c r="AE39" s="4">
        <f>'Preliminary Calculation'!$D$17</f>
        <v>98</v>
      </c>
      <c r="AF39" s="4">
        <f>'Preliminary Calculation'!$D$17</f>
        <v>98</v>
      </c>
      <c r="AG39" s="4">
        <f>'Preliminary Calculation'!$D$17</f>
        <v>98</v>
      </c>
      <c r="AH39" s="4">
        <f>'Preliminary Calculation'!$D$17</f>
        <v>98</v>
      </c>
      <c r="AI39" s="4">
        <f>'Preliminary Calculation'!$D$17</f>
        <v>98</v>
      </c>
      <c r="AJ39" s="4">
        <f>'Preliminary Calculation'!$D$17</f>
        <v>98</v>
      </c>
      <c r="AK39" s="4">
        <f>'Preliminary Calculation'!$D$17</f>
        <v>98</v>
      </c>
      <c r="AL39" s="4">
        <f>'Preliminary Calculation'!$D$17</f>
        <v>98</v>
      </c>
      <c r="AM39" s="4">
        <f>'Preliminary Calculation'!$D$17</f>
        <v>98</v>
      </c>
      <c r="AN39" s="4">
        <f>'Preliminary Calculation'!$D$17</f>
        <v>98</v>
      </c>
      <c r="AO39" s="4">
        <f>'Preliminary Calculation'!$D$17</f>
        <v>98</v>
      </c>
      <c r="AP39" s="4">
        <f>'Preliminary Calculation'!$D$17</f>
        <v>98</v>
      </c>
      <c r="AQ39" s="4">
        <f>'Preliminary Calculation'!$D$17</f>
        <v>98</v>
      </c>
      <c r="AR39" s="4">
        <f>'Preliminary Calculation'!$D$17</f>
        <v>98</v>
      </c>
      <c r="AS39" s="4">
        <f>'Preliminary Calculation'!$D$17</f>
        <v>98</v>
      </c>
      <c r="AT39" s="4">
        <f>'Preliminary Calculation'!$D$17</f>
        <v>98</v>
      </c>
      <c r="AU39" s="4">
        <f>'Preliminary Calculation'!$D$17</f>
        <v>98</v>
      </c>
      <c r="AV39" s="4">
        <f>'Preliminary Calculation'!$D$17</f>
        <v>98</v>
      </c>
      <c r="AW39" s="4">
        <f>'Preliminary Calculation'!$D$17</f>
        <v>98</v>
      </c>
      <c r="AX39" s="4">
        <f>'Preliminary Calculation'!$D$17</f>
        <v>98</v>
      </c>
      <c r="AY39" s="4">
        <f>'Preliminary Calculation'!$D$17</f>
        <v>98</v>
      </c>
      <c r="AZ39" s="4">
        <f>'Preliminary Calculation'!$D$17</f>
        <v>98</v>
      </c>
      <c r="BA39" s="4">
        <f>'Preliminary Calculation'!$D$17</f>
        <v>98</v>
      </c>
      <c r="BB39" s="4">
        <f>'Preliminary Calculation'!$D$17</f>
        <v>98</v>
      </c>
      <c r="BC39" s="4">
        <f>'Preliminary Calculation'!$D$17</f>
        <v>98</v>
      </c>
      <c r="BD39" s="4">
        <f>'Preliminary Calculation'!$D$17</f>
        <v>98</v>
      </c>
      <c r="BE39" s="4">
        <f>'Preliminary Calculation'!$D$17</f>
        <v>98</v>
      </c>
      <c r="BF39" s="4">
        <f>'Preliminary Calculation'!$D$17</f>
        <v>98</v>
      </c>
      <c r="BG39" s="4">
        <f>'Preliminary Calculation'!$D$17</f>
        <v>98</v>
      </c>
      <c r="BH39" s="4">
        <f>'Preliminary Calculation'!$D$17</f>
        <v>98</v>
      </c>
      <c r="BI39" s="4">
        <f>'Preliminary Calculation'!$D$17</f>
        <v>98</v>
      </c>
      <c r="BJ39" s="4">
        <f>'Preliminary Calculation'!$D$17</f>
        <v>98</v>
      </c>
      <c r="BK39" s="4">
        <f>'Preliminary Calculation'!$D$17</f>
        <v>98</v>
      </c>
      <c r="BL39" s="4">
        <f>'Preliminary Calculation'!$D$17</f>
        <v>98</v>
      </c>
      <c r="BM39" s="4">
        <f>'Preliminary Calculation'!$D$17</f>
        <v>98</v>
      </c>
      <c r="BN39" s="4">
        <f>'Preliminary Calculation'!$D$17</f>
        <v>98</v>
      </c>
      <c r="BO39" s="4">
        <f>'Preliminary Calculation'!$D$17</f>
        <v>98</v>
      </c>
      <c r="BP39" s="4">
        <f>'Preliminary Calculation'!$D$17</f>
        <v>98</v>
      </c>
      <c r="BQ39" s="4">
        <f>'Preliminary Calculation'!$D$17</f>
        <v>98</v>
      </c>
      <c r="BR39" s="4">
        <f>'Preliminary Calculation'!$D$17</f>
        <v>98</v>
      </c>
      <c r="BS39" s="4">
        <f>'Preliminary Calculation'!$D$17</f>
        <v>98</v>
      </c>
      <c r="BT39" s="4">
        <f>'Preliminary Calculation'!$D$17</f>
        <v>98</v>
      </c>
      <c r="BU39" s="4">
        <f>'Preliminary Calculation'!$D$17</f>
        <v>98</v>
      </c>
      <c r="BV39" s="4">
        <f>'Preliminary Calculation'!$D$17</f>
        <v>98</v>
      </c>
      <c r="BW39" s="4">
        <f>'Preliminary Calculation'!$D$17</f>
        <v>98</v>
      </c>
      <c r="BX39" s="4">
        <f>'Preliminary Calculation'!$D$17</f>
        <v>98</v>
      </c>
      <c r="BY39" s="4">
        <f>'Preliminary Calculation'!$D$17</f>
        <v>98</v>
      </c>
      <c r="BZ39" s="4">
        <f>'Preliminary Calculation'!$D$17</f>
        <v>98</v>
      </c>
      <c r="CA39" s="4">
        <f>'Preliminary Calculation'!$D$17</f>
        <v>98</v>
      </c>
      <c r="CB39" s="4">
        <f>'Preliminary Calculation'!$D$17</f>
        <v>98</v>
      </c>
      <c r="CC39" s="4">
        <f>'Preliminary Calculation'!$D$17</f>
        <v>98</v>
      </c>
      <c r="CD39" s="4">
        <f>'Preliminary Calculation'!$D$17</f>
        <v>98</v>
      </c>
      <c r="CE39" s="4">
        <f>'Preliminary Calculation'!$D$17</f>
        <v>98</v>
      </c>
      <c r="CF39" s="4">
        <f>'Preliminary Calculation'!$D$17</f>
        <v>98</v>
      </c>
      <c r="CG39" s="4">
        <f>'Preliminary Calculation'!$D$17</f>
        <v>98</v>
      </c>
      <c r="CH39" s="4"/>
    </row>
    <row r="40" spans="2:89">
      <c r="B40" s="2" t="s">
        <v>168</v>
      </c>
      <c r="C40" s="4">
        <f>'Res. Tank Design'!$D$52</f>
        <v>10.488088481701515</v>
      </c>
      <c r="D40" s="4">
        <f>'Res. Tank Design'!$D$52</f>
        <v>10.488088481701515</v>
      </c>
      <c r="E40" s="4">
        <f>'Res. Tank Design'!$D$52</f>
        <v>10.488088481701515</v>
      </c>
      <c r="F40" s="4">
        <f>'Res. Tank Design'!$D$52</f>
        <v>10.488088481701515</v>
      </c>
      <c r="G40" s="4">
        <f>'Res. Tank Design'!$D$52</f>
        <v>10.488088481701515</v>
      </c>
      <c r="H40" s="4">
        <f>'Res. Tank Design'!$D$52</f>
        <v>10.488088481701515</v>
      </c>
      <c r="I40" s="4">
        <f>'Res. Tank Design'!$D$52</f>
        <v>10.488088481701515</v>
      </c>
      <c r="J40" s="4">
        <f>'Res. Tank Design'!$D$52</f>
        <v>10.488088481701515</v>
      </c>
      <c r="K40" s="4">
        <f>'Res. Tank Design'!$D$52</f>
        <v>10.488088481701515</v>
      </c>
      <c r="L40" s="4">
        <f>'Res. Tank Design'!$D$52</f>
        <v>10.488088481701515</v>
      </c>
      <c r="M40" s="4">
        <f>'Res. Tank Design'!$D$52</f>
        <v>10.488088481701515</v>
      </c>
      <c r="N40" s="4">
        <f>'Res. Tank Design'!$D$52</f>
        <v>10.488088481701515</v>
      </c>
      <c r="O40" s="4">
        <f>'Res. Tank Design'!$D$52</f>
        <v>10.488088481701515</v>
      </c>
      <c r="P40" s="4">
        <f>'Res. Tank Design'!$D$52</f>
        <v>10.488088481701515</v>
      </c>
      <c r="Q40" s="4">
        <f>'Res. Tank Design'!$D$52</f>
        <v>10.488088481701515</v>
      </c>
      <c r="R40" s="4">
        <f>'Res. Tank Design'!$D$52</f>
        <v>10.488088481701515</v>
      </c>
      <c r="S40" s="4">
        <f>'Res. Tank Design'!$D$52</f>
        <v>10.488088481701515</v>
      </c>
      <c r="T40" s="4">
        <f>'Res. Tank Design'!$D$52</f>
        <v>10.488088481701515</v>
      </c>
      <c r="U40" s="4">
        <f>'Res. Tank Design'!$D$52</f>
        <v>10.488088481701515</v>
      </c>
      <c r="V40" s="4">
        <f>'Res. Tank Design'!$D$52</f>
        <v>10.488088481701515</v>
      </c>
      <c r="W40" s="4">
        <f>'Res. Tank Design'!$D$52</f>
        <v>10.488088481701515</v>
      </c>
      <c r="X40" s="4">
        <f>'Res. Tank Design'!$D$52</f>
        <v>10.488088481701515</v>
      </c>
      <c r="Y40" s="4">
        <f>'Res. Tank Design'!$D$52</f>
        <v>10.488088481701515</v>
      </c>
      <c r="Z40" s="4">
        <f>'Res. Tank Design'!$D$52</f>
        <v>10.488088481701515</v>
      </c>
      <c r="AA40" s="4">
        <f>'Res. Tank Design'!$D$52</f>
        <v>10.488088481701515</v>
      </c>
      <c r="AB40" s="4">
        <f>'Res. Tank Design'!$D$52</f>
        <v>10.488088481701515</v>
      </c>
      <c r="AC40" s="4">
        <f>'Res. Tank Design'!$D$52</f>
        <v>10.488088481701515</v>
      </c>
      <c r="AD40" s="4">
        <f>'Res. Tank Design'!$D$52</f>
        <v>10.488088481701515</v>
      </c>
      <c r="AE40" s="4">
        <f>'Res. Tank Design'!$D$52</f>
        <v>10.488088481701515</v>
      </c>
      <c r="AF40" s="4">
        <f>'Res. Tank Design'!$D$52</f>
        <v>10.488088481701515</v>
      </c>
      <c r="AG40" s="4">
        <f>'Res. Tank Design'!$D$52</f>
        <v>10.488088481701515</v>
      </c>
      <c r="AH40" s="4">
        <f>'Res. Tank Design'!$D$52</f>
        <v>10.488088481701515</v>
      </c>
      <c r="AI40" s="4">
        <f>'Res. Tank Design'!$D$52</f>
        <v>10.488088481701515</v>
      </c>
      <c r="AJ40" s="4">
        <f>'Res. Tank Design'!$D$52</f>
        <v>10.488088481701515</v>
      </c>
      <c r="AK40" s="4">
        <f>'Res. Tank Design'!$D$52</f>
        <v>10.488088481701515</v>
      </c>
      <c r="AL40" s="4">
        <f>'Res. Tank Design'!$D$52</f>
        <v>10.488088481701515</v>
      </c>
      <c r="AM40" s="4">
        <f>'Res. Tank Design'!$D$52</f>
        <v>10.488088481701515</v>
      </c>
      <c r="AN40" s="4">
        <f>'Res. Tank Design'!$D$52</f>
        <v>10.488088481701515</v>
      </c>
      <c r="AO40" s="4">
        <f>'Res. Tank Design'!$D$52</f>
        <v>10.488088481701515</v>
      </c>
      <c r="AP40" s="4">
        <f>'Res. Tank Design'!$D$52</f>
        <v>10.488088481701515</v>
      </c>
      <c r="AQ40" s="4">
        <f>'Res. Tank Design'!$D$52</f>
        <v>10.488088481701515</v>
      </c>
      <c r="AR40" s="4">
        <f>'Res. Tank Design'!$D$52</f>
        <v>10.488088481701515</v>
      </c>
      <c r="AS40" s="4">
        <f>'Res. Tank Design'!$D$52</f>
        <v>10.488088481701515</v>
      </c>
      <c r="AT40" s="4">
        <f>'Res. Tank Design'!$D$52</f>
        <v>10.488088481701515</v>
      </c>
      <c r="AU40" s="4">
        <f>'Res. Tank Design'!$D$52</f>
        <v>10.488088481701515</v>
      </c>
      <c r="AV40" s="4">
        <f>'Res. Tank Design'!$D$52</f>
        <v>10.488088481701515</v>
      </c>
      <c r="AW40" s="4">
        <f>'Res. Tank Design'!$D$52</f>
        <v>10.488088481701515</v>
      </c>
      <c r="AX40" s="4">
        <f>'Res. Tank Design'!$D$52</f>
        <v>10.488088481701515</v>
      </c>
      <c r="AY40" s="4">
        <f>'Res. Tank Design'!$D$52</f>
        <v>10.488088481701515</v>
      </c>
      <c r="AZ40" s="4">
        <f>'Res. Tank Design'!$D$52</f>
        <v>10.488088481701515</v>
      </c>
      <c r="BA40" s="4">
        <f>'Res. Tank Design'!$D$52</f>
        <v>10.488088481701515</v>
      </c>
      <c r="BB40" s="4">
        <f>'Res. Tank Design'!$D$52</f>
        <v>10.488088481701515</v>
      </c>
      <c r="BC40" s="4">
        <f>'Res. Tank Design'!$D$52</f>
        <v>10.488088481701515</v>
      </c>
      <c r="BD40" s="4">
        <f>'Res. Tank Design'!$D$52</f>
        <v>10.488088481701515</v>
      </c>
      <c r="BE40" s="4">
        <f>'Res. Tank Design'!$D$52</f>
        <v>10.488088481701515</v>
      </c>
      <c r="BF40" s="4">
        <f>'Res. Tank Design'!$D$52</f>
        <v>10.488088481701515</v>
      </c>
      <c r="BG40" s="4">
        <f>'Res. Tank Design'!$D$52</f>
        <v>10.488088481701515</v>
      </c>
      <c r="BH40" s="4">
        <f>'Res. Tank Design'!$D$52</f>
        <v>10.488088481701515</v>
      </c>
      <c r="BI40" s="4">
        <f>'Res. Tank Design'!$D$52</f>
        <v>10.488088481701515</v>
      </c>
      <c r="BJ40" s="4">
        <f>'Res. Tank Design'!$D$52</f>
        <v>10.488088481701515</v>
      </c>
      <c r="BK40" s="4">
        <f>'Res. Tank Design'!$D$52</f>
        <v>10.488088481701515</v>
      </c>
      <c r="BL40" s="4">
        <f>'Res. Tank Design'!$D$52</f>
        <v>10.488088481701515</v>
      </c>
      <c r="BM40" s="4">
        <f>'Res. Tank Design'!$D$52</f>
        <v>10.488088481701515</v>
      </c>
      <c r="BN40" s="4">
        <f>'Res. Tank Design'!$D$52</f>
        <v>10.488088481701515</v>
      </c>
      <c r="BO40" s="4">
        <f>'Res. Tank Design'!$D$52</f>
        <v>10.488088481701515</v>
      </c>
      <c r="BP40" s="4">
        <f>'Res. Tank Design'!$D$52</f>
        <v>10.488088481701515</v>
      </c>
      <c r="BQ40" s="4">
        <f>'Res. Tank Design'!$D$52</f>
        <v>10.488088481701515</v>
      </c>
      <c r="BR40" s="4">
        <f>'Res. Tank Design'!$D$52</f>
        <v>10.488088481701515</v>
      </c>
      <c r="BS40" s="4">
        <f>'Res. Tank Design'!$D$52</f>
        <v>10.488088481701515</v>
      </c>
      <c r="BT40" s="4">
        <f>'Res. Tank Design'!$D$52</f>
        <v>10.488088481701515</v>
      </c>
      <c r="BU40" s="4">
        <f>'Res. Tank Design'!$D$52</f>
        <v>10.488088481701515</v>
      </c>
      <c r="BV40" s="4">
        <f>'Res. Tank Design'!$D$52</f>
        <v>10.488088481701515</v>
      </c>
      <c r="BW40" s="4">
        <f>'Res. Tank Design'!$D$52</f>
        <v>10.488088481701515</v>
      </c>
      <c r="BX40" s="4">
        <f>'Res. Tank Design'!$D$52</f>
        <v>10.488088481701515</v>
      </c>
      <c r="BY40" s="4">
        <f>'Res. Tank Design'!$D$52</f>
        <v>10.488088481701515</v>
      </c>
      <c r="BZ40" s="4">
        <f>'Res. Tank Design'!$D$52</f>
        <v>10.488088481701515</v>
      </c>
      <c r="CA40" s="4">
        <f>'Res. Tank Design'!$D$52</f>
        <v>10.488088481701515</v>
      </c>
      <c r="CB40" s="4">
        <f>'Res. Tank Design'!$D$52</f>
        <v>10.488088481701515</v>
      </c>
      <c r="CC40" s="4">
        <f>'Res. Tank Design'!$D$52</f>
        <v>10.488088481701515</v>
      </c>
      <c r="CD40" s="4">
        <f>'Res. Tank Design'!$D$52</f>
        <v>10.488088481701515</v>
      </c>
      <c r="CE40" s="4">
        <f>'Res. Tank Design'!$D$52</f>
        <v>10.488088481701515</v>
      </c>
      <c r="CF40" s="4">
        <f>'Res. Tank Design'!$D$52</f>
        <v>10.488088481701515</v>
      </c>
      <c r="CG40" s="4">
        <f>'Res. Tank Design'!$D$52</f>
        <v>10.488088481701515</v>
      </c>
      <c r="CH40" s="4"/>
    </row>
    <row r="41" spans="2:89">
      <c r="B41" s="2" t="s">
        <v>706</v>
      </c>
      <c r="C41" s="2">
        <f>(C$40/(C$10^2))*((PI()^2)/4)*(C$12*100/C$39)*(((SIN(C33))^2)/((C$5+C$11*C$6)/C$11)^2)</f>
        <v>0.5001479368730567</v>
      </c>
      <c r="D41" s="2">
        <f t="shared" ref="D41:BO41" si="141">(D$40/(D$10^2))*((PI()^2)/4)*(D$12*100/D$39)*(((SIN(D33))^2)/((D$5+D$11*D$6)/D$11)^2)</f>
        <v>0.5001479368730567</v>
      </c>
      <c r="E41" s="2">
        <f t="shared" si="141"/>
        <v>0.5001479368730567</v>
      </c>
      <c r="F41" s="2">
        <f t="shared" si="141"/>
        <v>0.5001479368730567</v>
      </c>
      <c r="G41" s="2">
        <f t="shared" si="141"/>
        <v>0.5001479368730567</v>
      </c>
      <c r="H41" s="2">
        <f t="shared" si="141"/>
        <v>0.5001479368730567</v>
      </c>
      <c r="I41" s="2">
        <f t="shared" si="141"/>
        <v>0.5001479368730567</v>
      </c>
      <c r="J41" s="2">
        <f t="shared" si="141"/>
        <v>0.5001479368730567</v>
      </c>
      <c r="K41" s="2">
        <f t="shared" si="141"/>
        <v>0.5001479368730567</v>
      </c>
      <c r="L41" s="2">
        <f t="shared" si="141"/>
        <v>0.5001479368730567</v>
      </c>
      <c r="M41" s="2">
        <f t="shared" si="141"/>
        <v>0.5001479368730567</v>
      </c>
      <c r="N41" s="2">
        <f t="shared" si="141"/>
        <v>0.5001479368730567</v>
      </c>
      <c r="O41" s="2">
        <f t="shared" si="141"/>
        <v>0.5001479368730567</v>
      </c>
      <c r="P41" s="2">
        <f t="shared" si="141"/>
        <v>0.5001479368730567</v>
      </c>
      <c r="Q41" s="2">
        <f t="shared" si="141"/>
        <v>0.5001479368730567</v>
      </c>
      <c r="R41" s="2">
        <f t="shared" si="141"/>
        <v>0.5001479368730567</v>
      </c>
      <c r="S41" s="2">
        <f t="shared" si="141"/>
        <v>0.5001479368730567</v>
      </c>
      <c r="T41" s="2">
        <f t="shared" si="141"/>
        <v>0.5001479368730567</v>
      </c>
      <c r="U41" s="2">
        <f t="shared" si="141"/>
        <v>0.5001479368730567</v>
      </c>
      <c r="V41" s="2">
        <f t="shared" si="141"/>
        <v>0.5001479368730567</v>
      </c>
      <c r="W41" s="2">
        <f t="shared" si="141"/>
        <v>0.5001479368730567</v>
      </c>
      <c r="X41" s="2">
        <f t="shared" si="141"/>
        <v>0.5001479368730567</v>
      </c>
      <c r="Y41" s="2">
        <f t="shared" si="141"/>
        <v>0.5001479368730567</v>
      </c>
      <c r="Z41" s="2">
        <f t="shared" si="141"/>
        <v>0.5001479368730567</v>
      </c>
      <c r="AA41" s="2">
        <f t="shared" si="141"/>
        <v>0.5001479368730567</v>
      </c>
      <c r="AB41" s="2">
        <f t="shared" si="141"/>
        <v>0.5001479368730567</v>
      </c>
      <c r="AC41" s="2">
        <f t="shared" si="141"/>
        <v>0.5001479368730567</v>
      </c>
      <c r="AD41" s="2">
        <f t="shared" si="141"/>
        <v>0.5001479368730567</v>
      </c>
      <c r="AE41" s="2">
        <f t="shared" si="141"/>
        <v>0.5001479368730567</v>
      </c>
      <c r="AF41" s="2">
        <f t="shared" si="141"/>
        <v>0.5001479368730567</v>
      </c>
      <c r="AG41" s="2">
        <f t="shared" si="141"/>
        <v>0.5001479368730567</v>
      </c>
      <c r="AH41" s="2">
        <f t="shared" si="141"/>
        <v>0.5001479368730567</v>
      </c>
      <c r="AI41" s="2">
        <f t="shared" si="141"/>
        <v>0.5001479368730567</v>
      </c>
      <c r="AJ41" s="2">
        <f t="shared" si="141"/>
        <v>0.5001479368730567</v>
      </c>
      <c r="AK41" s="2">
        <f t="shared" si="141"/>
        <v>0.5001479368730567</v>
      </c>
      <c r="AL41" s="2">
        <f t="shared" si="141"/>
        <v>0.5001479368730567</v>
      </c>
      <c r="AM41" s="2">
        <f t="shared" si="141"/>
        <v>0.5001479368730567</v>
      </c>
      <c r="AN41" s="2">
        <f t="shared" si="141"/>
        <v>0.5001479368730567</v>
      </c>
      <c r="AO41" s="2">
        <f t="shared" si="141"/>
        <v>0.5001479368730567</v>
      </c>
      <c r="AP41" s="2">
        <f t="shared" si="141"/>
        <v>0.5001479368730567</v>
      </c>
      <c r="AQ41" s="2">
        <f t="shared" si="141"/>
        <v>0.5001479368730567</v>
      </c>
      <c r="AR41" s="2">
        <f t="shared" si="141"/>
        <v>0.5001479368730567</v>
      </c>
      <c r="AS41" s="2">
        <f t="shared" si="141"/>
        <v>0.5001479368730567</v>
      </c>
      <c r="AT41" s="2">
        <f t="shared" si="141"/>
        <v>0.5001479368730567</v>
      </c>
      <c r="AU41" s="2">
        <f t="shared" si="141"/>
        <v>0.5001479368730567</v>
      </c>
      <c r="AV41" s="2">
        <f t="shared" si="141"/>
        <v>0.5001479368730567</v>
      </c>
      <c r="AW41" s="2">
        <f t="shared" si="141"/>
        <v>0.5001479368730567</v>
      </c>
      <c r="AX41" s="2">
        <f t="shared" si="141"/>
        <v>0.5001479368730567</v>
      </c>
      <c r="AY41" s="2">
        <f t="shared" si="141"/>
        <v>0.5001479368730567</v>
      </c>
      <c r="AZ41" s="2">
        <f t="shared" si="141"/>
        <v>0.5001479368730567</v>
      </c>
      <c r="BA41" s="2">
        <f t="shared" si="141"/>
        <v>0.5001479368730567</v>
      </c>
      <c r="BB41" s="2">
        <f t="shared" si="141"/>
        <v>0.5001479368730567</v>
      </c>
      <c r="BC41" s="2">
        <f t="shared" si="141"/>
        <v>0.5001479368730567</v>
      </c>
      <c r="BD41" s="2">
        <f t="shared" si="141"/>
        <v>0.5001479368730567</v>
      </c>
      <c r="BE41" s="2">
        <f t="shared" si="141"/>
        <v>0.5001479368730567</v>
      </c>
      <c r="BF41" s="2">
        <f t="shared" si="141"/>
        <v>0.5001479368730567</v>
      </c>
      <c r="BG41" s="2">
        <f t="shared" si="141"/>
        <v>0.5001479368730567</v>
      </c>
      <c r="BH41" s="2">
        <f t="shared" si="141"/>
        <v>0.5001479368730567</v>
      </c>
      <c r="BI41" s="2">
        <f t="shared" si="141"/>
        <v>0.5001479368730567</v>
      </c>
      <c r="BJ41" s="2">
        <f t="shared" si="141"/>
        <v>0.5001479368730567</v>
      </c>
      <c r="BK41" s="2">
        <f t="shared" si="141"/>
        <v>0.5001479368730567</v>
      </c>
      <c r="BL41" s="2">
        <f t="shared" si="141"/>
        <v>0.5001479368730567</v>
      </c>
      <c r="BM41" s="2">
        <f t="shared" si="141"/>
        <v>0.5001479368730567</v>
      </c>
      <c r="BN41" s="2">
        <f t="shared" si="141"/>
        <v>0.5001479368730567</v>
      </c>
      <c r="BO41" s="2">
        <f t="shared" si="141"/>
        <v>0.5001479368730567</v>
      </c>
      <c r="BP41" s="2">
        <f t="shared" ref="BP41:CG41" si="142">(BP$40/(BP$10^2))*((PI()^2)/4)*(BP$12*100/BP$39)*(((SIN(BP33))^2)/((BP$5+BP$11*BP$6)/BP$11)^2)</f>
        <v>0.5001479368730567</v>
      </c>
      <c r="BQ41" s="2">
        <f t="shared" si="142"/>
        <v>0.5001479368730567</v>
      </c>
      <c r="BR41" s="2">
        <f t="shared" si="142"/>
        <v>0.5001479368730567</v>
      </c>
      <c r="BS41" s="2">
        <f t="shared" si="142"/>
        <v>0.5001479368730567</v>
      </c>
      <c r="BT41" s="2">
        <f t="shared" si="142"/>
        <v>0.5001479368730567</v>
      </c>
      <c r="BU41" s="2">
        <f t="shared" si="142"/>
        <v>0.5001479368730567</v>
      </c>
      <c r="BV41" s="2">
        <f t="shared" si="142"/>
        <v>0.5001479368730567</v>
      </c>
      <c r="BW41" s="2">
        <f t="shared" si="142"/>
        <v>0.5001479368730567</v>
      </c>
      <c r="BX41" s="2">
        <f t="shared" si="142"/>
        <v>0.5001479368730567</v>
      </c>
      <c r="BY41" s="2">
        <f t="shared" si="142"/>
        <v>0.5001479368730567</v>
      </c>
      <c r="BZ41" s="2">
        <f t="shared" si="142"/>
        <v>0.5001479368730567</v>
      </c>
      <c r="CA41" s="2">
        <f t="shared" si="142"/>
        <v>0.5001479368730567</v>
      </c>
      <c r="CB41" s="2">
        <f t="shared" si="142"/>
        <v>0.5001479368730567</v>
      </c>
      <c r="CC41" s="2">
        <f t="shared" si="142"/>
        <v>0.5001479368730567</v>
      </c>
      <c r="CD41" s="2">
        <f t="shared" si="142"/>
        <v>0.5001479368730567</v>
      </c>
      <c r="CE41" s="2">
        <f t="shared" si="142"/>
        <v>0.5001479368730567</v>
      </c>
      <c r="CF41" s="2">
        <f t="shared" si="142"/>
        <v>0.5001479368730567</v>
      </c>
      <c r="CG41" s="2">
        <f t="shared" si="142"/>
        <v>0.5001479368730567</v>
      </c>
    </row>
    <row r="42" spans="2:89">
      <c r="B42" s="2" t="s">
        <v>707</v>
      </c>
      <c r="C42" s="2">
        <f t="shared" ref="C42:BN42" si="143">(C$40/(C$10^2))*((PI()^2)/4)*(C$12*100/C$39)*(((SIN(C34))^2)/((C$5+C$11*C$6)/C$11)^2)</f>
        <v>0.46664437792774976</v>
      </c>
      <c r="D42" s="2">
        <f t="shared" si="143"/>
        <v>0.46664437792774976</v>
      </c>
      <c r="E42" s="2">
        <f t="shared" si="143"/>
        <v>0.46664437792774976</v>
      </c>
      <c r="F42" s="2">
        <f t="shared" si="143"/>
        <v>0.46664437792774976</v>
      </c>
      <c r="G42" s="2">
        <f t="shared" si="143"/>
        <v>0.46664437792774976</v>
      </c>
      <c r="H42" s="2">
        <f t="shared" si="143"/>
        <v>0.46664437792774976</v>
      </c>
      <c r="I42" s="2">
        <f t="shared" si="143"/>
        <v>0.46664437792774976</v>
      </c>
      <c r="J42" s="2">
        <f t="shared" si="143"/>
        <v>0.46664437792774976</v>
      </c>
      <c r="K42" s="2">
        <f t="shared" si="143"/>
        <v>0.46664437792774976</v>
      </c>
      <c r="L42" s="2">
        <f t="shared" si="143"/>
        <v>0.46664437792774976</v>
      </c>
      <c r="M42" s="2">
        <f t="shared" si="143"/>
        <v>0.46664437792774976</v>
      </c>
      <c r="N42" s="2">
        <f t="shared" si="143"/>
        <v>0.46664437792774976</v>
      </c>
      <c r="O42" s="2">
        <f t="shared" si="143"/>
        <v>0.46664437792774976</v>
      </c>
      <c r="P42" s="2">
        <f t="shared" si="143"/>
        <v>0.46664437792774976</v>
      </c>
      <c r="Q42" s="2">
        <f t="shared" si="143"/>
        <v>0.46664437792774976</v>
      </c>
      <c r="R42" s="2">
        <f t="shared" si="143"/>
        <v>0.46664437792774976</v>
      </c>
      <c r="S42" s="2">
        <f t="shared" si="143"/>
        <v>0.46664437792774976</v>
      </c>
      <c r="T42" s="2">
        <f t="shared" si="143"/>
        <v>0.46664437792774976</v>
      </c>
      <c r="U42" s="2">
        <f t="shared" si="143"/>
        <v>0.46664437792774976</v>
      </c>
      <c r="V42" s="2">
        <f t="shared" si="143"/>
        <v>0.46664437792774976</v>
      </c>
      <c r="W42" s="2">
        <f t="shared" si="143"/>
        <v>0.46664437792774976</v>
      </c>
      <c r="X42" s="2">
        <f t="shared" si="143"/>
        <v>0.46664437792774976</v>
      </c>
      <c r="Y42" s="2">
        <f t="shared" si="143"/>
        <v>0.46664437792774976</v>
      </c>
      <c r="Z42" s="2">
        <f t="shared" si="143"/>
        <v>0.46664437792774976</v>
      </c>
      <c r="AA42" s="2">
        <f t="shared" si="143"/>
        <v>0.46664437792774976</v>
      </c>
      <c r="AB42" s="2">
        <f t="shared" si="143"/>
        <v>0.46664437792774976</v>
      </c>
      <c r="AC42" s="2">
        <f t="shared" si="143"/>
        <v>0.46664437792774976</v>
      </c>
      <c r="AD42" s="2">
        <f t="shared" si="143"/>
        <v>0.46664437792774976</v>
      </c>
      <c r="AE42" s="2">
        <f t="shared" si="143"/>
        <v>0.46664437792774976</v>
      </c>
      <c r="AF42" s="2">
        <f t="shared" si="143"/>
        <v>0.46664437792774976</v>
      </c>
      <c r="AG42" s="2">
        <f t="shared" si="143"/>
        <v>0.46664437792774976</v>
      </c>
      <c r="AH42" s="2">
        <f t="shared" si="143"/>
        <v>0.46664437792774976</v>
      </c>
      <c r="AI42" s="2">
        <f t="shared" si="143"/>
        <v>0.46664437792774976</v>
      </c>
      <c r="AJ42" s="2">
        <f t="shared" si="143"/>
        <v>0.46664437792774976</v>
      </c>
      <c r="AK42" s="2">
        <f t="shared" si="143"/>
        <v>0.46664437792774976</v>
      </c>
      <c r="AL42" s="2">
        <f t="shared" si="143"/>
        <v>0.46664437792774976</v>
      </c>
      <c r="AM42" s="2">
        <f t="shared" si="143"/>
        <v>0.46664437792774976</v>
      </c>
      <c r="AN42" s="2">
        <f t="shared" si="143"/>
        <v>0.46664437792774976</v>
      </c>
      <c r="AO42" s="2">
        <f t="shared" si="143"/>
        <v>0.46664437792774976</v>
      </c>
      <c r="AP42" s="2">
        <f t="shared" si="143"/>
        <v>0.46664437792774976</v>
      </c>
      <c r="AQ42" s="2">
        <f t="shared" si="143"/>
        <v>0.46664437792774976</v>
      </c>
      <c r="AR42" s="2">
        <f t="shared" si="143"/>
        <v>0.46664437792774976</v>
      </c>
      <c r="AS42" s="2">
        <f t="shared" si="143"/>
        <v>0.46664437792774976</v>
      </c>
      <c r="AT42" s="2">
        <f t="shared" si="143"/>
        <v>0.46664437792774976</v>
      </c>
      <c r="AU42" s="2">
        <f t="shared" si="143"/>
        <v>0.46664437792774976</v>
      </c>
      <c r="AV42" s="2">
        <f t="shared" si="143"/>
        <v>0.46664437792774976</v>
      </c>
      <c r="AW42" s="2">
        <f t="shared" si="143"/>
        <v>0.46664437792774976</v>
      </c>
      <c r="AX42" s="2">
        <f t="shared" si="143"/>
        <v>0.46664437792774976</v>
      </c>
      <c r="AY42" s="2">
        <f t="shared" si="143"/>
        <v>0.46664437792774976</v>
      </c>
      <c r="AZ42" s="2">
        <f t="shared" si="143"/>
        <v>0.46664437792774976</v>
      </c>
      <c r="BA42" s="2">
        <f t="shared" si="143"/>
        <v>0.46664437792774976</v>
      </c>
      <c r="BB42" s="2">
        <f t="shared" si="143"/>
        <v>0.46664437792774976</v>
      </c>
      <c r="BC42" s="2">
        <f t="shared" si="143"/>
        <v>0.46664437792774976</v>
      </c>
      <c r="BD42" s="2">
        <f t="shared" si="143"/>
        <v>0.46664437792774976</v>
      </c>
      <c r="BE42" s="2">
        <f t="shared" si="143"/>
        <v>0.46664437792774976</v>
      </c>
      <c r="BF42" s="2">
        <f t="shared" si="143"/>
        <v>0.46664437792774976</v>
      </c>
      <c r="BG42" s="2">
        <f t="shared" si="143"/>
        <v>0.46664437792774976</v>
      </c>
      <c r="BH42" s="2">
        <f t="shared" si="143"/>
        <v>0.46664437792774976</v>
      </c>
      <c r="BI42" s="2">
        <f t="shared" si="143"/>
        <v>0.46664437792774976</v>
      </c>
      <c r="BJ42" s="2">
        <f t="shared" si="143"/>
        <v>0.46664437792774976</v>
      </c>
      <c r="BK42" s="2">
        <f t="shared" si="143"/>
        <v>0.46664437792774976</v>
      </c>
      <c r="BL42" s="2">
        <f t="shared" si="143"/>
        <v>0.46664437792774976</v>
      </c>
      <c r="BM42" s="2">
        <f t="shared" si="143"/>
        <v>0.46664437792774976</v>
      </c>
      <c r="BN42" s="2">
        <f t="shared" si="143"/>
        <v>0.46664437792774976</v>
      </c>
      <c r="BO42" s="2">
        <f t="shared" ref="BO42:CG42" si="144">(BO$40/(BO$10^2))*((PI()^2)/4)*(BO$12*100/BO$39)*(((SIN(BO34))^2)/((BO$5+BO$11*BO$6)/BO$11)^2)</f>
        <v>0.46664437792774976</v>
      </c>
      <c r="BP42" s="2">
        <f t="shared" si="144"/>
        <v>0.46664437792774976</v>
      </c>
      <c r="BQ42" s="2">
        <f t="shared" si="144"/>
        <v>0.46664437792774976</v>
      </c>
      <c r="BR42" s="2">
        <f t="shared" si="144"/>
        <v>0.46664437792774976</v>
      </c>
      <c r="BS42" s="2">
        <f t="shared" si="144"/>
        <v>0.46664437792774976</v>
      </c>
      <c r="BT42" s="2">
        <f t="shared" si="144"/>
        <v>0.46664437792774976</v>
      </c>
      <c r="BU42" s="2">
        <f t="shared" si="144"/>
        <v>0.46664437792774976</v>
      </c>
      <c r="BV42" s="2">
        <f t="shared" si="144"/>
        <v>0.46664437792774976</v>
      </c>
      <c r="BW42" s="2">
        <f t="shared" si="144"/>
        <v>0.46664437792774976</v>
      </c>
      <c r="BX42" s="2">
        <f t="shared" si="144"/>
        <v>0.46664437792774976</v>
      </c>
      <c r="BY42" s="2">
        <f t="shared" si="144"/>
        <v>0.46664437792774976</v>
      </c>
      <c r="BZ42" s="2">
        <f t="shared" si="144"/>
        <v>0.46664437792774976</v>
      </c>
      <c r="CA42" s="2">
        <f t="shared" si="144"/>
        <v>0.46664437792774976</v>
      </c>
      <c r="CB42" s="2">
        <f t="shared" si="144"/>
        <v>0.46664437792774976</v>
      </c>
      <c r="CC42" s="2">
        <f t="shared" si="144"/>
        <v>0.46664437792774976</v>
      </c>
      <c r="CD42" s="2">
        <f t="shared" si="144"/>
        <v>0.46664437792774976</v>
      </c>
      <c r="CE42" s="2">
        <f t="shared" si="144"/>
        <v>0.46664437792774976</v>
      </c>
      <c r="CF42" s="2">
        <f t="shared" si="144"/>
        <v>0.46664437792774976</v>
      </c>
      <c r="CG42" s="2">
        <f t="shared" si="144"/>
        <v>0.46664437792774976</v>
      </c>
    </row>
    <row r="43" spans="2:89">
      <c r="B43" s="2" t="s">
        <v>708</v>
      </c>
      <c r="C43" s="2">
        <f t="shared" ref="C43:BN43" si="145">(C$40/(C$10^2))*((PI()^2)/4)*(C$12*100/C$39)*(((SIN(C35))^2)/((C$5+C$11*C$6)/C$11)^2)</f>
        <v>0.37511095265479244</v>
      </c>
      <c r="D43" s="2">
        <f t="shared" si="145"/>
        <v>0.37511095265479244</v>
      </c>
      <c r="E43" s="2">
        <f t="shared" si="145"/>
        <v>0.37511095265479244</v>
      </c>
      <c r="F43" s="2">
        <f t="shared" si="145"/>
        <v>0.37511095265479244</v>
      </c>
      <c r="G43" s="2">
        <f t="shared" si="145"/>
        <v>0.37511095265479244</v>
      </c>
      <c r="H43" s="2">
        <f t="shared" si="145"/>
        <v>0.37511095265479244</v>
      </c>
      <c r="I43" s="2">
        <f t="shared" si="145"/>
        <v>0.37511095265479244</v>
      </c>
      <c r="J43" s="2">
        <f t="shared" si="145"/>
        <v>0.37511095265479244</v>
      </c>
      <c r="K43" s="2">
        <f t="shared" si="145"/>
        <v>0.37511095265479244</v>
      </c>
      <c r="L43" s="2">
        <f t="shared" si="145"/>
        <v>0.37511095265479244</v>
      </c>
      <c r="M43" s="2">
        <f t="shared" si="145"/>
        <v>0.37511095265479244</v>
      </c>
      <c r="N43" s="2">
        <f t="shared" si="145"/>
        <v>0.37511095265479244</v>
      </c>
      <c r="O43" s="2">
        <f t="shared" si="145"/>
        <v>0.37511095265479244</v>
      </c>
      <c r="P43" s="2">
        <f t="shared" si="145"/>
        <v>0.37511095265479244</v>
      </c>
      <c r="Q43" s="2">
        <f t="shared" si="145"/>
        <v>0.37511095265479244</v>
      </c>
      <c r="R43" s="2">
        <f t="shared" si="145"/>
        <v>0.37511095265479244</v>
      </c>
      <c r="S43" s="2">
        <f t="shared" si="145"/>
        <v>0.37511095265479244</v>
      </c>
      <c r="T43" s="2">
        <f t="shared" si="145"/>
        <v>0.37511095265479244</v>
      </c>
      <c r="U43" s="2">
        <f t="shared" si="145"/>
        <v>0.37511095265479244</v>
      </c>
      <c r="V43" s="2">
        <f t="shared" si="145"/>
        <v>0.37511095265479244</v>
      </c>
      <c r="W43" s="2">
        <f t="shared" si="145"/>
        <v>0.37511095265479244</v>
      </c>
      <c r="X43" s="2">
        <f t="shared" si="145"/>
        <v>0.37511095265479244</v>
      </c>
      <c r="Y43" s="2">
        <f t="shared" si="145"/>
        <v>0.37511095265479244</v>
      </c>
      <c r="Z43" s="2">
        <f t="shared" si="145"/>
        <v>0.37511095265479244</v>
      </c>
      <c r="AA43" s="2">
        <f t="shared" si="145"/>
        <v>0.37511095265479244</v>
      </c>
      <c r="AB43" s="2">
        <f t="shared" si="145"/>
        <v>0.37511095265479244</v>
      </c>
      <c r="AC43" s="2">
        <f t="shared" si="145"/>
        <v>0.37511095265479244</v>
      </c>
      <c r="AD43" s="2">
        <f t="shared" si="145"/>
        <v>0.37511095265479244</v>
      </c>
      <c r="AE43" s="2">
        <f t="shared" si="145"/>
        <v>0.37511095265479244</v>
      </c>
      <c r="AF43" s="2">
        <f t="shared" si="145"/>
        <v>0.37511095265479244</v>
      </c>
      <c r="AG43" s="2">
        <f t="shared" si="145"/>
        <v>0.37511095265479244</v>
      </c>
      <c r="AH43" s="2">
        <f t="shared" si="145"/>
        <v>0.37511095265479244</v>
      </c>
      <c r="AI43" s="2">
        <f t="shared" si="145"/>
        <v>0.37511095265479244</v>
      </c>
      <c r="AJ43" s="2">
        <f t="shared" si="145"/>
        <v>0.37511095265479244</v>
      </c>
      <c r="AK43" s="2">
        <f t="shared" si="145"/>
        <v>0.37511095265479244</v>
      </c>
      <c r="AL43" s="2">
        <f t="shared" si="145"/>
        <v>0.37511095265479244</v>
      </c>
      <c r="AM43" s="2">
        <f t="shared" si="145"/>
        <v>0.37511095265479244</v>
      </c>
      <c r="AN43" s="2">
        <f t="shared" si="145"/>
        <v>0.37511095265479244</v>
      </c>
      <c r="AO43" s="2">
        <f t="shared" si="145"/>
        <v>0.37511095265479244</v>
      </c>
      <c r="AP43" s="2">
        <f t="shared" si="145"/>
        <v>0.37511095265479244</v>
      </c>
      <c r="AQ43" s="2">
        <f t="shared" si="145"/>
        <v>0.37511095265479244</v>
      </c>
      <c r="AR43" s="2">
        <f t="shared" si="145"/>
        <v>0.37511095265479244</v>
      </c>
      <c r="AS43" s="2">
        <f t="shared" si="145"/>
        <v>0.37511095265479244</v>
      </c>
      <c r="AT43" s="2">
        <f t="shared" si="145"/>
        <v>0.37511095265479244</v>
      </c>
      <c r="AU43" s="2">
        <f t="shared" si="145"/>
        <v>0.37511095265479244</v>
      </c>
      <c r="AV43" s="2">
        <f t="shared" si="145"/>
        <v>0.37511095265479244</v>
      </c>
      <c r="AW43" s="2">
        <f t="shared" si="145"/>
        <v>0.37511095265479244</v>
      </c>
      <c r="AX43" s="2">
        <f t="shared" si="145"/>
        <v>0.37511095265479244</v>
      </c>
      <c r="AY43" s="2">
        <f t="shared" si="145"/>
        <v>0.37511095265479244</v>
      </c>
      <c r="AZ43" s="2">
        <f t="shared" si="145"/>
        <v>0.37511095265479244</v>
      </c>
      <c r="BA43" s="2">
        <f t="shared" si="145"/>
        <v>0.37511095265479244</v>
      </c>
      <c r="BB43" s="2">
        <f t="shared" si="145"/>
        <v>0.37511095265479244</v>
      </c>
      <c r="BC43" s="2">
        <f t="shared" si="145"/>
        <v>0.37511095265479244</v>
      </c>
      <c r="BD43" s="2">
        <f t="shared" si="145"/>
        <v>0.37511095265479244</v>
      </c>
      <c r="BE43" s="2">
        <f t="shared" si="145"/>
        <v>0.37511095265479244</v>
      </c>
      <c r="BF43" s="2">
        <f t="shared" si="145"/>
        <v>0.37511095265479244</v>
      </c>
      <c r="BG43" s="2">
        <f t="shared" si="145"/>
        <v>0.37511095265479244</v>
      </c>
      <c r="BH43" s="2">
        <f t="shared" si="145"/>
        <v>0.37511095265479244</v>
      </c>
      <c r="BI43" s="2">
        <f t="shared" si="145"/>
        <v>0.37511095265479244</v>
      </c>
      <c r="BJ43" s="2">
        <f t="shared" si="145"/>
        <v>0.37511095265479244</v>
      </c>
      <c r="BK43" s="2">
        <f t="shared" si="145"/>
        <v>0.37511095265479244</v>
      </c>
      <c r="BL43" s="2">
        <f t="shared" si="145"/>
        <v>0.37511095265479244</v>
      </c>
      <c r="BM43" s="2">
        <f t="shared" si="145"/>
        <v>0.37511095265479244</v>
      </c>
      <c r="BN43" s="2">
        <f t="shared" si="145"/>
        <v>0.37511095265479244</v>
      </c>
      <c r="BO43" s="2">
        <f t="shared" ref="BO43:CG43" si="146">(BO$40/(BO$10^2))*((PI()^2)/4)*(BO$12*100/BO$39)*(((SIN(BO35))^2)/((BO$5+BO$11*BO$6)/BO$11)^2)</f>
        <v>0.37511095265479244</v>
      </c>
      <c r="BP43" s="2">
        <f t="shared" si="146"/>
        <v>0.37511095265479244</v>
      </c>
      <c r="BQ43" s="2">
        <f t="shared" si="146"/>
        <v>0.37511095265479244</v>
      </c>
      <c r="BR43" s="2">
        <f t="shared" si="146"/>
        <v>0.37511095265479244</v>
      </c>
      <c r="BS43" s="2">
        <f t="shared" si="146"/>
        <v>0.37511095265479244</v>
      </c>
      <c r="BT43" s="2">
        <f t="shared" si="146"/>
        <v>0.37511095265479244</v>
      </c>
      <c r="BU43" s="2">
        <f t="shared" si="146"/>
        <v>0.37511095265479244</v>
      </c>
      <c r="BV43" s="2">
        <f t="shared" si="146"/>
        <v>0.37511095265479244</v>
      </c>
      <c r="BW43" s="2">
        <f t="shared" si="146"/>
        <v>0.37511095265479244</v>
      </c>
      <c r="BX43" s="2">
        <f t="shared" si="146"/>
        <v>0.37511095265479244</v>
      </c>
      <c r="BY43" s="2">
        <f t="shared" si="146"/>
        <v>0.37511095265479244</v>
      </c>
      <c r="BZ43" s="2">
        <f t="shared" si="146"/>
        <v>0.37511095265479244</v>
      </c>
      <c r="CA43" s="2">
        <f t="shared" si="146"/>
        <v>0.37511095265479244</v>
      </c>
      <c r="CB43" s="2">
        <f t="shared" si="146"/>
        <v>0.37511095265479244</v>
      </c>
      <c r="CC43" s="2">
        <f t="shared" si="146"/>
        <v>0.37511095265479244</v>
      </c>
      <c r="CD43" s="2">
        <f t="shared" si="146"/>
        <v>0.37511095265479244</v>
      </c>
      <c r="CE43" s="2">
        <f t="shared" si="146"/>
        <v>0.37511095265479244</v>
      </c>
      <c r="CF43" s="2">
        <f t="shared" si="146"/>
        <v>0.37511095265479244</v>
      </c>
      <c r="CG43" s="2">
        <f t="shared" si="146"/>
        <v>0.37511095265479244</v>
      </c>
    </row>
    <row r="44" spans="2:89">
      <c r="B44" s="2" t="s">
        <v>709</v>
      </c>
      <c r="C44" s="2">
        <f t="shared" ref="C44:BN44" si="147">(C$40/(C$10^2))*((PI()^2)/4)*(C$12*100/C$39)*(((SIN(C36))^2)/((C$5+C$11*C$6)/C$11)^2)</f>
        <v>0.25007396843652824</v>
      </c>
      <c r="D44" s="2">
        <f t="shared" si="147"/>
        <v>0.25007396843652824</v>
      </c>
      <c r="E44" s="2">
        <f t="shared" si="147"/>
        <v>0.25007396843652824</v>
      </c>
      <c r="F44" s="2">
        <f t="shared" si="147"/>
        <v>0.25007396843652824</v>
      </c>
      <c r="G44" s="2">
        <f t="shared" si="147"/>
        <v>0.25007396843652824</v>
      </c>
      <c r="H44" s="2">
        <f t="shared" si="147"/>
        <v>0.25007396843652824</v>
      </c>
      <c r="I44" s="2">
        <f t="shared" si="147"/>
        <v>0.25007396843652824</v>
      </c>
      <c r="J44" s="2">
        <f t="shared" si="147"/>
        <v>0.25007396843652824</v>
      </c>
      <c r="K44" s="2">
        <f t="shared" si="147"/>
        <v>0.25007396843652824</v>
      </c>
      <c r="L44" s="2">
        <f t="shared" si="147"/>
        <v>0.25007396843652824</v>
      </c>
      <c r="M44" s="2">
        <f t="shared" si="147"/>
        <v>0.25007396843652824</v>
      </c>
      <c r="N44" s="2">
        <f t="shared" si="147"/>
        <v>0.25007396843652824</v>
      </c>
      <c r="O44" s="2">
        <f t="shared" si="147"/>
        <v>0.25007396843652824</v>
      </c>
      <c r="P44" s="2">
        <f t="shared" si="147"/>
        <v>0.25007396843652824</v>
      </c>
      <c r="Q44" s="2">
        <f t="shared" si="147"/>
        <v>0.25007396843652824</v>
      </c>
      <c r="R44" s="2">
        <f t="shared" si="147"/>
        <v>0.25007396843652824</v>
      </c>
      <c r="S44" s="2">
        <f t="shared" si="147"/>
        <v>0.25007396843652824</v>
      </c>
      <c r="T44" s="2">
        <f t="shared" si="147"/>
        <v>0.25007396843652824</v>
      </c>
      <c r="U44" s="2">
        <f t="shared" si="147"/>
        <v>0.25007396843652824</v>
      </c>
      <c r="V44" s="2">
        <f t="shared" si="147"/>
        <v>0.25007396843652824</v>
      </c>
      <c r="W44" s="2">
        <f t="shared" si="147"/>
        <v>0.25007396843652824</v>
      </c>
      <c r="X44" s="2">
        <f t="shared" si="147"/>
        <v>0.25007396843652824</v>
      </c>
      <c r="Y44" s="2">
        <f t="shared" si="147"/>
        <v>0.25007396843652824</v>
      </c>
      <c r="Z44" s="2">
        <f t="shared" si="147"/>
        <v>0.25007396843652824</v>
      </c>
      <c r="AA44" s="2">
        <f t="shared" si="147"/>
        <v>0.25007396843652824</v>
      </c>
      <c r="AB44" s="2">
        <f t="shared" si="147"/>
        <v>0.25007396843652824</v>
      </c>
      <c r="AC44" s="2">
        <f t="shared" si="147"/>
        <v>0.25007396843652824</v>
      </c>
      <c r="AD44" s="2">
        <f t="shared" si="147"/>
        <v>0.25007396843652824</v>
      </c>
      <c r="AE44" s="2">
        <f t="shared" si="147"/>
        <v>0.25007396843652824</v>
      </c>
      <c r="AF44" s="2">
        <f t="shared" si="147"/>
        <v>0.25007396843652824</v>
      </c>
      <c r="AG44" s="2">
        <f t="shared" si="147"/>
        <v>0.25007396843652824</v>
      </c>
      <c r="AH44" s="2">
        <f t="shared" si="147"/>
        <v>0.25007396843652824</v>
      </c>
      <c r="AI44" s="2">
        <f t="shared" si="147"/>
        <v>0.25007396843652824</v>
      </c>
      <c r="AJ44" s="2">
        <f t="shared" si="147"/>
        <v>0.25007396843652824</v>
      </c>
      <c r="AK44" s="2">
        <f t="shared" si="147"/>
        <v>0.25007396843652824</v>
      </c>
      <c r="AL44" s="2">
        <f t="shared" si="147"/>
        <v>0.25007396843652824</v>
      </c>
      <c r="AM44" s="2">
        <f t="shared" si="147"/>
        <v>0.25007396843652824</v>
      </c>
      <c r="AN44" s="2">
        <f t="shared" si="147"/>
        <v>0.25007396843652824</v>
      </c>
      <c r="AO44" s="2">
        <f t="shared" si="147"/>
        <v>0.25007396843652824</v>
      </c>
      <c r="AP44" s="2">
        <f t="shared" si="147"/>
        <v>0.25007396843652824</v>
      </c>
      <c r="AQ44" s="2">
        <f t="shared" si="147"/>
        <v>0.25007396843652824</v>
      </c>
      <c r="AR44" s="2">
        <f t="shared" si="147"/>
        <v>0.25007396843652824</v>
      </c>
      <c r="AS44" s="2">
        <f t="shared" si="147"/>
        <v>0.25007396843652824</v>
      </c>
      <c r="AT44" s="2">
        <f t="shared" si="147"/>
        <v>0.25007396843652824</v>
      </c>
      <c r="AU44" s="2">
        <f t="shared" si="147"/>
        <v>0.25007396843652824</v>
      </c>
      <c r="AV44" s="2">
        <f t="shared" si="147"/>
        <v>0.25007396843652824</v>
      </c>
      <c r="AW44" s="2">
        <f t="shared" si="147"/>
        <v>0.25007396843652824</v>
      </c>
      <c r="AX44" s="2">
        <f t="shared" si="147"/>
        <v>0.25007396843652824</v>
      </c>
      <c r="AY44" s="2">
        <f t="shared" si="147"/>
        <v>0.25007396843652824</v>
      </c>
      <c r="AZ44" s="2">
        <f t="shared" si="147"/>
        <v>0.25007396843652824</v>
      </c>
      <c r="BA44" s="2">
        <f t="shared" si="147"/>
        <v>0.25007396843652824</v>
      </c>
      <c r="BB44" s="2">
        <f t="shared" si="147"/>
        <v>0.25007396843652824</v>
      </c>
      <c r="BC44" s="2">
        <f t="shared" si="147"/>
        <v>0.25007396843652824</v>
      </c>
      <c r="BD44" s="2">
        <f t="shared" si="147"/>
        <v>0.25007396843652824</v>
      </c>
      <c r="BE44" s="2">
        <f t="shared" si="147"/>
        <v>0.25007396843652824</v>
      </c>
      <c r="BF44" s="2">
        <f t="shared" si="147"/>
        <v>0.25007396843652824</v>
      </c>
      <c r="BG44" s="2">
        <f t="shared" si="147"/>
        <v>0.25007396843652824</v>
      </c>
      <c r="BH44" s="2">
        <f t="shared" si="147"/>
        <v>0.25007396843652824</v>
      </c>
      <c r="BI44" s="2">
        <f t="shared" si="147"/>
        <v>0.25007396843652824</v>
      </c>
      <c r="BJ44" s="2">
        <f t="shared" si="147"/>
        <v>0.25007396843652824</v>
      </c>
      <c r="BK44" s="2">
        <f t="shared" si="147"/>
        <v>0.25007396843652824</v>
      </c>
      <c r="BL44" s="2">
        <f t="shared" si="147"/>
        <v>0.25007396843652824</v>
      </c>
      <c r="BM44" s="2">
        <f t="shared" si="147"/>
        <v>0.25007396843652824</v>
      </c>
      <c r="BN44" s="2">
        <f t="shared" si="147"/>
        <v>0.25007396843652824</v>
      </c>
      <c r="BO44" s="2">
        <f t="shared" ref="BO44:CG44" si="148">(BO$40/(BO$10^2))*((PI()^2)/4)*(BO$12*100/BO$39)*(((SIN(BO36))^2)/((BO$5+BO$11*BO$6)/BO$11)^2)</f>
        <v>0.25007396843652824</v>
      </c>
      <c r="BP44" s="2">
        <f t="shared" si="148"/>
        <v>0.25007396843652824</v>
      </c>
      <c r="BQ44" s="2">
        <f t="shared" si="148"/>
        <v>0.25007396843652824</v>
      </c>
      <c r="BR44" s="2">
        <f t="shared" si="148"/>
        <v>0.25007396843652824</v>
      </c>
      <c r="BS44" s="2">
        <f t="shared" si="148"/>
        <v>0.25007396843652824</v>
      </c>
      <c r="BT44" s="2">
        <f t="shared" si="148"/>
        <v>0.25007396843652824</v>
      </c>
      <c r="BU44" s="2">
        <f t="shared" si="148"/>
        <v>0.25007396843652824</v>
      </c>
      <c r="BV44" s="2">
        <f t="shared" si="148"/>
        <v>0.25007396843652824</v>
      </c>
      <c r="BW44" s="2">
        <f t="shared" si="148"/>
        <v>0.25007396843652824</v>
      </c>
      <c r="BX44" s="2">
        <f t="shared" si="148"/>
        <v>0.25007396843652824</v>
      </c>
      <c r="BY44" s="2">
        <f t="shared" si="148"/>
        <v>0.25007396843652824</v>
      </c>
      <c r="BZ44" s="2">
        <f t="shared" si="148"/>
        <v>0.25007396843652824</v>
      </c>
      <c r="CA44" s="2">
        <f t="shared" si="148"/>
        <v>0.25007396843652824</v>
      </c>
      <c r="CB44" s="2">
        <f t="shared" si="148"/>
        <v>0.25007396843652824</v>
      </c>
      <c r="CC44" s="2">
        <f t="shared" si="148"/>
        <v>0.25007396843652824</v>
      </c>
      <c r="CD44" s="2">
        <f t="shared" si="148"/>
        <v>0.25007396843652824</v>
      </c>
      <c r="CE44" s="2">
        <f t="shared" si="148"/>
        <v>0.25007396843652824</v>
      </c>
      <c r="CF44" s="2">
        <f t="shared" si="148"/>
        <v>0.25007396843652824</v>
      </c>
      <c r="CG44" s="2">
        <f t="shared" si="148"/>
        <v>0.25007396843652824</v>
      </c>
    </row>
    <row r="45" spans="2:89">
      <c r="B45" s="2" t="s">
        <v>710</v>
      </c>
      <c r="C45" s="2">
        <f t="shared" ref="C45:BN45" si="149">(C$40/(C$10^2))*((PI()^2)/4)*(C$12*100/C$39)*(((SIN(C37))^2)/((C$5+C$11*C$6)/C$11)^2)</f>
        <v>0.12503698421826412</v>
      </c>
      <c r="D45" s="2">
        <f t="shared" si="149"/>
        <v>0.12503698421826412</v>
      </c>
      <c r="E45" s="2">
        <f t="shared" si="149"/>
        <v>0.12503698421826412</v>
      </c>
      <c r="F45" s="2">
        <f t="shared" si="149"/>
        <v>0.12503698421826412</v>
      </c>
      <c r="G45" s="2">
        <f t="shared" si="149"/>
        <v>0.12503698421826412</v>
      </c>
      <c r="H45" s="2">
        <f t="shared" si="149"/>
        <v>0.12503698421826412</v>
      </c>
      <c r="I45" s="2">
        <f t="shared" si="149"/>
        <v>0.12503698421826412</v>
      </c>
      <c r="J45" s="2">
        <f t="shared" si="149"/>
        <v>0.12503698421826412</v>
      </c>
      <c r="K45" s="2">
        <f t="shared" si="149"/>
        <v>0.12503698421826412</v>
      </c>
      <c r="L45" s="2">
        <f t="shared" si="149"/>
        <v>0.12503698421826412</v>
      </c>
      <c r="M45" s="2">
        <f t="shared" si="149"/>
        <v>0.12503698421826412</v>
      </c>
      <c r="N45" s="2">
        <f t="shared" si="149"/>
        <v>0.12503698421826412</v>
      </c>
      <c r="O45" s="2">
        <f t="shared" si="149"/>
        <v>0.12503698421826412</v>
      </c>
      <c r="P45" s="2">
        <f t="shared" si="149"/>
        <v>0.12503698421826412</v>
      </c>
      <c r="Q45" s="2">
        <f t="shared" si="149"/>
        <v>0.12503698421826412</v>
      </c>
      <c r="R45" s="2">
        <f t="shared" si="149"/>
        <v>0.12503698421826412</v>
      </c>
      <c r="S45" s="2">
        <f t="shared" si="149"/>
        <v>0.12503698421826412</v>
      </c>
      <c r="T45" s="2">
        <f t="shared" si="149"/>
        <v>0.12503698421826412</v>
      </c>
      <c r="U45" s="2">
        <f t="shared" si="149"/>
        <v>0.12503698421826412</v>
      </c>
      <c r="V45" s="2">
        <f t="shared" si="149"/>
        <v>0.12503698421826412</v>
      </c>
      <c r="W45" s="2">
        <f t="shared" si="149"/>
        <v>0.12503698421826412</v>
      </c>
      <c r="X45" s="2">
        <f t="shared" si="149"/>
        <v>0.12503698421826412</v>
      </c>
      <c r="Y45" s="2">
        <f t="shared" si="149"/>
        <v>0.12503698421826412</v>
      </c>
      <c r="Z45" s="2">
        <f t="shared" si="149"/>
        <v>0.12503698421826412</v>
      </c>
      <c r="AA45" s="2">
        <f t="shared" si="149"/>
        <v>0.12503698421826412</v>
      </c>
      <c r="AB45" s="2">
        <f t="shared" si="149"/>
        <v>0.12503698421826412</v>
      </c>
      <c r="AC45" s="2">
        <f t="shared" si="149"/>
        <v>0.12503698421826412</v>
      </c>
      <c r="AD45" s="2">
        <f t="shared" si="149"/>
        <v>0.12503698421826412</v>
      </c>
      <c r="AE45" s="2">
        <f t="shared" si="149"/>
        <v>0.12503698421826412</v>
      </c>
      <c r="AF45" s="2">
        <f t="shared" si="149"/>
        <v>0.12503698421826412</v>
      </c>
      <c r="AG45" s="2">
        <f t="shared" si="149"/>
        <v>0.12503698421826412</v>
      </c>
      <c r="AH45" s="2">
        <f t="shared" si="149"/>
        <v>0.12503698421826412</v>
      </c>
      <c r="AI45" s="2">
        <f t="shared" si="149"/>
        <v>0.12503698421826412</v>
      </c>
      <c r="AJ45" s="2">
        <f t="shared" si="149"/>
        <v>0.12503698421826412</v>
      </c>
      <c r="AK45" s="2">
        <f t="shared" si="149"/>
        <v>0.12503698421826412</v>
      </c>
      <c r="AL45" s="2">
        <f t="shared" si="149"/>
        <v>0.12503698421826412</v>
      </c>
      <c r="AM45" s="2">
        <f t="shared" si="149"/>
        <v>0.12503698421826412</v>
      </c>
      <c r="AN45" s="2">
        <f t="shared" si="149"/>
        <v>0.12503698421826412</v>
      </c>
      <c r="AO45" s="2">
        <f t="shared" si="149"/>
        <v>0.12503698421826412</v>
      </c>
      <c r="AP45" s="2">
        <f t="shared" si="149"/>
        <v>0.12503698421826412</v>
      </c>
      <c r="AQ45" s="2">
        <f t="shared" si="149"/>
        <v>0.12503698421826412</v>
      </c>
      <c r="AR45" s="2">
        <f t="shared" si="149"/>
        <v>0.12503698421826412</v>
      </c>
      <c r="AS45" s="2">
        <f t="shared" si="149"/>
        <v>0.12503698421826412</v>
      </c>
      <c r="AT45" s="2">
        <f t="shared" si="149"/>
        <v>0.12503698421826412</v>
      </c>
      <c r="AU45" s="2">
        <f t="shared" si="149"/>
        <v>0.12503698421826412</v>
      </c>
      <c r="AV45" s="2">
        <f t="shared" si="149"/>
        <v>0.12503698421826412</v>
      </c>
      <c r="AW45" s="2">
        <f t="shared" si="149"/>
        <v>0.12503698421826412</v>
      </c>
      <c r="AX45" s="2">
        <f t="shared" si="149"/>
        <v>0.12503698421826412</v>
      </c>
      <c r="AY45" s="2">
        <f t="shared" si="149"/>
        <v>0.12503698421826412</v>
      </c>
      <c r="AZ45" s="2">
        <f t="shared" si="149"/>
        <v>0.12503698421826412</v>
      </c>
      <c r="BA45" s="2">
        <f t="shared" si="149"/>
        <v>0.12503698421826412</v>
      </c>
      <c r="BB45" s="2">
        <f t="shared" si="149"/>
        <v>0.12503698421826412</v>
      </c>
      <c r="BC45" s="2">
        <f t="shared" si="149"/>
        <v>0.12503698421826412</v>
      </c>
      <c r="BD45" s="2">
        <f t="shared" si="149"/>
        <v>0.12503698421826412</v>
      </c>
      <c r="BE45" s="2">
        <f t="shared" si="149"/>
        <v>0.12503698421826412</v>
      </c>
      <c r="BF45" s="2">
        <f t="shared" si="149"/>
        <v>0.12503698421826412</v>
      </c>
      <c r="BG45" s="2">
        <f t="shared" si="149"/>
        <v>0.12503698421826412</v>
      </c>
      <c r="BH45" s="2">
        <f t="shared" si="149"/>
        <v>0.12503698421826412</v>
      </c>
      <c r="BI45" s="2">
        <f t="shared" si="149"/>
        <v>0.12503698421826412</v>
      </c>
      <c r="BJ45" s="2">
        <f t="shared" si="149"/>
        <v>0.12503698421826412</v>
      </c>
      <c r="BK45" s="2">
        <f t="shared" si="149"/>
        <v>0.12503698421826412</v>
      </c>
      <c r="BL45" s="2">
        <f t="shared" si="149"/>
        <v>0.12503698421826412</v>
      </c>
      <c r="BM45" s="2">
        <f t="shared" si="149"/>
        <v>0.12503698421826412</v>
      </c>
      <c r="BN45" s="2">
        <f t="shared" si="149"/>
        <v>0.12503698421826412</v>
      </c>
      <c r="BO45" s="2">
        <f t="shared" ref="BO45:CG45" si="150">(BO$40/(BO$10^2))*((PI()^2)/4)*(BO$12*100/BO$39)*(((SIN(BO37))^2)/((BO$5+BO$11*BO$6)/BO$11)^2)</f>
        <v>0.12503698421826412</v>
      </c>
      <c r="BP45" s="2">
        <f t="shared" si="150"/>
        <v>0.12503698421826412</v>
      </c>
      <c r="BQ45" s="2">
        <f t="shared" si="150"/>
        <v>0.12503698421826412</v>
      </c>
      <c r="BR45" s="2">
        <f t="shared" si="150"/>
        <v>0.12503698421826412</v>
      </c>
      <c r="BS45" s="2">
        <f t="shared" si="150"/>
        <v>0.12503698421826412</v>
      </c>
      <c r="BT45" s="2">
        <f t="shared" si="150"/>
        <v>0.12503698421826412</v>
      </c>
      <c r="BU45" s="2">
        <f t="shared" si="150"/>
        <v>0.12503698421826412</v>
      </c>
      <c r="BV45" s="2">
        <f t="shared" si="150"/>
        <v>0.12503698421826412</v>
      </c>
      <c r="BW45" s="2">
        <f t="shared" si="150"/>
        <v>0.12503698421826412</v>
      </c>
      <c r="BX45" s="2">
        <f t="shared" si="150"/>
        <v>0.12503698421826412</v>
      </c>
      <c r="BY45" s="2">
        <f t="shared" si="150"/>
        <v>0.12503698421826412</v>
      </c>
      <c r="BZ45" s="2">
        <f t="shared" si="150"/>
        <v>0.12503698421826412</v>
      </c>
      <c r="CA45" s="2">
        <f t="shared" si="150"/>
        <v>0.12503698421826412</v>
      </c>
      <c r="CB45" s="2">
        <f t="shared" si="150"/>
        <v>0.12503698421826412</v>
      </c>
      <c r="CC45" s="2">
        <f t="shared" si="150"/>
        <v>0.12503698421826412</v>
      </c>
      <c r="CD45" s="2">
        <f t="shared" si="150"/>
        <v>0.12503698421826412</v>
      </c>
      <c r="CE45" s="2">
        <f t="shared" si="150"/>
        <v>0.12503698421826412</v>
      </c>
      <c r="CF45" s="2">
        <f t="shared" si="150"/>
        <v>0.12503698421826412</v>
      </c>
      <c r="CG45" s="2">
        <f t="shared" si="150"/>
        <v>0.12503698421826412</v>
      </c>
    </row>
    <row r="46" spans="2:89">
      <c r="B46" s="2" t="s">
        <v>711</v>
      </c>
      <c r="C46" s="2">
        <f t="shared" ref="C46:BN46" si="151">(C$40/(C$10^2))*((PI()^2)/4)*(C$12*100/C$39)*(((SIN(C38))^2)/((C$5+C$11*C$6)/C$11)^2)</f>
        <v>3.3503558945306912E-2</v>
      </c>
      <c r="D46" s="2">
        <f t="shared" si="151"/>
        <v>3.3503558945306912E-2</v>
      </c>
      <c r="E46" s="2">
        <f t="shared" si="151"/>
        <v>3.3503558945306912E-2</v>
      </c>
      <c r="F46" s="2">
        <f t="shared" si="151"/>
        <v>3.3503558945306912E-2</v>
      </c>
      <c r="G46" s="2">
        <f t="shared" si="151"/>
        <v>3.3503558945306912E-2</v>
      </c>
      <c r="H46" s="2">
        <f t="shared" si="151"/>
        <v>3.3503558945306912E-2</v>
      </c>
      <c r="I46" s="2">
        <f t="shared" si="151"/>
        <v>3.3503558945306912E-2</v>
      </c>
      <c r="J46" s="2">
        <f t="shared" si="151"/>
        <v>3.3503558945306912E-2</v>
      </c>
      <c r="K46" s="2">
        <f t="shared" si="151"/>
        <v>3.3503558945306912E-2</v>
      </c>
      <c r="L46" s="2">
        <f t="shared" si="151"/>
        <v>3.3503558945306912E-2</v>
      </c>
      <c r="M46" s="2">
        <f t="shared" si="151"/>
        <v>3.3503558945306912E-2</v>
      </c>
      <c r="N46" s="2">
        <f t="shared" si="151"/>
        <v>3.3503558945306912E-2</v>
      </c>
      <c r="O46" s="2">
        <f t="shared" si="151"/>
        <v>3.3503558945306912E-2</v>
      </c>
      <c r="P46" s="2">
        <f t="shared" si="151"/>
        <v>3.3503558945306912E-2</v>
      </c>
      <c r="Q46" s="2">
        <f t="shared" si="151"/>
        <v>3.3503558945306912E-2</v>
      </c>
      <c r="R46" s="2">
        <f t="shared" si="151"/>
        <v>3.3503558945306912E-2</v>
      </c>
      <c r="S46" s="2">
        <f t="shared" si="151"/>
        <v>3.3503558945306912E-2</v>
      </c>
      <c r="T46" s="2">
        <f t="shared" si="151"/>
        <v>3.3503558945306912E-2</v>
      </c>
      <c r="U46" s="2">
        <f t="shared" si="151"/>
        <v>3.3503558945306912E-2</v>
      </c>
      <c r="V46" s="2">
        <f t="shared" si="151"/>
        <v>3.3503558945306912E-2</v>
      </c>
      <c r="W46" s="2">
        <f t="shared" si="151"/>
        <v>3.3503558945306912E-2</v>
      </c>
      <c r="X46" s="2">
        <f t="shared" si="151"/>
        <v>3.3503558945306912E-2</v>
      </c>
      <c r="Y46" s="2">
        <f t="shared" si="151"/>
        <v>3.3503558945306912E-2</v>
      </c>
      <c r="Z46" s="2">
        <f t="shared" si="151"/>
        <v>3.3503558945306912E-2</v>
      </c>
      <c r="AA46" s="2">
        <f t="shared" si="151"/>
        <v>3.3503558945306912E-2</v>
      </c>
      <c r="AB46" s="2">
        <f t="shared" si="151"/>
        <v>3.3503558945306912E-2</v>
      </c>
      <c r="AC46" s="2">
        <f t="shared" si="151"/>
        <v>3.3503558945306912E-2</v>
      </c>
      <c r="AD46" s="2">
        <f t="shared" si="151"/>
        <v>3.3503558945306912E-2</v>
      </c>
      <c r="AE46" s="2">
        <f t="shared" si="151"/>
        <v>3.3503558945306912E-2</v>
      </c>
      <c r="AF46" s="2">
        <f t="shared" si="151"/>
        <v>3.3503558945306912E-2</v>
      </c>
      <c r="AG46" s="2">
        <f t="shared" si="151"/>
        <v>3.3503558945306912E-2</v>
      </c>
      <c r="AH46" s="2">
        <f t="shared" si="151"/>
        <v>3.3503558945306912E-2</v>
      </c>
      <c r="AI46" s="2">
        <f t="shared" si="151"/>
        <v>3.3503558945306912E-2</v>
      </c>
      <c r="AJ46" s="2">
        <f t="shared" si="151"/>
        <v>3.3503558945306912E-2</v>
      </c>
      <c r="AK46" s="2">
        <f t="shared" si="151"/>
        <v>3.3503558945306912E-2</v>
      </c>
      <c r="AL46" s="2">
        <f t="shared" si="151"/>
        <v>3.3503558945306912E-2</v>
      </c>
      <c r="AM46" s="2">
        <f t="shared" si="151"/>
        <v>3.3503558945306912E-2</v>
      </c>
      <c r="AN46" s="2">
        <f t="shared" si="151"/>
        <v>3.3503558945306912E-2</v>
      </c>
      <c r="AO46" s="2">
        <f t="shared" si="151"/>
        <v>3.3503558945306912E-2</v>
      </c>
      <c r="AP46" s="2">
        <f t="shared" si="151"/>
        <v>3.3503558945306912E-2</v>
      </c>
      <c r="AQ46" s="2">
        <f t="shared" si="151"/>
        <v>3.3503558945306912E-2</v>
      </c>
      <c r="AR46" s="2">
        <f t="shared" si="151"/>
        <v>3.3503558945306912E-2</v>
      </c>
      <c r="AS46" s="2">
        <f t="shared" si="151"/>
        <v>3.3503558945306912E-2</v>
      </c>
      <c r="AT46" s="2">
        <f t="shared" si="151"/>
        <v>3.3503558945306912E-2</v>
      </c>
      <c r="AU46" s="2">
        <f t="shared" si="151"/>
        <v>3.3503558945306912E-2</v>
      </c>
      <c r="AV46" s="2">
        <f t="shared" si="151"/>
        <v>3.3503558945306912E-2</v>
      </c>
      <c r="AW46" s="2">
        <f t="shared" si="151"/>
        <v>3.3503558945306912E-2</v>
      </c>
      <c r="AX46" s="2">
        <f t="shared" si="151"/>
        <v>3.3503558945306912E-2</v>
      </c>
      <c r="AY46" s="2">
        <f t="shared" si="151"/>
        <v>3.3503558945306912E-2</v>
      </c>
      <c r="AZ46" s="2">
        <f t="shared" si="151"/>
        <v>3.3503558945306912E-2</v>
      </c>
      <c r="BA46" s="2">
        <f t="shared" si="151"/>
        <v>3.3503558945306912E-2</v>
      </c>
      <c r="BB46" s="2">
        <f t="shared" si="151"/>
        <v>3.3503558945306912E-2</v>
      </c>
      <c r="BC46" s="2">
        <f t="shared" si="151"/>
        <v>3.3503558945306912E-2</v>
      </c>
      <c r="BD46" s="2">
        <f t="shared" si="151"/>
        <v>3.3503558945306912E-2</v>
      </c>
      <c r="BE46" s="2">
        <f t="shared" si="151"/>
        <v>3.3503558945306912E-2</v>
      </c>
      <c r="BF46" s="2">
        <f t="shared" si="151"/>
        <v>3.3503558945306912E-2</v>
      </c>
      <c r="BG46" s="2">
        <f t="shared" si="151"/>
        <v>3.3503558945306912E-2</v>
      </c>
      <c r="BH46" s="2">
        <f t="shared" si="151"/>
        <v>3.3503558945306912E-2</v>
      </c>
      <c r="BI46" s="2">
        <f t="shared" si="151"/>
        <v>3.3503558945306912E-2</v>
      </c>
      <c r="BJ46" s="2">
        <f t="shared" si="151"/>
        <v>3.3503558945306912E-2</v>
      </c>
      <c r="BK46" s="2">
        <f t="shared" si="151"/>
        <v>3.3503558945306912E-2</v>
      </c>
      <c r="BL46" s="2">
        <f t="shared" si="151"/>
        <v>3.3503558945306912E-2</v>
      </c>
      <c r="BM46" s="2">
        <f t="shared" si="151"/>
        <v>3.3503558945306912E-2</v>
      </c>
      <c r="BN46" s="2">
        <f t="shared" si="151"/>
        <v>3.3503558945306912E-2</v>
      </c>
      <c r="BO46" s="2">
        <f t="shared" ref="BO46:CG46" si="152">(BO$40/(BO$10^2))*((PI()^2)/4)*(BO$12*100/BO$39)*(((SIN(BO38))^2)/((BO$5+BO$11*BO$6)/BO$11)^2)</f>
        <v>3.3503558945306912E-2</v>
      </c>
      <c r="BP46" s="2">
        <f t="shared" si="152"/>
        <v>3.3503558945306912E-2</v>
      </c>
      <c r="BQ46" s="2">
        <f t="shared" si="152"/>
        <v>3.3503558945306912E-2</v>
      </c>
      <c r="BR46" s="2">
        <f t="shared" si="152"/>
        <v>3.3503558945306912E-2</v>
      </c>
      <c r="BS46" s="2">
        <f t="shared" si="152"/>
        <v>3.3503558945306912E-2</v>
      </c>
      <c r="BT46" s="2">
        <f t="shared" si="152"/>
        <v>3.3503558945306912E-2</v>
      </c>
      <c r="BU46" s="2">
        <f t="shared" si="152"/>
        <v>3.3503558945306912E-2</v>
      </c>
      <c r="BV46" s="2">
        <f t="shared" si="152"/>
        <v>3.3503558945306912E-2</v>
      </c>
      <c r="BW46" s="2">
        <f t="shared" si="152"/>
        <v>3.3503558945306912E-2</v>
      </c>
      <c r="BX46" s="2">
        <f t="shared" si="152"/>
        <v>3.3503558945306912E-2</v>
      </c>
      <c r="BY46" s="2">
        <f t="shared" si="152"/>
        <v>3.3503558945306912E-2</v>
      </c>
      <c r="BZ46" s="2">
        <f t="shared" si="152"/>
        <v>3.3503558945306912E-2</v>
      </c>
      <c r="CA46" s="2">
        <f t="shared" si="152"/>
        <v>3.3503558945306912E-2</v>
      </c>
      <c r="CB46" s="2">
        <f t="shared" si="152"/>
        <v>3.3503558945306912E-2</v>
      </c>
      <c r="CC46" s="2">
        <f t="shared" si="152"/>
        <v>3.3503558945306912E-2</v>
      </c>
      <c r="CD46" s="2">
        <f t="shared" si="152"/>
        <v>3.3503558945306912E-2</v>
      </c>
      <c r="CE46" s="2">
        <f t="shared" si="152"/>
        <v>3.3503558945306912E-2</v>
      </c>
      <c r="CF46" s="2">
        <f t="shared" si="152"/>
        <v>3.3503558945306912E-2</v>
      </c>
      <c r="CG46" s="2">
        <f t="shared" si="152"/>
        <v>3.3503558945306912E-2</v>
      </c>
      <c r="CH46" s="2" t="s">
        <v>712</v>
      </c>
      <c r="CI46" s="2" t="s">
        <v>713</v>
      </c>
    </row>
    <row r="47" spans="2:89">
      <c r="B47" s="2" t="s">
        <v>714</v>
      </c>
      <c r="C47" s="2">
        <f>1/((1+(C$23*(1-(1/(C$25^2)))))^2+(C41*(C$25-(1/C$25)))^2)^0.5</f>
        <v>2.1818182382492675E-8</v>
      </c>
      <c r="D47" s="2">
        <f t="shared" ref="D47:AH47" si="153">1/((1+(D$23*(1-(1/(D$25^2)))))^2+(D41*(D$25-(1/D$25)))^2)^0.5</f>
        <v>1.2881887010930794E-3</v>
      </c>
      <c r="E47" s="2">
        <f t="shared" si="153"/>
        <v>3.2927886442313385E-3</v>
      </c>
      <c r="F47" s="2">
        <f t="shared" si="153"/>
        <v>6.2360266346062031E-3</v>
      </c>
      <c r="G47" s="2">
        <f t="shared" si="153"/>
        <v>1.0137396704165301E-2</v>
      </c>
      <c r="H47" s="2">
        <f t="shared" si="153"/>
        <v>1.5023007895528954E-2</v>
      </c>
      <c r="I47" s="2">
        <f t="shared" si="153"/>
        <v>2.0925987778792478E-2</v>
      </c>
      <c r="J47" s="2">
        <f t="shared" si="153"/>
        <v>2.7887001276361342E-2</v>
      </c>
      <c r="K47" s="2">
        <f t="shared" si="153"/>
        <v>3.5954897539339017E-2</v>
      </c>
      <c r="L47" s="2">
        <f t="shared" si="153"/>
        <v>4.5187500817546217E-2</v>
      </c>
      <c r="M47" s="2">
        <f t="shared" si="153"/>
        <v>5.5652564835327163E-2</v>
      </c>
      <c r="N47" s="2">
        <f t="shared" si="153"/>
        <v>6.7428914152122668E-2</v>
      </c>
      <c r="O47" s="2">
        <f t="shared" si="153"/>
        <v>8.0607800331455051E-2</v>
      </c>
      <c r="P47" s="2">
        <f t="shared" si="153"/>
        <v>9.5294505365001059E-2</v>
      </c>
      <c r="Q47" s="2">
        <f t="shared" si="153"/>
        <v>0.11161022945863958</v>
      </c>
      <c r="R47" s="2">
        <f t="shared" si="153"/>
        <v>0.12969430450041747</v>
      </c>
      <c r="S47" s="2">
        <f t="shared" si="153"/>
        <v>0.14970677740192706</v>
      </c>
      <c r="T47" s="2">
        <f t="shared" si="153"/>
        <v>0.17183140745740369</v>
      </c>
      <c r="U47" s="2">
        <f t="shared" si="153"/>
        <v>0.19627911619524036</v>
      </c>
      <c r="V47" s="2">
        <f t="shared" si="153"/>
        <v>0.22329191235764032</v>
      </c>
      <c r="W47" s="2">
        <f t="shared" si="153"/>
        <v>0.25314728109657647</v>
      </c>
      <c r="X47" s="2">
        <f t="shared" si="153"/>
        <v>0.28616296286546417</v>
      </c>
      <c r="Y47" s="2">
        <f t="shared" si="153"/>
        <v>0.32270193381356715</v>
      </c>
      <c r="Z47" s="2">
        <f t="shared" si="153"/>
        <v>0.36317720380577329</v>
      </c>
      <c r="AA47" s="2">
        <f t="shared" si="153"/>
        <v>0.40805572039200749</v>
      </c>
      <c r="AB47" s="2">
        <f t="shared" si="153"/>
        <v>0.45786013065995684</v>
      </c>
      <c r="AC47" s="2">
        <f t="shared" si="153"/>
        <v>0.51316629609248432</v>
      </c>
      <c r="AD47" s="2">
        <f t="shared" si="153"/>
        <v>0.57459312657902117</v>
      </c>
      <c r="AE47" s="2">
        <f t="shared" si="153"/>
        <v>0.64277932160959372</v>
      </c>
      <c r="AF47" s="2">
        <f t="shared" si="153"/>
        <v>0.71833884691119299</v>
      </c>
      <c r="AG47" s="2">
        <f t="shared" si="153"/>
        <v>0.80178354597124124</v>
      </c>
      <c r="AH47" s="2">
        <f t="shared" si="153"/>
        <v>0.89339801137383779</v>
      </c>
      <c r="AI47" s="2">
        <f t="shared" ref="AI47:BN47" si="154">1/((1+(AI$23*(1-(1/(AI$25^2)))))^2+(AI41*(AI$25-(1/AI$25)))^2)^0.5</f>
        <v>0.99305115057053139</v>
      </c>
      <c r="AJ47" s="2">
        <f t="shared" si="154"/>
        <v>1.0999361156437204</v>
      </c>
      <c r="AK47" s="2">
        <f t="shared" si="154"/>
        <v>1.2122544795938535</v>
      </c>
      <c r="AL47" s="2">
        <f t="shared" si="154"/>
        <v>1.3269116345880969</v>
      </c>
      <c r="AM47" s="2">
        <f t="shared" si="154"/>
        <v>1.4393666612797296</v>
      </c>
      <c r="AN47" s="2">
        <f t="shared" si="154"/>
        <v>1.5438437181055409</v>
      </c>
      <c r="AO47" s="2">
        <f t="shared" si="154"/>
        <v>1.634075089047597</v>
      </c>
      <c r="AP47" s="2">
        <f t="shared" si="154"/>
        <v>1.6593385553953328</v>
      </c>
      <c r="AQ47" s="2">
        <f t="shared" si="154"/>
        <v>1.7224809596753172</v>
      </c>
      <c r="AR47" s="2">
        <f t="shared" si="154"/>
        <v>1.7617858065342098</v>
      </c>
      <c r="AS47" s="2">
        <f t="shared" si="154"/>
        <v>1.7775007606476596</v>
      </c>
      <c r="AT47" s="2">
        <f t="shared" si="154"/>
        <v>1.7723770936820213</v>
      </c>
      <c r="AU47" s="2">
        <f t="shared" si="154"/>
        <v>1.7506688032071991</v>
      </c>
      <c r="AV47" s="2">
        <f t="shared" si="154"/>
        <v>1.7170352094878036</v>
      </c>
      <c r="AW47" s="2">
        <f t="shared" si="154"/>
        <v>1.6757354437264311</v>
      </c>
      <c r="AX47" s="2">
        <f t="shared" si="154"/>
        <v>1.6302254633798372</v>
      </c>
      <c r="AY47" s="2">
        <f t="shared" si="154"/>
        <v>1.5830741957458498</v>
      </c>
      <c r="AZ47" s="2">
        <f t="shared" si="154"/>
        <v>1.5360596375513149</v>
      </c>
      <c r="BA47" s="2">
        <f t="shared" si="154"/>
        <v>1.4903324554146884</v>
      </c>
      <c r="BB47" s="2">
        <f t="shared" si="154"/>
        <v>1.446581713956461</v>
      </c>
      <c r="BC47" s="2">
        <f t="shared" si="154"/>
        <v>1.4051745142564538</v>
      </c>
      <c r="BD47" s="2">
        <f t="shared" si="154"/>
        <v>1.3662628198799427</v>
      </c>
      <c r="BE47" s="2">
        <f t="shared" si="154"/>
        <v>1.329860503810347</v>
      </c>
      <c r="BF47" s="2">
        <f t="shared" si="154"/>
        <v>1.2958967576600455</v>
      </c>
      <c r="BG47" s="2">
        <f t="shared" si="154"/>
        <v>1.2642520414530216</v>
      </c>
      <c r="BH47" s="2">
        <f t="shared" si="154"/>
        <v>1.2347816882910965</v>
      </c>
      <c r="BI47" s="2">
        <f t="shared" si="154"/>
        <v>1.2073310266874606</v>
      </c>
      <c r="BJ47" s="2">
        <f t="shared" si="154"/>
        <v>1.1817447922027622</v>
      </c>
      <c r="BK47" s="2">
        <f t="shared" si="154"/>
        <v>1.1578727557635651</v>
      </c>
      <c r="BL47" s="2">
        <f t="shared" si="154"/>
        <v>1.1355728820271946</v>
      </c>
      <c r="BM47" s="2">
        <f t="shared" si="154"/>
        <v>1.1147129003379874</v>
      </c>
      <c r="BN47" s="2">
        <f t="shared" si="154"/>
        <v>1.0951708751382412</v>
      </c>
      <c r="BO47" s="2">
        <f t="shared" ref="BO47:CG47" si="155">1/((1+(BO$23*(1-(1/(BO$25^2)))))^2+(BO41*(BO$25-(1/BO$25)))^2)^0.5</f>
        <v>1.0768351626045636</v>
      </c>
      <c r="BP47" s="2">
        <f t="shared" si="155"/>
        <v>1.0596040061373857</v>
      </c>
      <c r="BQ47" s="2">
        <f t="shared" si="155"/>
        <v>1.0433849339971508</v>
      </c>
      <c r="BR47" s="2">
        <f t="shared" si="155"/>
        <v>1.0280940632015909</v>
      </c>
      <c r="BS47" s="2">
        <f t="shared" si="155"/>
        <v>1.0136553747908899</v>
      </c>
      <c r="BT47" s="2">
        <f t="shared" si="155"/>
        <v>1</v>
      </c>
      <c r="BU47" s="2">
        <f t="shared" si="155"/>
        <v>0.96691322680906977</v>
      </c>
      <c r="BV47" s="2">
        <f t="shared" si="155"/>
        <v>0.93798852959219836</v>
      </c>
      <c r="BW47" s="2">
        <f t="shared" si="155"/>
        <v>0.91245116941174087</v>
      </c>
      <c r="BX47" s="2">
        <f t="shared" si="155"/>
        <v>0.88969658878492341</v>
      </c>
      <c r="BY47" s="2">
        <f t="shared" si="155"/>
        <v>0.86924871266921189</v>
      </c>
      <c r="BZ47" s="2">
        <f t="shared" si="155"/>
        <v>0.85072914348639261</v>
      </c>
      <c r="CA47" s="2">
        <f t="shared" si="155"/>
        <v>0.83383437970660179</v>
      </c>
      <c r="CB47" s="2">
        <f t="shared" si="155"/>
        <v>0.81831887609351994</v>
      </c>
      <c r="CC47" s="2">
        <f t="shared" si="155"/>
        <v>0.80398235120407913</v>
      </c>
      <c r="CD47" s="2">
        <f t="shared" si="155"/>
        <v>0.7906601946781564</v>
      </c>
      <c r="CE47" s="2">
        <f t="shared" si="155"/>
        <v>0.77821615163793834</v>
      </c>
      <c r="CF47" s="2">
        <f t="shared" si="155"/>
        <v>0.76653669311334505</v>
      </c>
      <c r="CG47" s="2">
        <f t="shared" si="155"/>
        <v>0.75552664554189064</v>
      </c>
      <c r="CH47" s="2" cm="1">
        <f t="array" aca="1" ref="CH47" ca="1">INDIRECT(CI47)</f>
        <v>0.57971014492753759</v>
      </c>
      <c r="CI47" s="2" t="str">
        <f>ADDRESS(25,CJ47)</f>
        <v>$AQ$25</v>
      </c>
      <c r="CJ47" s="2">
        <f t="shared" ref="CJ47:CJ52" si="156">MATCH(CK47,C47:CG47,0)</f>
        <v>43</v>
      </c>
      <c r="CK47" s="2">
        <f t="shared" ref="CK47:CK52" si="157">MAX(C47:CG47)</f>
        <v>1.7775007606476596</v>
      </c>
    </row>
    <row r="48" spans="2:89">
      <c r="B48" s="2" t="s">
        <v>715</v>
      </c>
      <c r="C48" s="2">
        <f>1/((1+(C$23*(1-(1/(C$25^2)))))^2+(C42*(C$25-(1/C$25)))^2)^0.5</f>
        <v>2.1818182399313598E-8</v>
      </c>
      <c r="D48" s="2">
        <f t="shared" ref="D48:AH48" si="158">1/((1+(D$23*(1-(1/(D$25^2)))))^2+(D42*(D$25-(1/D$25)))^2)^0.5</f>
        <v>1.2882473624011336E-3</v>
      </c>
      <c r="E48" s="2">
        <f t="shared" si="158"/>
        <v>3.2931721756374998E-3</v>
      </c>
      <c r="F48" s="2">
        <f t="shared" si="158"/>
        <v>6.2374035314168323E-3</v>
      </c>
      <c r="G48" s="2">
        <f t="shared" si="158"/>
        <v>1.0141039926323051E-2</v>
      </c>
      <c r="H48" s="2">
        <f t="shared" si="158"/>
        <v>1.5031021598322116E-2</v>
      </c>
      <c r="I48" s="2">
        <f t="shared" si="158"/>
        <v>2.0941566178363614E-2</v>
      </c>
      <c r="J48" s="2">
        <f t="shared" si="158"/>
        <v>2.7914730478005776E-2</v>
      </c>
      <c r="K48" s="2">
        <f t="shared" si="158"/>
        <v>3.6001113481278935E-2</v>
      </c>
      <c r="L48" s="2">
        <f t="shared" si="158"/>
        <v>4.5260719595585946E-2</v>
      </c>
      <c r="M48" s="2">
        <f t="shared" si="158"/>
        <v>5.5764005799660774E-2</v>
      </c>
      <c r="N48" s="2">
        <f t="shared" si="158"/>
        <v>6.7593141611099375E-2</v>
      </c>
      <c r="O48" s="2">
        <f t="shared" si="158"/>
        <v>8.0843516867879009E-2</v>
      </c>
      <c r="P48" s="2">
        <f t="shared" si="158"/>
        <v>9.5625539217066291E-2</v>
      </c>
      <c r="Q48" s="2">
        <f t="shared" si="158"/>
        <v>0.11206677087119576</v>
      </c>
      <c r="R48" s="2">
        <f t="shared" si="158"/>
        <v>0.13031446238187211</v>
      </c>
      <c r="S48" s="2">
        <f t="shared" si="158"/>
        <v>0.15053854929898564</v>
      </c>
      <c r="T48" s="2">
        <f t="shared" si="158"/>
        <v>0.17293518442578412</v>
      </c>
      <c r="U48" s="2">
        <f t="shared" si="158"/>
        <v>0.19773088166495117</v>
      </c>
      <c r="V48" s="2">
        <f t="shared" si="158"/>
        <v>0.22518734305028021</v>
      </c>
      <c r="W48" s="2">
        <f t="shared" si="158"/>
        <v>0.25560702119253287</v>
      </c>
      <c r="X48" s="2">
        <f t="shared" si="158"/>
        <v>0.28933942243211164</v>
      </c>
      <c r="Y48" s="2">
        <f t="shared" si="158"/>
        <v>0.32678805997001709</v>
      </c>
      <c r="Z48" s="2">
        <f t="shared" si="158"/>
        <v>0.36841778489402355</v>
      </c>
      <c r="AA48" s="2">
        <f t="shared" si="158"/>
        <v>0.41476189614475589</v>
      </c>
      <c r="AB48" s="2">
        <f t="shared" si="158"/>
        <v>0.46642786006152315</v>
      </c>
      <c r="AC48" s="2">
        <f t="shared" si="158"/>
        <v>0.5240995011222418</v>
      </c>
      <c r="AD48" s="2">
        <f t="shared" si="158"/>
        <v>0.58853192374731444</v>
      </c>
      <c r="AE48" s="2">
        <f t="shared" si="158"/>
        <v>0.6605328660465708</v>
      </c>
      <c r="AF48" s="2">
        <f t="shared" si="158"/>
        <v>0.74092029553179806</v>
      </c>
      <c r="AG48" s="2">
        <f t="shared" si="158"/>
        <v>0.8304406074347237</v>
      </c>
      <c r="AH48" s="2">
        <f t="shared" si="158"/>
        <v>0.9296252870776337</v>
      </c>
      <c r="AI48" s="2">
        <f t="shared" ref="AI48:BN48" si="159">1/((1+(AI$23*(1-(1/(AI$25^2)))))^2+(AI42*(AI$25-(1/AI$25)))^2)^0.5</f>
        <v>1.0385589735124923</v>
      </c>
      <c r="AJ48" s="2">
        <f t="shared" si="159"/>
        <v>1.1565358221936155</v>
      </c>
      <c r="AK48" s="2">
        <f t="shared" si="159"/>
        <v>1.2816089871498766</v>
      </c>
      <c r="AL48" s="2">
        <f t="shared" si="159"/>
        <v>1.4101116071087769</v>
      </c>
      <c r="AM48" s="2">
        <f t="shared" si="159"/>
        <v>1.5363569390603768</v>
      </c>
      <c r="AN48" s="2">
        <f t="shared" si="159"/>
        <v>1.65285950623636</v>
      </c>
      <c r="AO48" s="2">
        <f t="shared" si="159"/>
        <v>1.7513963077326</v>
      </c>
      <c r="AP48" s="2">
        <f t="shared" si="159"/>
        <v>1.7782697123835738</v>
      </c>
      <c r="AQ48" s="2">
        <f t="shared" si="159"/>
        <v>1.842521858815988</v>
      </c>
      <c r="AR48" s="2">
        <f t="shared" si="159"/>
        <v>1.877184616835909</v>
      </c>
      <c r="AS48" s="2">
        <f t="shared" si="159"/>
        <v>1.8835663748580507</v>
      </c>
      <c r="AT48" s="2">
        <f t="shared" si="159"/>
        <v>1.8661906480398671</v>
      </c>
      <c r="AU48" s="2">
        <f t="shared" si="159"/>
        <v>1.8311332052157421</v>
      </c>
      <c r="AV48" s="2">
        <f t="shared" si="159"/>
        <v>1.7844652653033422</v>
      </c>
      <c r="AW48" s="2">
        <f t="shared" si="159"/>
        <v>1.7313057391434843</v>
      </c>
      <c r="AX48" s="2">
        <f t="shared" si="159"/>
        <v>1.6754951104365585</v>
      </c>
      <c r="AY48" s="2">
        <f t="shared" si="159"/>
        <v>1.6196661504692818</v>
      </c>
      <c r="AZ48" s="2">
        <f t="shared" si="159"/>
        <v>1.5654830422390511</v>
      </c>
      <c r="BA48" s="2">
        <f t="shared" si="159"/>
        <v>1.5139055507220465</v>
      </c>
      <c r="BB48" s="2">
        <f t="shared" si="159"/>
        <v>1.4654142627143234</v>
      </c>
      <c r="BC48" s="2">
        <f t="shared" si="159"/>
        <v>1.4201804266445175</v>
      </c>
      <c r="BD48" s="2">
        <f t="shared" si="159"/>
        <v>1.378185186874473</v>
      </c>
      <c r="BE48" s="2">
        <f t="shared" si="159"/>
        <v>1.3392994635807869</v>
      </c>
      <c r="BF48" s="2">
        <f t="shared" si="159"/>
        <v>1.3033356497003801</v>
      </c>
      <c r="BG48" s="2">
        <f t="shared" si="159"/>
        <v>1.2700800829740406</v>
      </c>
      <c r="BH48" s="2">
        <f t="shared" si="159"/>
        <v>1.2393128105097795</v>
      </c>
      <c r="BI48" s="2">
        <f t="shared" si="159"/>
        <v>1.2108191416307874</v>
      </c>
      <c r="BJ48" s="2">
        <f t="shared" si="159"/>
        <v>1.1843959924894703</v>
      </c>
      <c r="BK48" s="2">
        <f t="shared" si="159"/>
        <v>1.1598549879775268</v>
      </c>
      <c r="BL48" s="2">
        <f t="shared" si="159"/>
        <v>1.1370235886926106</v>
      </c>
      <c r="BM48" s="2">
        <f t="shared" si="159"/>
        <v>1.1157450512379816</v>
      </c>
      <c r="BN48" s="2">
        <f t="shared" si="159"/>
        <v>1.0958777315120469</v>
      </c>
      <c r="BO48" s="2">
        <f t="shared" ref="BO48:CG48" si="160">1/((1+(BO$23*(1-(1/(BO$25^2)))))^2+(BO42*(BO$25-(1/BO$25)))^2)^0.5</f>
        <v>1.0772940483014846</v>
      </c>
      <c r="BP48" s="2">
        <f t="shared" si="160"/>
        <v>1.059879301452785</v>
      </c>
      <c r="BQ48" s="2">
        <f t="shared" si="160"/>
        <v>1.0435304606925433</v>
      </c>
      <c r="BR48" s="2">
        <f t="shared" si="160"/>
        <v>1.028154991818149</v>
      </c>
      <c r="BS48" s="2">
        <f t="shared" si="160"/>
        <v>1.0136697561353609</v>
      </c>
      <c r="BT48" s="2">
        <f t="shared" si="160"/>
        <v>1</v>
      </c>
      <c r="BU48" s="2">
        <f t="shared" si="160"/>
        <v>0.96699772821468988</v>
      </c>
      <c r="BV48" s="2">
        <f t="shared" si="160"/>
        <v>0.9382864238703772</v>
      </c>
      <c r="BW48" s="2">
        <f t="shared" si="160"/>
        <v>0.91304803761259046</v>
      </c>
      <c r="BX48" s="2">
        <f t="shared" si="160"/>
        <v>0.89064994963750566</v>
      </c>
      <c r="BY48" s="2">
        <f t="shared" si="160"/>
        <v>0.87059744201840372</v>
      </c>
      <c r="BZ48" s="2">
        <f t="shared" si="160"/>
        <v>0.85249943759914026</v>
      </c>
      <c r="CA48" s="2">
        <f t="shared" si="160"/>
        <v>0.83604361677301053</v>
      </c>
      <c r="CB48" s="2">
        <f t="shared" si="160"/>
        <v>0.82097816949739777</v>
      </c>
      <c r="CC48" s="2">
        <f t="shared" si="160"/>
        <v>0.80709827103358334</v>
      </c>
      <c r="CD48" s="2">
        <f t="shared" si="160"/>
        <v>0.7942359500645636</v>
      </c>
      <c r="CE48" s="2">
        <f t="shared" si="160"/>
        <v>0.78225241734450579</v>
      </c>
      <c r="CF48" s="2">
        <f t="shared" si="160"/>
        <v>0.77103219755680774</v>
      </c>
      <c r="CG48" s="2">
        <f t="shared" si="160"/>
        <v>0.76047859641659454</v>
      </c>
      <c r="CH48" s="2" cm="1">
        <f t="array" aca="1" ref="CH48" ca="1">INDIRECT(CI48)</f>
        <v>0.57971014492753759</v>
      </c>
      <c r="CI48" s="2" t="str">
        <f>ADDRESS(25,CJ48)</f>
        <v>$AQ$25</v>
      </c>
      <c r="CJ48" s="2">
        <f t="shared" si="156"/>
        <v>43</v>
      </c>
      <c r="CK48" s="2">
        <f t="shared" si="157"/>
        <v>1.8835663748580507</v>
      </c>
    </row>
    <row r="49" spans="2:89">
      <c r="B49" s="2" t="s">
        <v>716</v>
      </c>
      <c r="C49" s="2">
        <f>1/((1+(C$23*(1-(1/(C$25^2)))))^2+(C43*(C$25-(1/C$25)))^2)^0.5</f>
        <v>2.1818182439325691E-8</v>
      </c>
      <c r="D49" s="2">
        <f t="shared" ref="D49:AH49" si="161">1/((1+(D$23*(1-(1/(D$25^2)))))^2+(D43*(D$25-(1/D$25)))^2)^0.5</f>
        <v>1.288386932838223E-3</v>
      </c>
      <c r="E49" s="2">
        <f t="shared" si="161"/>
        <v>3.294085024357045E-3</v>
      </c>
      <c r="F49" s="2">
        <f t="shared" si="161"/>
        <v>6.2406824378399874E-3</v>
      </c>
      <c r="G49" s="2">
        <f t="shared" si="161"/>
        <v>1.0149721903320651E-2</v>
      </c>
      <c r="H49" s="2">
        <f t="shared" si="161"/>
        <v>1.5050135523851146E-2</v>
      </c>
      <c r="I49" s="2">
        <f t="shared" si="161"/>
        <v>2.0978762930202923E-2</v>
      </c>
      <c r="J49" s="2">
        <f t="shared" si="161"/>
        <v>2.7981024024538607E-2</v>
      </c>
      <c r="K49" s="2">
        <f t="shared" si="161"/>
        <v>3.6111767932241016E-2</v>
      </c>
      <c r="L49" s="2">
        <f t="shared" si="161"/>
        <v>4.5436326096875805E-2</v>
      </c>
      <c r="M49" s="2">
        <f t="shared" si="161"/>
        <v>5.6031805097773321E-2</v>
      </c>
      <c r="N49" s="2">
        <f t="shared" si="161"/>
        <v>6.7988664131966317E-2</v>
      </c>
      <c r="O49" s="2">
        <f t="shared" si="161"/>
        <v>8.1412633661487821E-2</v>
      </c>
      <c r="P49" s="2">
        <f t="shared" si="161"/>
        <v>9.6427046070027292E-2</v>
      </c>
      <c r="Q49" s="2">
        <f t="shared" si="161"/>
        <v>0.11317566700622338</v>
      </c>
      <c r="R49" s="2">
        <f t="shared" si="161"/>
        <v>0.13182613823889974</v>
      </c>
      <c r="S49" s="2">
        <f t="shared" si="161"/>
        <v>0.15257417021874703</v>
      </c>
      <c r="T49" s="2">
        <f t="shared" si="161"/>
        <v>0.17564865601082363</v>
      </c>
      <c r="U49" s="2">
        <f t="shared" si="161"/>
        <v>0.20131791842768321</v>
      </c>
      <c r="V49" s="2">
        <f t="shared" si="161"/>
        <v>0.22989734881129481</v>
      </c>
      <c r="W49" s="2">
        <f t="shared" si="161"/>
        <v>0.26175874677386279</v>
      </c>
      <c r="X49" s="2">
        <f t="shared" si="161"/>
        <v>0.29734171889440625</v>
      </c>
      <c r="Y49" s="2">
        <f t="shared" si="161"/>
        <v>0.33716752587048926</v>
      </c>
      <c r="Z49" s="2">
        <f t="shared" si="161"/>
        <v>0.38185574987982207</v>
      </c>
      <c r="AA49" s="2">
        <f t="shared" si="161"/>
        <v>0.4321440215917321</v>
      </c>
      <c r="AB49" s="2">
        <f t="shared" si="161"/>
        <v>0.48891067008148426</v>
      </c>
      <c r="AC49" s="2">
        <f t="shared" si="161"/>
        <v>0.55319928820362751</v>
      </c>
      <c r="AD49" s="2">
        <f t="shared" si="161"/>
        <v>0.62624236450510695</v>
      </c>
      <c r="AE49" s="2">
        <f t="shared" si="161"/>
        <v>0.70947743818119835</v>
      </c>
      <c r="AF49" s="2">
        <f t="shared" si="161"/>
        <v>0.80454211618310545</v>
      </c>
      <c r="AG49" s="2">
        <f t="shared" si="161"/>
        <v>0.91322115987396457</v>
      </c>
      <c r="AH49" s="2">
        <f t="shared" si="161"/>
        <v>1.0372960664446651</v>
      </c>
      <c r="AI49" s="2">
        <f t="shared" ref="AI49:BN49" si="162">1/((1+(AI$23*(1-(1/(AI$25^2)))))^2+(AI43*(AI$25-(1/AI$25)))^2)^0.5</f>
        <v>1.1782121374140366</v>
      </c>
      <c r="AJ49" s="2">
        <f t="shared" si="162"/>
        <v>1.3364349780829285</v>
      </c>
      <c r="AK49" s="2">
        <f t="shared" si="162"/>
        <v>1.5103522672564342</v>
      </c>
      <c r="AL49" s="2">
        <f t="shared" si="162"/>
        <v>1.6946933621753784</v>
      </c>
      <c r="AM49" s="2">
        <f t="shared" si="162"/>
        <v>1.8788872930725196</v>
      </c>
      <c r="AN49" s="2">
        <f t="shared" si="162"/>
        <v>2.0466553898913227</v>
      </c>
      <c r="AO49" s="2">
        <f t="shared" si="162"/>
        <v>2.1787661726775815</v>
      </c>
      <c r="AP49" s="2">
        <f t="shared" si="162"/>
        <v>2.2111254628172508</v>
      </c>
      <c r="AQ49" s="2">
        <f t="shared" si="162"/>
        <v>2.2733341619235317</v>
      </c>
      <c r="AR49" s="2">
        <f t="shared" si="162"/>
        <v>2.2794758156576145</v>
      </c>
      <c r="AS49" s="2">
        <f t="shared" si="162"/>
        <v>2.2390917769355321</v>
      </c>
      <c r="AT49" s="2">
        <f t="shared" si="162"/>
        <v>2.1671764851446023</v>
      </c>
      <c r="AU49" s="2">
        <f t="shared" si="162"/>
        <v>2.0782664827564985</v>
      </c>
      <c r="AV49" s="2">
        <f t="shared" si="162"/>
        <v>1.9833491584035789</v>
      </c>
      <c r="AW49" s="2">
        <f t="shared" si="162"/>
        <v>1.8894370266624958</v>
      </c>
      <c r="AX49" s="2">
        <f t="shared" si="162"/>
        <v>1.8004036122547353</v>
      </c>
      <c r="AY49" s="2">
        <f t="shared" si="162"/>
        <v>1.7180362951962087</v>
      </c>
      <c r="AZ49" s="2">
        <f t="shared" si="162"/>
        <v>1.6428800535467103</v>
      </c>
      <c r="BA49" s="2">
        <f t="shared" si="162"/>
        <v>1.5748033751254678</v>
      </c>
      <c r="BB49" s="2">
        <f t="shared" si="162"/>
        <v>1.5133428875947135</v>
      </c>
      <c r="BC49" s="2">
        <f t="shared" si="162"/>
        <v>1.4579001918992971</v>
      </c>
      <c r="BD49" s="2">
        <f t="shared" si="162"/>
        <v>1.4078482374057375</v>
      </c>
      <c r="BE49" s="2">
        <f t="shared" si="162"/>
        <v>1.3625851213657625</v>
      </c>
      <c r="BF49" s="2">
        <f t="shared" si="162"/>
        <v>1.3215584444011077</v>
      </c>
      <c r="BG49" s="2">
        <f t="shared" si="162"/>
        <v>1.2842737446429706</v>
      </c>
      <c r="BH49" s="2">
        <f t="shared" si="162"/>
        <v>1.2502946995621886</v>
      </c>
      <c r="BI49" s="2">
        <f t="shared" si="162"/>
        <v>1.2192393728204127</v>
      </c>
      <c r="BJ49" s="2">
        <f t="shared" si="162"/>
        <v>1.1907748312749207</v>
      </c>
      <c r="BK49" s="2">
        <f t="shared" si="162"/>
        <v>1.1646113567059417</v>
      </c>
      <c r="BL49" s="2">
        <f t="shared" si="162"/>
        <v>1.140496864502047</v>
      </c>
      <c r="BM49" s="2">
        <f t="shared" si="162"/>
        <v>1.1182118061628268</v>
      </c>
      <c r="BN49" s="2">
        <f t="shared" si="162"/>
        <v>1.0975646529978911</v>
      </c>
      <c r="BO49" s="2">
        <f t="shared" ref="BO49:CG49" si="163">1/((1+(BO$23*(1-(1/(BO$25^2)))))^2+(BO43*(BO$25-(1/BO$25)))^2)^0.5</f>
        <v>1.0783879659759421</v>
      </c>
      <c r="BP49" s="2">
        <f t="shared" si="163"/>
        <v>1.0605350123336386</v>
      </c>
      <c r="BQ49" s="2">
        <f t="shared" si="163"/>
        <v>1.0438768713069297</v>
      </c>
      <c r="BR49" s="2">
        <f t="shared" si="163"/>
        <v>1.0282999668555644</v>
      </c>
      <c r="BS49" s="2">
        <f t="shared" si="163"/>
        <v>1.0137039676399553</v>
      </c>
      <c r="BT49" s="2">
        <f t="shared" si="163"/>
        <v>1</v>
      </c>
      <c r="BU49" s="2">
        <f t="shared" si="163"/>
        <v>0.96719882159524373</v>
      </c>
      <c r="BV49" s="2">
        <f t="shared" si="163"/>
        <v>0.93899617000083535</v>
      </c>
      <c r="BW49" s="2">
        <f t="shared" si="163"/>
        <v>0.91447253396452466</v>
      </c>
      <c r="BX49" s="2">
        <f t="shared" si="163"/>
        <v>0.8929300910335991</v>
      </c>
      <c r="BY49" s="2">
        <f t="shared" si="163"/>
        <v>0.87383107550355499</v>
      </c>
      <c r="BZ49" s="2">
        <f t="shared" si="163"/>
        <v>0.85675526471749119</v>
      </c>
      <c r="CA49" s="2">
        <f t="shared" si="163"/>
        <v>0.84137012873404282</v>
      </c>
      <c r="CB49" s="2">
        <f t="shared" si="163"/>
        <v>0.82740951576527788</v>
      </c>
      <c r="CC49" s="2">
        <f t="shared" si="163"/>
        <v>0.81465819096376568</v>
      </c>
      <c r="CD49" s="2">
        <f t="shared" si="163"/>
        <v>0.80294045572863604</v>
      </c>
      <c r="CE49" s="2">
        <f t="shared" si="163"/>
        <v>0.79211165619735802</v>
      </c>
      <c r="CF49" s="2">
        <f t="shared" si="163"/>
        <v>0.78205176741559146</v>
      </c>
      <c r="CG49" s="2">
        <f t="shared" si="163"/>
        <v>0.77266048914876062</v>
      </c>
      <c r="CH49" s="2" cm="1">
        <f t="array" aca="1" ref="CH49" ca="1">INDIRECT(CI49)</f>
        <v>0.56521739130434923</v>
      </c>
      <c r="CI49" s="2" t="str">
        <f t="shared" ref="CI49:CI52" si="164">ADDRESS(25,CJ49)</f>
        <v>$AP$25</v>
      </c>
      <c r="CJ49" s="2">
        <f t="shared" si="156"/>
        <v>42</v>
      </c>
      <c r="CK49" s="2">
        <f t="shared" si="157"/>
        <v>2.2794758156576145</v>
      </c>
    </row>
    <row r="50" spans="2:89">
      <c r="B50" s="2" t="s">
        <v>717</v>
      </c>
      <c r="C50" s="2">
        <f>1/((1+(C$23*(1-(1/(C$25^2)))))^2+(C44*(C$25-(1/C$25)))^2)^0.5</f>
        <v>2.1818182479920704E-8</v>
      </c>
      <c r="D50" s="2">
        <f t="shared" ref="D50:AH50" si="165">1/((1+(D$23*(1-(1/(D$25^2)))))^2+(D44*(D$25-(1/D$25)))^2)^0.5</f>
        <v>1.2885285829841006E-3</v>
      </c>
      <c r="E50" s="2">
        <f t="shared" si="165"/>
        <v>3.2950119481721194E-3</v>
      </c>
      <c r="F50" s="2">
        <f t="shared" si="165"/>
        <v>6.2440144033623097E-3</v>
      </c>
      <c r="G50" s="2">
        <f t="shared" si="165"/>
        <v>1.0158553191859945E-2</v>
      </c>
      <c r="H50" s="2">
        <f t="shared" si="165"/>
        <v>1.5069602622699301E-2</v>
      </c>
      <c r="I50" s="2">
        <f t="shared" si="165"/>
        <v>2.1016704876682134E-2</v>
      </c>
      <c r="J50" s="2">
        <f t="shared" si="165"/>
        <v>2.8048768388947723E-2</v>
      </c>
      <c r="K50" s="2">
        <f t="shared" si="165"/>
        <v>3.6225083729408088E-2</v>
      </c>
      <c r="L50" s="2">
        <f t="shared" si="165"/>
        <v>4.5616596356075428E-2</v>
      </c>
      <c r="M50" s="2">
        <f t="shared" si="165"/>
        <v>5.6307487501055131E-2</v>
      </c>
      <c r="N50" s="2">
        <f t="shared" si="165"/>
        <v>6.83971296301875E-2</v>
      </c>
      <c r="O50" s="2">
        <f t="shared" si="165"/>
        <v>8.2002502564154742E-2</v>
      </c>
      <c r="P50" s="2">
        <f t="shared" si="165"/>
        <v>9.7261182059277002E-2</v>
      </c>
      <c r="Q50" s="2">
        <f t="shared" si="165"/>
        <v>0.11433504662530793</v>
      </c>
      <c r="R50" s="2">
        <f t="shared" si="165"/>
        <v>0.13341489367348136</v>
      </c>
      <c r="S50" s="2">
        <f t="shared" si="165"/>
        <v>0.15472621704054584</v>
      </c>
      <c r="T50" s="2">
        <f t="shared" si="165"/>
        <v>0.17853648058534624</v>
      </c>
      <c r="U50" s="2">
        <f t="shared" si="165"/>
        <v>0.20516433548851423</v>
      </c>
      <c r="V50" s="2">
        <f t="shared" si="165"/>
        <v>0.23499138428974772</v>
      </c>
      <c r="W50" s="2">
        <f t="shared" si="165"/>
        <v>0.26847730985236462</v>
      </c>
      <c r="X50" s="2">
        <f t="shared" si="165"/>
        <v>0.30617948669159406</v>
      </c>
      <c r="Y50" s="2">
        <f t="shared" si="165"/>
        <v>0.34877860915110864</v>
      </c>
      <c r="Z50" s="2">
        <f t="shared" si="165"/>
        <v>0.39711245078414564</v>
      </c>
      <c r="AA50" s="2">
        <f t="shared" si="165"/>
        <v>0.45222066752110879</v>
      </c>
      <c r="AB50" s="2">
        <f t="shared" si="165"/>
        <v>0.51540462938092035</v>
      </c>
      <c r="AC50" s="2">
        <f t="shared" si="165"/>
        <v>0.58830762840615813</v>
      </c>
      <c r="AD50" s="2">
        <f t="shared" si="165"/>
        <v>0.67302232488870162</v>
      </c>
      <c r="AE50" s="2">
        <f t="shared" si="165"/>
        <v>0.77223333712321429</v>
      </c>
      <c r="AF50" s="2">
        <f t="shared" si="165"/>
        <v>0.88940146434470002</v>
      </c>
      <c r="AG50" s="2">
        <f t="shared" si="165"/>
        <v>1.0289864824494521</v>
      </c>
      <c r="AH50" s="2">
        <f t="shared" si="165"/>
        <v>1.1966724314094623</v>
      </c>
      <c r="AI50" s="2">
        <f t="shared" ref="AI50:BN50" si="166">1/((1+(AI$23*(1-(1/(AI$25^2)))))^2+(AI44*(AI$25-(1/AI$25)))^2)^0.5</f>
        <v>1.3994632574174968</v>
      </c>
      <c r="AJ50" s="2">
        <f t="shared" si="166"/>
        <v>1.6452628496952006</v>
      </c>
      <c r="AK50" s="2">
        <f t="shared" si="166"/>
        <v>1.9409529095430136</v>
      </c>
      <c r="AL50" s="2">
        <f t="shared" si="166"/>
        <v>2.286856711332343</v>
      </c>
      <c r="AM50" s="2">
        <f t="shared" si="166"/>
        <v>2.664689739148864</v>
      </c>
      <c r="AN50" s="2">
        <f t="shared" si="166"/>
        <v>3.0210297534050943</v>
      </c>
      <c r="AO50" s="2">
        <f t="shared" si="166"/>
        <v>3.2681466330811526</v>
      </c>
      <c r="AP50" s="2">
        <f t="shared" si="166"/>
        <v>3.3110252196145522</v>
      </c>
      <c r="AQ50" s="2">
        <f t="shared" si="166"/>
        <v>3.3156909367168934</v>
      </c>
      <c r="AR50" s="2">
        <f t="shared" si="166"/>
        <v>3.165485129035889</v>
      </c>
      <c r="AS50" s="2">
        <f t="shared" si="166"/>
        <v>2.9379147301897302</v>
      </c>
      <c r="AT50" s="2">
        <f t="shared" si="166"/>
        <v>2.6956469422014004</v>
      </c>
      <c r="AU50" s="2">
        <f t="shared" si="166"/>
        <v>2.4705166769883413</v>
      </c>
      <c r="AV50" s="2">
        <f t="shared" si="166"/>
        <v>2.2731978578150067</v>
      </c>
      <c r="AW50" s="2">
        <f t="shared" si="166"/>
        <v>2.1043137440172504</v>
      </c>
      <c r="AX50" s="2">
        <f t="shared" si="166"/>
        <v>1.9607997258777867</v>
      </c>
      <c r="AY50" s="2">
        <f t="shared" si="166"/>
        <v>1.8387414801727384</v>
      </c>
      <c r="AZ50" s="2">
        <f t="shared" si="166"/>
        <v>1.7344475901781762</v>
      </c>
      <c r="BA50" s="2">
        <f t="shared" si="166"/>
        <v>1.6447671953798582</v>
      </c>
      <c r="BB50" s="2">
        <f t="shared" si="166"/>
        <v>1.5671176092543677</v>
      </c>
      <c r="BC50" s="2">
        <f t="shared" si="166"/>
        <v>1.4994159312519777</v>
      </c>
      <c r="BD50" s="2">
        <f t="shared" si="166"/>
        <v>1.4399901776491046</v>
      </c>
      <c r="BE50" s="2">
        <f t="shared" si="166"/>
        <v>1.3874966034904137</v>
      </c>
      <c r="BF50" s="2">
        <f t="shared" si="166"/>
        <v>1.3408506390314692</v>
      </c>
      <c r="BG50" s="2">
        <f t="shared" si="166"/>
        <v>1.2991717638123261</v>
      </c>
      <c r="BH50" s="2">
        <f t="shared" si="166"/>
        <v>1.2617403838170929</v>
      </c>
      <c r="BI50" s="2">
        <f t="shared" si="166"/>
        <v>1.2279643637936826</v>
      </c>
      <c r="BJ50" s="2">
        <f t="shared" si="166"/>
        <v>1.1973530893088902</v>
      </c>
      <c r="BK50" s="2">
        <f t="shared" si="166"/>
        <v>1.1694973196907215</v>
      </c>
      <c r="BL50" s="2">
        <f t="shared" si="166"/>
        <v>1.1440534718277999</v>
      </c>
      <c r="BM50" s="2">
        <f t="shared" si="166"/>
        <v>1.1207312935183062</v>
      </c>
      <c r="BN50" s="2">
        <f t="shared" si="166"/>
        <v>1.0992841366401696</v>
      </c>
      <c r="BO50" s="2">
        <f t="shared" ref="BO50:CG50" si="167">1/((1+(BO$23*(1-(1/(BO$25^2)))))^2+(BO44*(BO$25-(1/BO$25)))^2)^0.5</f>
        <v>1.0795012330280616</v>
      </c>
      <c r="BP50" s="2">
        <f t="shared" si="167"/>
        <v>1.0612015212514392</v>
      </c>
      <c r="BQ50" s="2">
        <f t="shared" si="167"/>
        <v>1.0442286814174895</v>
      </c>
      <c r="BR50" s="2">
        <f t="shared" si="167"/>
        <v>1.028447116660097</v>
      </c>
      <c r="BS50" s="2">
        <f t="shared" si="167"/>
        <v>1.0137386810967635</v>
      </c>
      <c r="BT50" s="2">
        <f t="shared" si="167"/>
        <v>1</v>
      </c>
      <c r="BU50" s="2">
        <f t="shared" si="167"/>
        <v>0.96740297287939647</v>
      </c>
      <c r="BV50" s="2">
        <f t="shared" si="167"/>
        <v>0.9397179046098656</v>
      </c>
      <c r="BW50" s="2">
        <f t="shared" si="167"/>
        <v>0.91592461846307416</v>
      </c>
      <c r="BX50" s="2">
        <f t="shared" si="167"/>
        <v>0.89526144065932423</v>
      </c>
      <c r="BY50" s="2">
        <f t="shared" si="167"/>
        <v>0.87714892036287673</v>
      </c>
      <c r="BZ50" s="2">
        <f t="shared" si="167"/>
        <v>0.86113889543855549</v>
      </c>
      <c r="CA50" s="2">
        <f t="shared" si="167"/>
        <v>0.84687964305359276</v>
      </c>
      <c r="CB50" s="2">
        <f t="shared" si="167"/>
        <v>0.83409151190731656</v>
      </c>
      <c r="CC50" s="2">
        <f t="shared" si="167"/>
        <v>0.82254954889244947</v>
      </c>
      <c r="CD50" s="2">
        <f t="shared" si="167"/>
        <v>0.81207089395729926</v>
      </c>
      <c r="CE50" s="2">
        <f t="shared" si="167"/>
        <v>0.80250548884949624</v>
      </c>
      <c r="CF50" s="2">
        <f t="shared" si="167"/>
        <v>0.79372912964468822</v>
      </c>
      <c r="CG50" s="2">
        <f t="shared" si="167"/>
        <v>0.78563820355372038</v>
      </c>
      <c r="CH50" s="2" cm="1">
        <f t="array" aca="1" ref="CH50" ca="1">INDIRECT(CI50)</f>
        <v>0.56051191058138805</v>
      </c>
      <c r="CI50" s="2" t="str">
        <f t="shared" si="164"/>
        <v>$AO$25</v>
      </c>
      <c r="CJ50" s="2">
        <f t="shared" si="156"/>
        <v>41</v>
      </c>
      <c r="CK50" s="2">
        <f t="shared" si="157"/>
        <v>3.3156909367168934</v>
      </c>
    </row>
    <row r="51" spans="2:89">
      <c r="B51" s="2" t="s">
        <v>718</v>
      </c>
      <c r="C51" s="2">
        <f t="shared" ref="C51:AH51" si="168">1/((1+(C$23*(1-(1/(C$25^2)))))^2+(C45*(C$25-(1/C$25)))^2)^0.5</f>
        <v>2.1818182504277716E-8</v>
      </c>
      <c r="D51" s="2">
        <f t="shared" si="168"/>
        <v>1.2886135955008332E-3</v>
      </c>
      <c r="E51" s="2">
        <f t="shared" si="168"/>
        <v>3.2955684781936466E-3</v>
      </c>
      <c r="F51" s="2">
        <f t="shared" si="168"/>
        <v>6.2460161462191653E-3</v>
      </c>
      <c r="G51" s="2">
        <f t="shared" si="168"/>
        <v>1.0163863042965088E-2</v>
      </c>
      <c r="H51" s="2">
        <f t="shared" si="168"/>
        <v>1.5081319204381372E-2</v>
      </c>
      <c r="I51" s="2">
        <f t="shared" si="168"/>
        <v>2.1039569098202388E-2</v>
      </c>
      <c r="J51" s="2">
        <f t="shared" si="168"/>
        <v>2.8089651953662267E-2</v>
      </c>
      <c r="K51" s="2">
        <f t="shared" si="168"/>
        <v>3.6293587388214997E-2</v>
      </c>
      <c r="L51" s="2">
        <f t="shared" si="168"/>
        <v>4.5725793918706494E-2</v>
      </c>
      <c r="M51" s="2">
        <f t="shared" si="168"/>
        <v>5.647486303862221E-2</v>
      </c>
      <c r="N51" s="2">
        <f t="shared" si="168"/>
        <v>6.8645771225195648E-2</v>
      </c>
      <c r="O51" s="2">
        <f t="shared" si="168"/>
        <v>8.2362638290634962E-2</v>
      </c>
      <c r="P51" s="2">
        <f t="shared" si="168"/>
        <v>9.777217543465197E-2</v>
      </c>
      <c r="Q51" s="2">
        <f t="shared" si="168"/>
        <v>0.11504801381981522</v>
      </c>
      <c r="R51" s="2">
        <f t="shared" si="168"/>
        <v>0.1343961697659459</v>
      </c>
      <c r="S51" s="2">
        <f t="shared" si="168"/>
        <v>0.15606199356055589</v>
      </c>
      <c r="T51" s="2">
        <f t="shared" si="168"/>
        <v>0.18033907712619268</v>
      </c>
      <c r="U51" s="2">
        <f t="shared" si="168"/>
        <v>0.20758077920643064</v>
      </c>
      <c r="V51" s="2">
        <f t="shared" si="168"/>
        <v>0.23821529291505833</v>
      </c>
      <c r="W51" s="2">
        <f t="shared" si="168"/>
        <v>0.27276557284516439</v>
      </c>
      <c r="X51" s="2">
        <f t="shared" si="168"/>
        <v>0.3118760270307826</v>
      </c>
      <c r="Y51" s="2">
        <f t="shared" si="168"/>
        <v>0.35634877663150372</v>
      </c>
      <c r="Z51" s="2">
        <f t="shared" si="168"/>
        <v>0.40719368317894933</v>
      </c>
      <c r="AA51" s="2">
        <f t="shared" si="168"/>
        <v>0.46569856393000625</v>
      </c>
      <c r="AB51" s="2">
        <f t="shared" si="168"/>
        <v>0.53352962776885804</v>
      </c>
      <c r="AC51" s="2">
        <f t="shared" si="168"/>
        <v>0.61287818547722495</v>
      </c>
      <c r="AD51" s="2">
        <f t="shared" si="168"/>
        <v>0.70667999489874977</v>
      </c>
      <c r="AE51" s="2">
        <f t="shared" si="168"/>
        <v>0.81895174017762684</v>
      </c>
      <c r="AF51" s="2">
        <f t="shared" si="168"/>
        <v>0.95532197886781722</v>
      </c>
      <c r="AG51" s="2">
        <f t="shared" si="168"/>
        <v>1.1238949075668698</v>
      </c>
      <c r="AH51" s="2">
        <f t="shared" si="168"/>
        <v>1.336700784700356</v>
      </c>
      <c r="AI51" s="2">
        <f t="shared" ref="AI51:BN51" si="169">1/((1+(AI$23*(1-(1/(AI$25^2)))))^2+(AI45*(AI$25-(1/AI$25)))^2)^0.5</f>
        <v>1.6122041821848843</v>
      </c>
      <c r="AJ51" s="2">
        <f t="shared" si="169"/>
        <v>1.9797167331940804</v>
      </c>
      <c r="AK51" s="2">
        <f t="shared" si="169"/>
        <v>2.4869471935964955</v>
      </c>
      <c r="AL51" s="2">
        <f t="shared" si="169"/>
        <v>3.2103200546599169</v>
      </c>
      <c r="AM51" s="2">
        <f t="shared" si="169"/>
        <v>4.2496371420859811</v>
      </c>
      <c r="AN51" s="2">
        <f t="shared" si="169"/>
        <v>5.5838781280519632</v>
      </c>
      <c r="AO51" s="2">
        <f t="shared" si="169"/>
        <v>6.5362649062806746</v>
      </c>
      <c r="AP51" s="2">
        <f t="shared" si="169"/>
        <v>6.56187709048654</v>
      </c>
      <c r="AQ51" s="2">
        <f t="shared" si="169"/>
        <v>5.8283032893166347</v>
      </c>
      <c r="AR51" s="2">
        <f t="shared" si="169"/>
        <v>4.7563696098705019</v>
      </c>
      <c r="AS51" s="2">
        <f t="shared" si="169"/>
        <v>3.9015255964034536</v>
      </c>
      <c r="AT51" s="2">
        <f t="shared" si="169"/>
        <v>3.2890887050132047</v>
      </c>
      <c r="AU51" s="2">
        <f t="shared" si="169"/>
        <v>2.8486465633840918</v>
      </c>
      <c r="AV51" s="2">
        <f t="shared" si="169"/>
        <v>2.5229481085899601</v>
      </c>
      <c r="AW51" s="2">
        <f t="shared" si="169"/>
        <v>2.274741534759305</v>
      </c>
      <c r="AX51" s="2">
        <f t="shared" si="169"/>
        <v>2.0803949878791861</v>
      </c>
      <c r="AY51" s="2">
        <f t="shared" si="169"/>
        <v>1.9246409174621322</v>
      </c>
      <c r="AZ51" s="2">
        <f t="shared" si="169"/>
        <v>1.7973280730835068</v>
      </c>
      <c r="BA51" s="2">
        <f t="shared" si="169"/>
        <v>1.6915035214697591</v>
      </c>
      <c r="BB51" s="2">
        <f t="shared" si="169"/>
        <v>1.6022709678425973</v>
      </c>
      <c r="BC51" s="2">
        <f t="shared" si="169"/>
        <v>1.5260949961030321</v>
      </c>
      <c r="BD51" s="2">
        <f t="shared" si="169"/>
        <v>1.4603652308008392</v>
      </c>
      <c r="BE51" s="2">
        <f t="shared" si="169"/>
        <v>1.4031157251568276</v>
      </c>
      <c r="BF51" s="2">
        <f t="shared" si="169"/>
        <v>1.3528395535321116</v>
      </c>
      <c r="BG51" s="2">
        <f t="shared" si="169"/>
        <v>1.3083633497339899</v>
      </c>
      <c r="BH51" s="2">
        <f t="shared" si="169"/>
        <v>1.2687605397323707</v>
      </c>
      <c r="BI51" s="2">
        <f t="shared" si="169"/>
        <v>1.2332901336794484</v>
      </c>
      <c r="BJ51" s="2">
        <f t="shared" si="169"/>
        <v>1.2013527629548135</v>
      </c>
      <c r="BK51" s="2">
        <f t="shared" si="169"/>
        <v>1.1724585811910933</v>
      </c>
      <c r="BL51" s="2">
        <f t="shared" si="169"/>
        <v>1.1462034742108889</v>
      </c>
      <c r="BM51" s="2">
        <f t="shared" si="169"/>
        <v>1.1222511850942101</v>
      </c>
      <c r="BN51" s="2">
        <f t="shared" si="169"/>
        <v>1.1003197140231982</v>
      </c>
      <c r="BO51" s="2">
        <f t="shared" ref="BO51:CG51" si="170">1/((1+(BO$23*(1-(1/(BO$25^2)))))^2+(BO45*(BO$25-(1/BO$25)))^2)^0.5</f>
        <v>1.0801708504954202</v>
      </c>
      <c r="BP51" s="2">
        <f t="shared" si="170"/>
        <v>1.0616020302914293</v>
      </c>
      <c r="BQ51" s="2">
        <f t="shared" si="170"/>
        <v>1.0444399382984499</v>
      </c>
      <c r="BR51" s="2">
        <f t="shared" si="170"/>
        <v>1.0285354368708968</v>
      </c>
      <c r="BS51" s="2">
        <f t="shared" si="170"/>
        <v>1.0137595108827029</v>
      </c>
      <c r="BT51" s="2">
        <f t="shared" si="170"/>
        <v>1</v>
      </c>
      <c r="BU51" s="2">
        <f t="shared" si="170"/>
        <v>0.96752552571866779</v>
      </c>
      <c r="BV51" s="2">
        <f t="shared" si="170"/>
        <v>0.94015174502363608</v>
      </c>
      <c r="BW51" s="2">
        <f t="shared" si="170"/>
        <v>0.91679919649383013</v>
      </c>
      <c r="BX51" s="2">
        <f t="shared" si="170"/>
        <v>0.89666904621600196</v>
      </c>
      <c r="BY51" s="2">
        <f t="shared" si="170"/>
        <v>0.87915786000048757</v>
      </c>
      <c r="BZ51" s="2">
        <f t="shared" si="170"/>
        <v>0.86380159359385156</v>
      </c>
      <c r="CA51" s="2">
        <f t="shared" si="170"/>
        <v>0.85023776125807737</v>
      </c>
      <c r="CB51" s="2">
        <f t="shared" si="170"/>
        <v>0.83817926151400113</v>
      </c>
      <c r="CC51" s="2">
        <f t="shared" si="170"/>
        <v>0.82739587966145289</v>
      </c>
      <c r="CD51" s="2">
        <f t="shared" si="170"/>
        <v>0.81770096634061051</v>
      </c>
      <c r="CE51" s="2">
        <f t="shared" si="170"/>
        <v>0.80894168016618251</v>
      </c>
      <c r="CF51" s="2">
        <f t="shared" si="170"/>
        <v>0.80099173123418488</v>
      </c>
      <c r="CG51" s="2">
        <f t="shared" si="170"/>
        <v>0.79374590961510494</v>
      </c>
      <c r="CH51" s="2" cm="1">
        <f t="array" aca="1" ref="CH51" ca="1">INDIRECT(CI51)</f>
        <v>0.54601915695819969</v>
      </c>
      <c r="CI51" s="2" t="str">
        <f t="shared" si="164"/>
        <v>$AN$25</v>
      </c>
      <c r="CJ51" s="2">
        <f t="shared" si="156"/>
        <v>40</v>
      </c>
      <c r="CK51" s="2">
        <f t="shared" si="157"/>
        <v>6.56187709048654</v>
      </c>
    </row>
    <row r="52" spans="2:89">
      <c r="B52" s="2" t="s">
        <v>719</v>
      </c>
      <c r="C52" s="2">
        <f>1/((1+(C$23*(1-(1/(C$25^2)))))^2+(C46*(C$25-(1/C$25)))^2)^0.5</f>
        <v>2.1818182511813798E-8</v>
      </c>
      <c r="D52" s="2">
        <f t="shared" ref="D52:AH52" si="171">1/((1+(D$23*(1-(1/(D$25^2)))))^2+(D46*(D$25-(1/D$25)))^2)^0.5</f>
        <v>1.2886399018736934E-3</v>
      </c>
      <c r="E52" s="2">
        <f t="shared" si="171"/>
        <v>3.2957407263120857E-3</v>
      </c>
      <c r="F52" s="2">
        <f t="shared" si="171"/>
        <v>6.2466358776971532E-3</v>
      </c>
      <c r="G52" s="2">
        <f t="shared" si="171"/>
        <v>1.0165507603988492E-2</v>
      </c>
      <c r="H52" s="2">
        <f t="shared" si="171"/>
        <v>1.5084949866895399E-2</v>
      </c>
      <c r="I52" s="2">
        <f t="shared" si="171"/>
        <v>2.1046658442832659E-2</v>
      </c>
      <c r="J52" s="2">
        <f t="shared" si="171"/>
        <v>2.81023376308875E-2</v>
      </c>
      <c r="K52" s="2">
        <f t="shared" si="171"/>
        <v>3.6314861344003233E-2</v>
      </c>
      <c r="L52" s="2">
        <f t="shared" si="171"/>
        <v>4.5759738936184333E-2</v>
      </c>
      <c r="M52" s="2">
        <f t="shared" si="171"/>
        <v>5.6526952320535069E-2</v>
      </c>
      <c r="N52" s="2">
        <f t="shared" si="171"/>
        <v>6.8723252184662853E-2</v>
      </c>
      <c r="O52" s="2">
        <f t="shared" si="171"/>
        <v>8.2475029418139778E-2</v>
      </c>
      <c r="P52" s="2">
        <f t="shared" si="171"/>
        <v>9.7931916103756539E-2</v>
      </c>
      <c r="Q52" s="2">
        <f t="shared" si="171"/>
        <v>0.11527132276347435</v>
      </c>
      <c r="R52" s="2">
        <f t="shared" si="171"/>
        <v>0.13470419114471002</v>
      </c>
      <c r="S52" s="2">
        <f t="shared" si="171"/>
        <v>0.15648234389516175</v>
      </c>
      <c r="T52" s="2">
        <f t="shared" si="171"/>
        <v>0.18090795801924275</v>
      </c>
      <c r="U52" s="2">
        <f t="shared" si="171"/>
        <v>0.20834589972416992</v>
      </c>
      <c r="V52" s="2">
        <f t="shared" si="171"/>
        <v>0.23923996833641625</v>
      </c>
      <c r="W52" s="2">
        <f t="shared" si="171"/>
        <v>0.27413456138089209</v>
      </c>
      <c r="X52" s="2">
        <f t="shared" si="171"/>
        <v>0.31370398204156635</v>
      </c>
      <c r="Y52" s="2">
        <f t="shared" si="171"/>
        <v>0.35879271622287734</v>
      </c>
      <c r="Z52" s="2">
        <f t="shared" si="171"/>
        <v>0.41047177235020432</v>
      </c>
      <c r="AA52" s="2">
        <f t="shared" si="171"/>
        <v>0.47011907114873286</v>
      </c>
      <c r="AB52" s="2">
        <f t="shared" si="171"/>
        <v>0.53953675623534936</v>
      </c>
      <c r="AC52" s="2">
        <f t="shared" si="171"/>
        <v>0.62112681303441541</v>
      </c>
      <c r="AD52" s="2">
        <f t="shared" si="171"/>
        <v>0.71816180290912213</v>
      </c>
      <c r="AE52" s="2">
        <f t="shared" si="171"/>
        <v>0.83521666251258286</v>
      </c>
      <c r="AF52" s="2">
        <f t="shared" si="171"/>
        <v>0.97888541784710736</v>
      </c>
      <c r="AG52" s="2">
        <f t="shared" si="171"/>
        <v>1.1590286425615637</v>
      </c>
      <c r="AH52" s="2">
        <f t="shared" si="171"/>
        <v>1.3910731154481613</v>
      </c>
      <c r="AI52" s="2">
        <f t="shared" ref="AI52:BN52" si="172">1/((1+(AI$23*(1-(1/(AI$25^2)))))^2+(AI46*(AI$25-(1/AI$25)))^2)^0.5</f>
        <v>1.7005633341179938</v>
      </c>
      <c r="AJ52" s="2">
        <f t="shared" si="172"/>
        <v>2.1330202297188179</v>
      </c>
      <c r="AK52" s="2">
        <f t="shared" si="172"/>
        <v>2.7779813040751811</v>
      </c>
      <c r="AL52" s="2">
        <f t="shared" si="172"/>
        <v>3.8379797956055457</v>
      </c>
      <c r="AM52" s="2">
        <f t="shared" si="172"/>
        <v>5.8791941016647868</v>
      </c>
      <c r="AN52" s="2">
        <f t="shared" si="172"/>
        <v>11.114975932256346</v>
      </c>
      <c r="AO52" s="2">
        <f t="shared" si="172"/>
        <v>24.39184850150432</v>
      </c>
      <c r="AP52" s="2">
        <f t="shared" si="172"/>
        <v>21.381300743334727</v>
      </c>
      <c r="AQ52" s="2">
        <f t="shared" si="172"/>
        <v>9.8041147483508695</v>
      </c>
      <c r="AR52" s="2">
        <f t="shared" si="172"/>
        <v>6.0856229604489309</v>
      </c>
      <c r="AS52" s="2">
        <f t="shared" si="172"/>
        <v>4.4643465813558141</v>
      </c>
      <c r="AT52" s="2">
        <f t="shared" si="172"/>
        <v>3.5700876327756239</v>
      </c>
      <c r="AU52" s="2">
        <f t="shared" si="172"/>
        <v>3.0060124165300444</v>
      </c>
      <c r="AV52" s="2">
        <f t="shared" si="172"/>
        <v>2.6185991918954308</v>
      </c>
      <c r="AW52" s="2">
        <f t="shared" si="172"/>
        <v>2.3364761519399484</v>
      </c>
      <c r="AX52" s="2">
        <f t="shared" si="172"/>
        <v>2.1220718457417393</v>
      </c>
      <c r="AY52" s="2">
        <f t="shared" si="172"/>
        <v>1.9537573380112709</v>
      </c>
      <c r="AZ52" s="2">
        <f t="shared" si="172"/>
        <v>1.8182125935786142</v>
      </c>
      <c r="BA52" s="2">
        <f t="shared" si="172"/>
        <v>1.7067907365471442</v>
      </c>
      <c r="BB52" s="2">
        <f t="shared" si="172"/>
        <v>1.6136359459188396</v>
      </c>
      <c r="BC52" s="2">
        <f t="shared" si="172"/>
        <v>1.5346424197910451</v>
      </c>
      <c r="BD52" s="2">
        <f t="shared" si="172"/>
        <v>1.4668466182606288</v>
      </c>
      <c r="BE52" s="2">
        <f t="shared" si="172"/>
        <v>1.4080561766615021</v>
      </c>
      <c r="BF52" s="2">
        <f t="shared" si="172"/>
        <v>1.3566145771917075</v>
      </c>
      <c r="BG52" s="2">
        <f t="shared" si="172"/>
        <v>1.3112469934825686</v>
      </c>
      <c r="BH52" s="2">
        <f t="shared" si="172"/>
        <v>1.2709564322419977</v>
      </c>
      <c r="BI52" s="2">
        <f t="shared" si="172"/>
        <v>1.2349520211719431</v>
      </c>
      <c r="BJ52" s="2">
        <f t="shared" si="172"/>
        <v>1.2025984085632504</v>
      </c>
      <c r="BK52" s="2">
        <f t="shared" si="172"/>
        <v>1.1733793650940225</v>
      </c>
      <c r="BL52" s="2">
        <f t="shared" si="172"/>
        <v>1.1468711465588111</v>
      </c>
      <c r="BM52" s="2">
        <f t="shared" si="172"/>
        <v>1.1227226952196869</v>
      </c>
      <c r="BN52" s="2">
        <f t="shared" si="172"/>
        <v>1.1006407160997609</v>
      </c>
      <c r="BO52" s="2">
        <f t="shared" ref="BO52:CG52" si="173">1/((1+(BO$23*(1-(1/(BO$25^2)))))^2+(BO46*(BO$25-(1/BO$25)))^2)^0.5</f>
        <v>1.080378283409426</v>
      </c>
      <c r="BP52" s="2">
        <f t="shared" si="173"/>
        <v>1.0617260401061586</v>
      </c>
      <c r="BQ52" s="2">
        <f t="shared" si="173"/>
        <v>1.0445053273817413</v>
      </c>
      <c r="BR52" s="2">
        <f t="shared" si="173"/>
        <v>1.0285627678487375</v>
      </c>
      <c r="BS52" s="2">
        <f t="shared" si="173"/>
        <v>1.0137659559009993</v>
      </c>
      <c r="BT52" s="2">
        <f t="shared" si="173"/>
        <v>1</v>
      </c>
      <c r="BU52" s="2">
        <f t="shared" si="173"/>
        <v>0.96756345313474823</v>
      </c>
      <c r="BV52" s="2">
        <f t="shared" si="173"/>
        <v>0.9402860974786944</v>
      </c>
      <c r="BW52" s="2">
        <f t="shared" si="173"/>
        <v>0.9170702997749216</v>
      </c>
      <c r="BX52" s="2">
        <f t="shared" si="173"/>
        <v>0.89710590761270448</v>
      </c>
      <c r="BY52" s="2">
        <f t="shared" si="173"/>
        <v>0.8797822295924137</v>
      </c>
      <c r="BZ52" s="2">
        <f t="shared" si="173"/>
        <v>0.86463045173546271</v>
      </c>
      <c r="CA52" s="2">
        <f t="shared" si="173"/>
        <v>0.85128488597649987</v>
      </c>
      <c r="CB52" s="2">
        <f t="shared" si="173"/>
        <v>0.83945624069998859</v>
      </c>
      <c r="CC52" s="2">
        <f t="shared" si="173"/>
        <v>0.82891277883160808</v>
      </c>
      <c r="CD52" s="2">
        <f t="shared" si="173"/>
        <v>0.81946677746089114</v>
      </c>
      <c r="CE52" s="2">
        <f t="shared" si="173"/>
        <v>0.81096462827212235</v>
      </c>
      <c r="CF52" s="2">
        <f t="shared" si="173"/>
        <v>0.80327948690032969</v>
      </c>
      <c r="CG52" s="2">
        <f t="shared" si="173"/>
        <v>0.79630573801249305</v>
      </c>
      <c r="CH52" s="2" cm="1">
        <f t="array" aca="1" ref="CH52" ca="1">INDIRECT(CI52)</f>
        <v>0.53152640333501133</v>
      </c>
      <c r="CI52" s="2" t="str">
        <f t="shared" si="164"/>
        <v>$AM$25</v>
      </c>
      <c r="CJ52" s="2">
        <f t="shared" si="156"/>
        <v>39</v>
      </c>
      <c r="CK52" s="2">
        <f t="shared" si="157"/>
        <v>24.39184850150432</v>
      </c>
    </row>
    <row r="53" spans="2:89">
      <c r="B53" s="2" t="s">
        <v>720</v>
      </c>
      <c r="C53" s="2">
        <f>2*C$10*((C$5+C$11*C$6)/C$11)/(SQRT(2)*C$7*SIN(C33))</f>
        <v>1.5209591835918568</v>
      </c>
      <c r="D53" s="2">
        <f t="shared" ref="D53:BO53" si="174">2*D$10*((D$5+D$11*D$6)/D$11)/(SQRT(2)*D$7*SIN(D33))</f>
        <v>1.5209591835918568</v>
      </c>
      <c r="E53" s="2">
        <f t="shared" si="174"/>
        <v>1.5209591835918568</v>
      </c>
      <c r="F53" s="2">
        <f t="shared" si="174"/>
        <v>1.5209591835918568</v>
      </c>
      <c r="G53" s="2">
        <f t="shared" si="174"/>
        <v>1.5209591835918568</v>
      </c>
      <c r="H53" s="2">
        <f t="shared" si="174"/>
        <v>1.5209591835918568</v>
      </c>
      <c r="I53" s="2">
        <f t="shared" si="174"/>
        <v>1.5209591835918568</v>
      </c>
      <c r="J53" s="2">
        <f t="shared" si="174"/>
        <v>1.5209591835918568</v>
      </c>
      <c r="K53" s="2">
        <f t="shared" si="174"/>
        <v>1.5209591835918568</v>
      </c>
      <c r="L53" s="2">
        <f t="shared" si="174"/>
        <v>1.5209591835918568</v>
      </c>
      <c r="M53" s="2">
        <f t="shared" si="174"/>
        <v>1.5209591835918568</v>
      </c>
      <c r="N53" s="2">
        <f t="shared" si="174"/>
        <v>1.5209591835918568</v>
      </c>
      <c r="O53" s="2">
        <f t="shared" si="174"/>
        <v>1.5209591835918568</v>
      </c>
      <c r="P53" s="2">
        <f t="shared" si="174"/>
        <v>1.5209591835918568</v>
      </c>
      <c r="Q53" s="2">
        <f t="shared" si="174"/>
        <v>1.5209591835918568</v>
      </c>
      <c r="R53" s="2">
        <f t="shared" si="174"/>
        <v>1.5209591835918568</v>
      </c>
      <c r="S53" s="2">
        <f t="shared" si="174"/>
        <v>1.5209591835918568</v>
      </c>
      <c r="T53" s="2">
        <f t="shared" si="174"/>
        <v>1.5209591835918568</v>
      </c>
      <c r="U53" s="2">
        <f t="shared" si="174"/>
        <v>1.5209591835918568</v>
      </c>
      <c r="V53" s="2">
        <f t="shared" si="174"/>
        <v>1.5209591835918568</v>
      </c>
      <c r="W53" s="2">
        <f t="shared" si="174"/>
        <v>1.5209591835918568</v>
      </c>
      <c r="X53" s="2">
        <f t="shared" si="174"/>
        <v>1.5209591835918568</v>
      </c>
      <c r="Y53" s="2">
        <f t="shared" si="174"/>
        <v>1.5209591835918568</v>
      </c>
      <c r="Z53" s="2">
        <f t="shared" si="174"/>
        <v>1.5209591835918568</v>
      </c>
      <c r="AA53" s="2">
        <f t="shared" si="174"/>
        <v>1.5209591835918568</v>
      </c>
      <c r="AB53" s="2">
        <f t="shared" si="174"/>
        <v>1.5209591835918568</v>
      </c>
      <c r="AC53" s="2">
        <f t="shared" si="174"/>
        <v>1.5209591835918568</v>
      </c>
      <c r="AD53" s="2">
        <f t="shared" si="174"/>
        <v>1.5209591835918568</v>
      </c>
      <c r="AE53" s="2">
        <f t="shared" si="174"/>
        <v>1.5209591835918568</v>
      </c>
      <c r="AF53" s="2">
        <f t="shared" si="174"/>
        <v>1.5209591835918568</v>
      </c>
      <c r="AG53" s="2">
        <f t="shared" si="174"/>
        <v>1.5209591835918568</v>
      </c>
      <c r="AH53" s="2">
        <f t="shared" si="174"/>
        <v>1.5209591835918568</v>
      </c>
      <c r="AI53" s="2">
        <f t="shared" si="174"/>
        <v>1.5209591835918568</v>
      </c>
      <c r="AJ53" s="2">
        <f t="shared" si="174"/>
        <v>1.5209591835918568</v>
      </c>
      <c r="AK53" s="2">
        <f t="shared" si="174"/>
        <v>1.5209591835918568</v>
      </c>
      <c r="AL53" s="2">
        <f t="shared" si="174"/>
        <v>1.5209591835918568</v>
      </c>
      <c r="AM53" s="2">
        <f t="shared" si="174"/>
        <v>1.5209591835918568</v>
      </c>
      <c r="AN53" s="2">
        <f t="shared" si="174"/>
        <v>1.5209591835918568</v>
      </c>
      <c r="AO53" s="2">
        <f t="shared" si="174"/>
        <v>1.5209591835918568</v>
      </c>
      <c r="AP53" s="2">
        <f t="shared" si="174"/>
        <v>1.5209591835918568</v>
      </c>
      <c r="AQ53" s="2">
        <f t="shared" si="174"/>
        <v>1.5209591835918568</v>
      </c>
      <c r="AR53" s="2">
        <f t="shared" si="174"/>
        <v>1.5209591835918568</v>
      </c>
      <c r="AS53" s="2">
        <f t="shared" si="174"/>
        <v>1.5209591835918568</v>
      </c>
      <c r="AT53" s="2">
        <f t="shared" si="174"/>
        <v>1.5209591835918568</v>
      </c>
      <c r="AU53" s="2">
        <f t="shared" si="174"/>
        <v>1.5209591835918568</v>
      </c>
      <c r="AV53" s="2">
        <f t="shared" si="174"/>
        <v>1.5209591835918568</v>
      </c>
      <c r="AW53" s="2">
        <f t="shared" si="174"/>
        <v>1.5209591835918568</v>
      </c>
      <c r="AX53" s="2">
        <f t="shared" si="174"/>
        <v>1.5209591835918568</v>
      </c>
      <c r="AY53" s="2">
        <f t="shared" si="174"/>
        <v>1.5209591835918568</v>
      </c>
      <c r="AZ53" s="2">
        <f t="shared" si="174"/>
        <v>1.5209591835918568</v>
      </c>
      <c r="BA53" s="2">
        <f t="shared" si="174"/>
        <v>1.5209591835918568</v>
      </c>
      <c r="BB53" s="2">
        <f t="shared" si="174"/>
        <v>1.5209591835918568</v>
      </c>
      <c r="BC53" s="2">
        <f t="shared" si="174"/>
        <v>1.5209591835918568</v>
      </c>
      <c r="BD53" s="2">
        <f t="shared" si="174"/>
        <v>1.5209591835918568</v>
      </c>
      <c r="BE53" s="2">
        <f t="shared" si="174"/>
        <v>1.5209591835918568</v>
      </c>
      <c r="BF53" s="2">
        <f t="shared" si="174"/>
        <v>1.5209591835918568</v>
      </c>
      <c r="BG53" s="2">
        <f t="shared" si="174"/>
        <v>1.5209591835918568</v>
      </c>
      <c r="BH53" s="2">
        <f t="shared" si="174"/>
        <v>1.5209591835918568</v>
      </c>
      <c r="BI53" s="2">
        <f t="shared" si="174"/>
        <v>1.5209591835918568</v>
      </c>
      <c r="BJ53" s="2">
        <f t="shared" si="174"/>
        <v>1.5209591835918568</v>
      </c>
      <c r="BK53" s="2">
        <f t="shared" si="174"/>
        <v>1.5209591835918568</v>
      </c>
      <c r="BL53" s="2">
        <f t="shared" si="174"/>
        <v>1.5209591835918568</v>
      </c>
      <c r="BM53" s="2">
        <f t="shared" si="174"/>
        <v>1.5209591835918568</v>
      </c>
      <c r="BN53" s="2">
        <f t="shared" si="174"/>
        <v>1.5209591835918568</v>
      </c>
      <c r="BO53" s="2">
        <f t="shared" si="174"/>
        <v>1.5209591835918568</v>
      </c>
      <c r="BP53" s="2">
        <f t="shared" ref="BP53:CG53" si="175">2*BP$10*((BP$5+BP$11*BP$6)/BP$11)/(SQRT(2)*BP$7*SIN(BP33))</f>
        <v>1.5209591835918568</v>
      </c>
      <c r="BQ53" s="2">
        <f t="shared" si="175"/>
        <v>1.5209591835918568</v>
      </c>
      <c r="BR53" s="2">
        <f t="shared" si="175"/>
        <v>1.5209591835918568</v>
      </c>
      <c r="BS53" s="2">
        <f t="shared" si="175"/>
        <v>1.5209591835918568</v>
      </c>
      <c r="BT53" s="2">
        <f t="shared" si="175"/>
        <v>1.5209591835918568</v>
      </c>
      <c r="BU53" s="2">
        <f t="shared" si="175"/>
        <v>1.5209591835918568</v>
      </c>
      <c r="BV53" s="2">
        <f t="shared" si="175"/>
        <v>1.5209591835918568</v>
      </c>
      <c r="BW53" s="2">
        <f t="shared" si="175"/>
        <v>1.5209591835918568</v>
      </c>
      <c r="BX53" s="2">
        <f t="shared" si="175"/>
        <v>1.5209591835918568</v>
      </c>
      <c r="BY53" s="2">
        <f t="shared" si="175"/>
        <v>1.5209591835918568</v>
      </c>
      <c r="BZ53" s="2">
        <f t="shared" si="175"/>
        <v>1.5209591835918568</v>
      </c>
      <c r="CA53" s="2">
        <f t="shared" si="175"/>
        <v>1.5209591835918568</v>
      </c>
      <c r="CB53" s="2">
        <f t="shared" si="175"/>
        <v>1.5209591835918568</v>
      </c>
      <c r="CC53" s="2">
        <f t="shared" si="175"/>
        <v>1.5209591835918568</v>
      </c>
      <c r="CD53" s="2">
        <f t="shared" si="175"/>
        <v>1.5209591835918568</v>
      </c>
      <c r="CE53" s="2">
        <f t="shared" si="175"/>
        <v>1.5209591835918568</v>
      </c>
      <c r="CF53" s="2">
        <f t="shared" si="175"/>
        <v>1.5209591835918568</v>
      </c>
      <c r="CG53" s="2">
        <f t="shared" si="175"/>
        <v>1.5209591835918568</v>
      </c>
    </row>
    <row r="54" spans="2:89">
      <c r="B54" s="2" t="s">
        <v>721</v>
      </c>
      <c r="C54" s="2">
        <f t="shared" ref="C54:BN54" si="176">2*C$10*((C$5+C$11*C$6)/C$11)/(SQRT(2)*C$7*SIN(C34))</f>
        <v>1.5746128141486158</v>
      </c>
      <c r="D54" s="2">
        <f t="shared" si="176"/>
        <v>1.5746128141486158</v>
      </c>
      <c r="E54" s="2">
        <f t="shared" si="176"/>
        <v>1.5746128141486158</v>
      </c>
      <c r="F54" s="2">
        <f t="shared" si="176"/>
        <v>1.5746128141486158</v>
      </c>
      <c r="G54" s="2">
        <f t="shared" si="176"/>
        <v>1.5746128141486158</v>
      </c>
      <c r="H54" s="2">
        <f t="shared" si="176"/>
        <v>1.5746128141486158</v>
      </c>
      <c r="I54" s="2">
        <f t="shared" si="176"/>
        <v>1.5746128141486158</v>
      </c>
      <c r="J54" s="2">
        <f t="shared" si="176"/>
        <v>1.5746128141486158</v>
      </c>
      <c r="K54" s="2">
        <f t="shared" si="176"/>
        <v>1.5746128141486158</v>
      </c>
      <c r="L54" s="2">
        <f t="shared" si="176"/>
        <v>1.5746128141486158</v>
      </c>
      <c r="M54" s="2">
        <f t="shared" si="176"/>
        <v>1.5746128141486158</v>
      </c>
      <c r="N54" s="2">
        <f t="shared" si="176"/>
        <v>1.5746128141486158</v>
      </c>
      <c r="O54" s="2">
        <f t="shared" si="176"/>
        <v>1.5746128141486158</v>
      </c>
      <c r="P54" s="2">
        <f t="shared" si="176"/>
        <v>1.5746128141486158</v>
      </c>
      <c r="Q54" s="2">
        <f t="shared" si="176"/>
        <v>1.5746128141486158</v>
      </c>
      <c r="R54" s="2">
        <f t="shared" si="176"/>
        <v>1.5746128141486158</v>
      </c>
      <c r="S54" s="2">
        <f t="shared" si="176"/>
        <v>1.5746128141486158</v>
      </c>
      <c r="T54" s="2">
        <f t="shared" si="176"/>
        <v>1.5746128141486158</v>
      </c>
      <c r="U54" s="2">
        <f t="shared" si="176"/>
        <v>1.5746128141486158</v>
      </c>
      <c r="V54" s="2">
        <f t="shared" si="176"/>
        <v>1.5746128141486158</v>
      </c>
      <c r="W54" s="2">
        <f t="shared" si="176"/>
        <v>1.5746128141486158</v>
      </c>
      <c r="X54" s="2">
        <f t="shared" si="176"/>
        <v>1.5746128141486158</v>
      </c>
      <c r="Y54" s="2">
        <f t="shared" si="176"/>
        <v>1.5746128141486158</v>
      </c>
      <c r="Z54" s="2">
        <f t="shared" si="176"/>
        <v>1.5746128141486158</v>
      </c>
      <c r="AA54" s="2">
        <f t="shared" si="176"/>
        <v>1.5746128141486158</v>
      </c>
      <c r="AB54" s="2">
        <f t="shared" si="176"/>
        <v>1.5746128141486158</v>
      </c>
      <c r="AC54" s="2">
        <f t="shared" si="176"/>
        <v>1.5746128141486158</v>
      </c>
      <c r="AD54" s="2">
        <f t="shared" si="176"/>
        <v>1.5746128141486158</v>
      </c>
      <c r="AE54" s="2">
        <f t="shared" si="176"/>
        <v>1.5746128141486158</v>
      </c>
      <c r="AF54" s="2">
        <f t="shared" si="176"/>
        <v>1.5746128141486158</v>
      </c>
      <c r="AG54" s="2">
        <f t="shared" si="176"/>
        <v>1.5746128141486158</v>
      </c>
      <c r="AH54" s="2">
        <f t="shared" si="176"/>
        <v>1.5746128141486158</v>
      </c>
      <c r="AI54" s="2">
        <f t="shared" si="176"/>
        <v>1.5746128141486158</v>
      </c>
      <c r="AJ54" s="2">
        <f t="shared" si="176"/>
        <v>1.5746128141486158</v>
      </c>
      <c r="AK54" s="2">
        <f t="shared" si="176"/>
        <v>1.5746128141486158</v>
      </c>
      <c r="AL54" s="2">
        <f t="shared" si="176"/>
        <v>1.5746128141486158</v>
      </c>
      <c r="AM54" s="2">
        <f t="shared" si="176"/>
        <v>1.5746128141486158</v>
      </c>
      <c r="AN54" s="2">
        <f t="shared" si="176"/>
        <v>1.5746128141486158</v>
      </c>
      <c r="AO54" s="2">
        <f t="shared" si="176"/>
        <v>1.5746128141486158</v>
      </c>
      <c r="AP54" s="2">
        <f t="shared" si="176"/>
        <v>1.5746128141486158</v>
      </c>
      <c r="AQ54" s="2">
        <f t="shared" si="176"/>
        <v>1.5746128141486158</v>
      </c>
      <c r="AR54" s="2">
        <f t="shared" si="176"/>
        <v>1.5746128141486158</v>
      </c>
      <c r="AS54" s="2">
        <f t="shared" si="176"/>
        <v>1.5746128141486158</v>
      </c>
      <c r="AT54" s="2">
        <f t="shared" si="176"/>
        <v>1.5746128141486158</v>
      </c>
      <c r="AU54" s="2">
        <f t="shared" si="176"/>
        <v>1.5746128141486158</v>
      </c>
      <c r="AV54" s="2">
        <f t="shared" si="176"/>
        <v>1.5746128141486158</v>
      </c>
      <c r="AW54" s="2">
        <f t="shared" si="176"/>
        <v>1.5746128141486158</v>
      </c>
      <c r="AX54" s="2">
        <f t="shared" si="176"/>
        <v>1.5746128141486158</v>
      </c>
      <c r="AY54" s="2">
        <f t="shared" si="176"/>
        <v>1.5746128141486158</v>
      </c>
      <c r="AZ54" s="2">
        <f t="shared" si="176"/>
        <v>1.5746128141486158</v>
      </c>
      <c r="BA54" s="2">
        <f t="shared" si="176"/>
        <v>1.5746128141486158</v>
      </c>
      <c r="BB54" s="2">
        <f t="shared" si="176"/>
        <v>1.5746128141486158</v>
      </c>
      <c r="BC54" s="2">
        <f t="shared" si="176"/>
        <v>1.5746128141486158</v>
      </c>
      <c r="BD54" s="2">
        <f t="shared" si="176"/>
        <v>1.5746128141486158</v>
      </c>
      <c r="BE54" s="2">
        <f t="shared" si="176"/>
        <v>1.5746128141486158</v>
      </c>
      <c r="BF54" s="2">
        <f t="shared" si="176"/>
        <v>1.5746128141486158</v>
      </c>
      <c r="BG54" s="2">
        <f t="shared" si="176"/>
        <v>1.5746128141486158</v>
      </c>
      <c r="BH54" s="2">
        <f t="shared" si="176"/>
        <v>1.5746128141486158</v>
      </c>
      <c r="BI54" s="2">
        <f t="shared" si="176"/>
        <v>1.5746128141486158</v>
      </c>
      <c r="BJ54" s="2">
        <f t="shared" si="176"/>
        <v>1.5746128141486158</v>
      </c>
      <c r="BK54" s="2">
        <f t="shared" si="176"/>
        <v>1.5746128141486158</v>
      </c>
      <c r="BL54" s="2">
        <f t="shared" si="176"/>
        <v>1.5746128141486158</v>
      </c>
      <c r="BM54" s="2">
        <f t="shared" si="176"/>
        <v>1.5746128141486158</v>
      </c>
      <c r="BN54" s="2">
        <f t="shared" si="176"/>
        <v>1.5746128141486158</v>
      </c>
      <c r="BO54" s="2">
        <f t="shared" ref="BO54:CG54" si="177">2*BO$10*((BO$5+BO$11*BO$6)/BO$11)/(SQRT(2)*BO$7*SIN(BO34))</f>
        <v>1.5746128141486158</v>
      </c>
      <c r="BP54" s="2">
        <f t="shared" si="177"/>
        <v>1.5746128141486158</v>
      </c>
      <c r="BQ54" s="2">
        <f t="shared" si="177"/>
        <v>1.5746128141486158</v>
      </c>
      <c r="BR54" s="2">
        <f t="shared" si="177"/>
        <v>1.5746128141486158</v>
      </c>
      <c r="BS54" s="2">
        <f t="shared" si="177"/>
        <v>1.5746128141486158</v>
      </c>
      <c r="BT54" s="2">
        <f t="shared" si="177"/>
        <v>1.5746128141486158</v>
      </c>
      <c r="BU54" s="2">
        <f t="shared" si="177"/>
        <v>1.5746128141486158</v>
      </c>
      <c r="BV54" s="2">
        <f t="shared" si="177"/>
        <v>1.5746128141486158</v>
      </c>
      <c r="BW54" s="2">
        <f t="shared" si="177"/>
        <v>1.5746128141486158</v>
      </c>
      <c r="BX54" s="2">
        <f t="shared" si="177"/>
        <v>1.5746128141486158</v>
      </c>
      <c r="BY54" s="2">
        <f t="shared" si="177"/>
        <v>1.5746128141486158</v>
      </c>
      <c r="BZ54" s="2">
        <f t="shared" si="177"/>
        <v>1.5746128141486158</v>
      </c>
      <c r="CA54" s="2">
        <f t="shared" si="177"/>
        <v>1.5746128141486158</v>
      </c>
      <c r="CB54" s="2">
        <f t="shared" si="177"/>
        <v>1.5746128141486158</v>
      </c>
      <c r="CC54" s="2">
        <f t="shared" si="177"/>
        <v>1.5746128141486158</v>
      </c>
      <c r="CD54" s="2">
        <f t="shared" si="177"/>
        <v>1.5746128141486158</v>
      </c>
      <c r="CE54" s="2">
        <f t="shared" si="177"/>
        <v>1.5746128141486158</v>
      </c>
      <c r="CF54" s="2">
        <f t="shared" si="177"/>
        <v>1.5746128141486158</v>
      </c>
      <c r="CG54" s="2">
        <f t="shared" si="177"/>
        <v>1.5746128141486158</v>
      </c>
    </row>
    <row r="55" spans="2:89">
      <c r="B55" s="2" t="s">
        <v>722</v>
      </c>
      <c r="C55" s="2">
        <f t="shared" ref="C55:BN55" si="178">2*C$10*((C$5+C$11*C$6)/C$11)/(SQRT(2)*C$7*SIN(C35))</f>
        <v>1.7562523881463841</v>
      </c>
      <c r="D55" s="2">
        <f t="shared" si="178"/>
        <v>1.7562523881463841</v>
      </c>
      <c r="E55" s="2">
        <f t="shared" si="178"/>
        <v>1.7562523881463841</v>
      </c>
      <c r="F55" s="2">
        <f t="shared" si="178"/>
        <v>1.7562523881463841</v>
      </c>
      <c r="G55" s="2">
        <f t="shared" si="178"/>
        <v>1.7562523881463841</v>
      </c>
      <c r="H55" s="2">
        <f t="shared" si="178"/>
        <v>1.7562523881463841</v>
      </c>
      <c r="I55" s="2">
        <f t="shared" si="178"/>
        <v>1.7562523881463841</v>
      </c>
      <c r="J55" s="2">
        <f t="shared" si="178"/>
        <v>1.7562523881463841</v>
      </c>
      <c r="K55" s="2">
        <f t="shared" si="178"/>
        <v>1.7562523881463841</v>
      </c>
      <c r="L55" s="2">
        <f t="shared" si="178"/>
        <v>1.7562523881463841</v>
      </c>
      <c r="M55" s="2">
        <f t="shared" si="178"/>
        <v>1.7562523881463841</v>
      </c>
      <c r="N55" s="2">
        <f t="shared" si="178"/>
        <v>1.7562523881463841</v>
      </c>
      <c r="O55" s="2">
        <f t="shared" si="178"/>
        <v>1.7562523881463841</v>
      </c>
      <c r="P55" s="2">
        <f t="shared" si="178"/>
        <v>1.7562523881463841</v>
      </c>
      <c r="Q55" s="2">
        <f t="shared" si="178"/>
        <v>1.7562523881463841</v>
      </c>
      <c r="R55" s="2">
        <f t="shared" si="178"/>
        <v>1.7562523881463841</v>
      </c>
      <c r="S55" s="2">
        <f t="shared" si="178"/>
        <v>1.7562523881463841</v>
      </c>
      <c r="T55" s="2">
        <f t="shared" si="178"/>
        <v>1.7562523881463841</v>
      </c>
      <c r="U55" s="2">
        <f t="shared" si="178"/>
        <v>1.7562523881463841</v>
      </c>
      <c r="V55" s="2">
        <f t="shared" si="178"/>
        <v>1.7562523881463841</v>
      </c>
      <c r="W55" s="2">
        <f t="shared" si="178"/>
        <v>1.7562523881463841</v>
      </c>
      <c r="X55" s="2">
        <f t="shared" si="178"/>
        <v>1.7562523881463841</v>
      </c>
      <c r="Y55" s="2">
        <f t="shared" si="178"/>
        <v>1.7562523881463841</v>
      </c>
      <c r="Z55" s="2">
        <f t="shared" si="178"/>
        <v>1.7562523881463841</v>
      </c>
      <c r="AA55" s="2">
        <f t="shared" si="178"/>
        <v>1.7562523881463841</v>
      </c>
      <c r="AB55" s="2">
        <f t="shared" si="178"/>
        <v>1.7562523881463841</v>
      </c>
      <c r="AC55" s="2">
        <f t="shared" si="178"/>
        <v>1.7562523881463841</v>
      </c>
      <c r="AD55" s="2">
        <f t="shared" si="178"/>
        <v>1.7562523881463841</v>
      </c>
      <c r="AE55" s="2">
        <f t="shared" si="178"/>
        <v>1.7562523881463841</v>
      </c>
      <c r="AF55" s="2">
        <f t="shared" si="178"/>
        <v>1.7562523881463841</v>
      </c>
      <c r="AG55" s="2">
        <f t="shared" si="178"/>
        <v>1.7562523881463841</v>
      </c>
      <c r="AH55" s="2">
        <f t="shared" si="178"/>
        <v>1.7562523881463841</v>
      </c>
      <c r="AI55" s="2">
        <f t="shared" si="178"/>
        <v>1.7562523881463841</v>
      </c>
      <c r="AJ55" s="2">
        <f t="shared" si="178"/>
        <v>1.7562523881463841</v>
      </c>
      <c r="AK55" s="2">
        <f t="shared" si="178"/>
        <v>1.7562523881463841</v>
      </c>
      <c r="AL55" s="2">
        <f t="shared" si="178"/>
        <v>1.7562523881463841</v>
      </c>
      <c r="AM55" s="2">
        <f t="shared" si="178"/>
        <v>1.7562523881463841</v>
      </c>
      <c r="AN55" s="2">
        <f t="shared" si="178"/>
        <v>1.7562523881463841</v>
      </c>
      <c r="AO55" s="2">
        <f t="shared" si="178"/>
        <v>1.7562523881463841</v>
      </c>
      <c r="AP55" s="2">
        <f t="shared" si="178"/>
        <v>1.7562523881463841</v>
      </c>
      <c r="AQ55" s="2">
        <f t="shared" si="178"/>
        <v>1.7562523881463841</v>
      </c>
      <c r="AR55" s="2">
        <f t="shared" si="178"/>
        <v>1.7562523881463841</v>
      </c>
      <c r="AS55" s="2">
        <f t="shared" si="178"/>
        <v>1.7562523881463841</v>
      </c>
      <c r="AT55" s="2">
        <f t="shared" si="178"/>
        <v>1.7562523881463841</v>
      </c>
      <c r="AU55" s="2">
        <f t="shared" si="178"/>
        <v>1.7562523881463841</v>
      </c>
      <c r="AV55" s="2">
        <f t="shared" si="178"/>
        <v>1.7562523881463841</v>
      </c>
      <c r="AW55" s="2">
        <f t="shared" si="178"/>
        <v>1.7562523881463841</v>
      </c>
      <c r="AX55" s="2">
        <f t="shared" si="178"/>
        <v>1.7562523881463841</v>
      </c>
      <c r="AY55" s="2">
        <f t="shared" si="178"/>
        <v>1.7562523881463841</v>
      </c>
      <c r="AZ55" s="2">
        <f t="shared" si="178"/>
        <v>1.7562523881463841</v>
      </c>
      <c r="BA55" s="2">
        <f t="shared" si="178"/>
        <v>1.7562523881463841</v>
      </c>
      <c r="BB55" s="2">
        <f t="shared" si="178"/>
        <v>1.7562523881463841</v>
      </c>
      <c r="BC55" s="2">
        <f t="shared" si="178"/>
        <v>1.7562523881463841</v>
      </c>
      <c r="BD55" s="2">
        <f t="shared" si="178"/>
        <v>1.7562523881463841</v>
      </c>
      <c r="BE55" s="2">
        <f t="shared" si="178"/>
        <v>1.7562523881463841</v>
      </c>
      <c r="BF55" s="2">
        <f t="shared" si="178"/>
        <v>1.7562523881463841</v>
      </c>
      <c r="BG55" s="2">
        <f t="shared" si="178"/>
        <v>1.7562523881463841</v>
      </c>
      <c r="BH55" s="2">
        <f t="shared" si="178"/>
        <v>1.7562523881463841</v>
      </c>
      <c r="BI55" s="2">
        <f t="shared" si="178"/>
        <v>1.7562523881463841</v>
      </c>
      <c r="BJ55" s="2">
        <f t="shared" si="178"/>
        <v>1.7562523881463841</v>
      </c>
      <c r="BK55" s="2">
        <f t="shared" si="178"/>
        <v>1.7562523881463841</v>
      </c>
      <c r="BL55" s="2">
        <f t="shared" si="178"/>
        <v>1.7562523881463841</v>
      </c>
      <c r="BM55" s="2">
        <f t="shared" si="178"/>
        <v>1.7562523881463841</v>
      </c>
      <c r="BN55" s="2">
        <f t="shared" si="178"/>
        <v>1.7562523881463841</v>
      </c>
      <c r="BO55" s="2">
        <f t="shared" ref="BO55:CG55" si="179">2*BO$10*((BO$5+BO$11*BO$6)/BO$11)/(SQRT(2)*BO$7*SIN(BO35))</f>
        <v>1.7562523881463841</v>
      </c>
      <c r="BP55" s="2">
        <f t="shared" si="179"/>
        <v>1.7562523881463841</v>
      </c>
      <c r="BQ55" s="2">
        <f t="shared" si="179"/>
        <v>1.7562523881463841</v>
      </c>
      <c r="BR55" s="2">
        <f t="shared" si="179"/>
        <v>1.7562523881463841</v>
      </c>
      <c r="BS55" s="2">
        <f t="shared" si="179"/>
        <v>1.7562523881463841</v>
      </c>
      <c r="BT55" s="2">
        <f t="shared" si="179"/>
        <v>1.7562523881463841</v>
      </c>
      <c r="BU55" s="2">
        <f t="shared" si="179"/>
        <v>1.7562523881463841</v>
      </c>
      <c r="BV55" s="2">
        <f t="shared" si="179"/>
        <v>1.7562523881463841</v>
      </c>
      <c r="BW55" s="2">
        <f t="shared" si="179"/>
        <v>1.7562523881463841</v>
      </c>
      <c r="BX55" s="2">
        <f t="shared" si="179"/>
        <v>1.7562523881463841</v>
      </c>
      <c r="BY55" s="2">
        <f t="shared" si="179"/>
        <v>1.7562523881463841</v>
      </c>
      <c r="BZ55" s="2">
        <f t="shared" si="179"/>
        <v>1.7562523881463841</v>
      </c>
      <c r="CA55" s="2">
        <f t="shared" si="179"/>
        <v>1.7562523881463841</v>
      </c>
      <c r="CB55" s="2">
        <f t="shared" si="179"/>
        <v>1.7562523881463841</v>
      </c>
      <c r="CC55" s="2">
        <f t="shared" si="179"/>
        <v>1.7562523881463841</v>
      </c>
      <c r="CD55" s="2">
        <f t="shared" si="179"/>
        <v>1.7562523881463841</v>
      </c>
      <c r="CE55" s="2">
        <f t="shared" si="179"/>
        <v>1.7562523881463841</v>
      </c>
      <c r="CF55" s="2">
        <f t="shared" si="179"/>
        <v>1.7562523881463841</v>
      </c>
      <c r="CG55" s="2">
        <f t="shared" si="179"/>
        <v>1.7562523881463841</v>
      </c>
    </row>
    <row r="56" spans="2:89">
      <c r="B56" s="2" t="s">
        <v>723</v>
      </c>
      <c r="C56" s="2">
        <f t="shared" ref="C56:BN56" si="180">2*C$10*((C$5+C$11*C$6)/C$11)/(SQRT(2)*C$7*SIN(C36))</f>
        <v>2.1509611052515143</v>
      </c>
      <c r="D56" s="2">
        <f t="shared" si="180"/>
        <v>2.1509611052515143</v>
      </c>
      <c r="E56" s="2">
        <f t="shared" si="180"/>
        <v>2.1509611052515143</v>
      </c>
      <c r="F56" s="2">
        <f t="shared" si="180"/>
        <v>2.1509611052515143</v>
      </c>
      <c r="G56" s="2">
        <f t="shared" si="180"/>
        <v>2.1509611052515143</v>
      </c>
      <c r="H56" s="2">
        <f t="shared" si="180"/>
        <v>2.1509611052515143</v>
      </c>
      <c r="I56" s="2">
        <f t="shared" si="180"/>
        <v>2.1509611052515143</v>
      </c>
      <c r="J56" s="2">
        <f t="shared" si="180"/>
        <v>2.1509611052515143</v>
      </c>
      <c r="K56" s="2">
        <f t="shared" si="180"/>
        <v>2.1509611052515143</v>
      </c>
      <c r="L56" s="2">
        <f t="shared" si="180"/>
        <v>2.1509611052515143</v>
      </c>
      <c r="M56" s="2">
        <f t="shared" si="180"/>
        <v>2.1509611052515143</v>
      </c>
      <c r="N56" s="2">
        <f t="shared" si="180"/>
        <v>2.1509611052515143</v>
      </c>
      <c r="O56" s="2">
        <f t="shared" si="180"/>
        <v>2.1509611052515143</v>
      </c>
      <c r="P56" s="2">
        <f t="shared" si="180"/>
        <v>2.1509611052515143</v>
      </c>
      <c r="Q56" s="2">
        <f t="shared" si="180"/>
        <v>2.1509611052515143</v>
      </c>
      <c r="R56" s="2">
        <f t="shared" si="180"/>
        <v>2.1509611052515143</v>
      </c>
      <c r="S56" s="2">
        <f t="shared" si="180"/>
        <v>2.1509611052515143</v>
      </c>
      <c r="T56" s="2">
        <f t="shared" si="180"/>
        <v>2.1509611052515143</v>
      </c>
      <c r="U56" s="2">
        <f t="shared" si="180"/>
        <v>2.1509611052515143</v>
      </c>
      <c r="V56" s="2">
        <f t="shared" si="180"/>
        <v>2.1509611052515143</v>
      </c>
      <c r="W56" s="2">
        <f t="shared" si="180"/>
        <v>2.1509611052515143</v>
      </c>
      <c r="X56" s="2">
        <f t="shared" si="180"/>
        <v>2.1509611052515143</v>
      </c>
      <c r="Y56" s="2">
        <f t="shared" si="180"/>
        <v>2.1509611052515143</v>
      </c>
      <c r="Z56" s="2">
        <f t="shared" si="180"/>
        <v>2.1509611052515143</v>
      </c>
      <c r="AA56" s="2">
        <f t="shared" si="180"/>
        <v>2.1509611052515143</v>
      </c>
      <c r="AB56" s="2">
        <f t="shared" si="180"/>
        <v>2.1509611052515143</v>
      </c>
      <c r="AC56" s="2">
        <f t="shared" si="180"/>
        <v>2.1509611052515143</v>
      </c>
      <c r="AD56" s="2">
        <f t="shared" si="180"/>
        <v>2.1509611052515143</v>
      </c>
      <c r="AE56" s="2">
        <f t="shared" si="180"/>
        <v>2.1509611052515143</v>
      </c>
      <c r="AF56" s="2">
        <f t="shared" si="180"/>
        <v>2.1509611052515143</v>
      </c>
      <c r="AG56" s="2">
        <f t="shared" si="180"/>
        <v>2.1509611052515143</v>
      </c>
      <c r="AH56" s="2">
        <f t="shared" si="180"/>
        <v>2.1509611052515143</v>
      </c>
      <c r="AI56" s="2">
        <f t="shared" si="180"/>
        <v>2.1509611052515143</v>
      </c>
      <c r="AJ56" s="2">
        <f t="shared" si="180"/>
        <v>2.1509611052515143</v>
      </c>
      <c r="AK56" s="2">
        <f t="shared" si="180"/>
        <v>2.1509611052515143</v>
      </c>
      <c r="AL56" s="2">
        <f t="shared" si="180"/>
        <v>2.1509611052515143</v>
      </c>
      <c r="AM56" s="2">
        <f t="shared" si="180"/>
        <v>2.1509611052515143</v>
      </c>
      <c r="AN56" s="2">
        <f t="shared" si="180"/>
        <v>2.1509611052515143</v>
      </c>
      <c r="AO56" s="2">
        <f t="shared" si="180"/>
        <v>2.1509611052515143</v>
      </c>
      <c r="AP56" s="2">
        <f t="shared" si="180"/>
        <v>2.1509611052515143</v>
      </c>
      <c r="AQ56" s="2">
        <f t="shared" si="180"/>
        <v>2.1509611052515143</v>
      </c>
      <c r="AR56" s="2">
        <f t="shared" si="180"/>
        <v>2.1509611052515143</v>
      </c>
      <c r="AS56" s="2">
        <f t="shared" si="180"/>
        <v>2.1509611052515143</v>
      </c>
      <c r="AT56" s="2">
        <f t="shared" si="180"/>
        <v>2.1509611052515143</v>
      </c>
      <c r="AU56" s="2">
        <f t="shared" si="180"/>
        <v>2.1509611052515143</v>
      </c>
      <c r="AV56" s="2">
        <f t="shared" si="180"/>
        <v>2.1509611052515143</v>
      </c>
      <c r="AW56" s="2">
        <f t="shared" si="180"/>
        <v>2.1509611052515143</v>
      </c>
      <c r="AX56" s="2">
        <f t="shared" si="180"/>
        <v>2.1509611052515143</v>
      </c>
      <c r="AY56" s="2">
        <f t="shared" si="180"/>
        <v>2.1509611052515143</v>
      </c>
      <c r="AZ56" s="2">
        <f t="shared" si="180"/>
        <v>2.1509611052515143</v>
      </c>
      <c r="BA56" s="2">
        <f t="shared" si="180"/>
        <v>2.1509611052515143</v>
      </c>
      <c r="BB56" s="2">
        <f t="shared" si="180"/>
        <v>2.1509611052515143</v>
      </c>
      <c r="BC56" s="2">
        <f t="shared" si="180"/>
        <v>2.1509611052515143</v>
      </c>
      <c r="BD56" s="2">
        <f t="shared" si="180"/>
        <v>2.1509611052515143</v>
      </c>
      <c r="BE56" s="2">
        <f t="shared" si="180"/>
        <v>2.1509611052515143</v>
      </c>
      <c r="BF56" s="2">
        <f t="shared" si="180"/>
        <v>2.1509611052515143</v>
      </c>
      <c r="BG56" s="2">
        <f t="shared" si="180"/>
        <v>2.1509611052515143</v>
      </c>
      <c r="BH56" s="2">
        <f t="shared" si="180"/>
        <v>2.1509611052515143</v>
      </c>
      <c r="BI56" s="2">
        <f t="shared" si="180"/>
        <v>2.1509611052515143</v>
      </c>
      <c r="BJ56" s="2">
        <f t="shared" si="180"/>
        <v>2.1509611052515143</v>
      </c>
      <c r="BK56" s="2">
        <f t="shared" si="180"/>
        <v>2.1509611052515143</v>
      </c>
      <c r="BL56" s="2">
        <f t="shared" si="180"/>
        <v>2.1509611052515143</v>
      </c>
      <c r="BM56" s="2">
        <f t="shared" si="180"/>
        <v>2.1509611052515143</v>
      </c>
      <c r="BN56" s="2">
        <f t="shared" si="180"/>
        <v>2.1509611052515143</v>
      </c>
      <c r="BO56" s="2">
        <f t="shared" ref="BO56:CG56" si="181">2*BO$10*((BO$5+BO$11*BO$6)/BO$11)/(SQRT(2)*BO$7*SIN(BO36))</f>
        <v>2.1509611052515143</v>
      </c>
      <c r="BP56" s="2">
        <f t="shared" si="181"/>
        <v>2.1509611052515143</v>
      </c>
      <c r="BQ56" s="2">
        <f t="shared" si="181"/>
        <v>2.1509611052515143</v>
      </c>
      <c r="BR56" s="2">
        <f t="shared" si="181"/>
        <v>2.1509611052515143</v>
      </c>
      <c r="BS56" s="2">
        <f t="shared" si="181"/>
        <v>2.1509611052515143</v>
      </c>
      <c r="BT56" s="2">
        <f t="shared" si="181"/>
        <v>2.1509611052515143</v>
      </c>
      <c r="BU56" s="2">
        <f t="shared" si="181"/>
        <v>2.1509611052515143</v>
      </c>
      <c r="BV56" s="2">
        <f t="shared" si="181"/>
        <v>2.1509611052515143</v>
      </c>
      <c r="BW56" s="2">
        <f t="shared" si="181"/>
        <v>2.1509611052515143</v>
      </c>
      <c r="BX56" s="2">
        <f t="shared" si="181"/>
        <v>2.1509611052515143</v>
      </c>
      <c r="BY56" s="2">
        <f t="shared" si="181"/>
        <v>2.1509611052515143</v>
      </c>
      <c r="BZ56" s="2">
        <f t="shared" si="181"/>
        <v>2.1509611052515143</v>
      </c>
      <c r="CA56" s="2">
        <f t="shared" si="181"/>
        <v>2.1509611052515143</v>
      </c>
      <c r="CB56" s="2">
        <f t="shared" si="181"/>
        <v>2.1509611052515143</v>
      </c>
      <c r="CC56" s="2">
        <f t="shared" si="181"/>
        <v>2.1509611052515143</v>
      </c>
      <c r="CD56" s="2">
        <f t="shared" si="181"/>
        <v>2.1509611052515143</v>
      </c>
      <c r="CE56" s="2">
        <f t="shared" si="181"/>
        <v>2.1509611052515143</v>
      </c>
      <c r="CF56" s="2">
        <f t="shared" si="181"/>
        <v>2.1509611052515143</v>
      </c>
      <c r="CG56" s="2">
        <f t="shared" si="181"/>
        <v>2.1509611052515143</v>
      </c>
    </row>
    <row r="57" spans="2:89">
      <c r="B57" s="2" t="s">
        <v>724</v>
      </c>
      <c r="C57" s="2">
        <f t="shared" ref="C57:BN57" si="182">2*C$10*((C$5+C$11*C$6)/C$11)/(SQRT(2)*C$7*SIN(C37))</f>
        <v>3.041918367183714</v>
      </c>
      <c r="D57" s="2">
        <f t="shared" si="182"/>
        <v>3.041918367183714</v>
      </c>
      <c r="E57" s="2">
        <f t="shared" si="182"/>
        <v>3.041918367183714</v>
      </c>
      <c r="F57" s="2">
        <f t="shared" si="182"/>
        <v>3.041918367183714</v>
      </c>
      <c r="G57" s="2">
        <f t="shared" si="182"/>
        <v>3.041918367183714</v>
      </c>
      <c r="H57" s="2">
        <f t="shared" si="182"/>
        <v>3.041918367183714</v>
      </c>
      <c r="I57" s="2">
        <f t="shared" si="182"/>
        <v>3.041918367183714</v>
      </c>
      <c r="J57" s="2">
        <f t="shared" si="182"/>
        <v>3.041918367183714</v>
      </c>
      <c r="K57" s="2">
        <f t="shared" si="182"/>
        <v>3.041918367183714</v>
      </c>
      <c r="L57" s="2">
        <f t="shared" si="182"/>
        <v>3.041918367183714</v>
      </c>
      <c r="M57" s="2">
        <f t="shared" si="182"/>
        <v>3.041918367183714</v>
      </c>
      <c r="N57" s="2">
        <f t="shared" si="182"/>
        <v>3.041918367183714</v>
      </c>
      <c r="O57" s="2">
        <f t="shared" si="182"/>
        <v>3.041918367183714</v>
      </c>
      <c r="P57" s="2">
        <f t="shared" si="182"/>
        <v>3.041918367183714</v>
      </c>
      <c r="Q57" s="2">
        <f t="shared" si="182"/>
        <v>3.041918367183714</v>
      </c>
      <c r="R57" s="2">
        <f t="shared" si="182"/>
        <v>3.041918367183714</v>
      </c>
      <c r="S57" s="2">
        <f t="shared" si="182"/>
        <v>3.041918367183714</v>
      </c>
      <c r="T57" s="2">
        <f t="shared" si="182"/>
        <v>3.041918367183714</v>
      </c>
      <c r="U57" s="2">
        <f t="shared" si="182"/>
        <v>3.041918367183714</v>
      </c>
      <c r="V57" s="2">
        <f t="shared" si="182"/>
        <v>3.041918367183714</v>
      </c>
      <c r="W57" s="2">
        <f t="shared" si="182"/>
        <v>3.041918367183714</v>
      </c>
      <c r="X57" s="2">
        <f t="shared" si="182"/>
        <v>3.041918367183714</v>
      </c>
      <c r="Y57" s="2">
        <f t="shared" si="182"/>
        <v>3.041918367183714</v>
      </c>
      <c r="Z57" s="2">
        <f t="shared" si="182"/>
        <v>3.041918367183714</v>
      </c>
      <c r="AA57" s="2">
        <f t="shared" si="182"/>
        <v>3.041918367183714</v>
      </c>
      <c r="AB57" s="2">
        <f t="shared" si="182"/>
        <v>3.041918367183714</v>
      </c>
      <c r="AC57" s="2">
        <f t="shared" si="182"/>
        <v>3.041918367183714</v>
      </c>
      <c r="AD57" s="2">
        <f t="shared" si="182"/>
        <v>3.041918367183714</v>
      </c>
      <c r="AE57" s="2">
        <f t="shared" si="182"/>
        <v>3.041918367183714</v>
      </c>
      <c r="AF57" s="2">
        <f t="shared" si="182"/>
        <v>3.041918367183714</v>
      </c>
      <c r="AG57" s="2">
        <f t="shared" si="182"/>
        <v>3.041918367183714</v>
      </c>
      <c r="AH57" s="2">
        <f t="shared" si="182"/>
        <v>3.041918367183714</v>
      </c>
      <c r="AI57" s="2">
        <f t="shared" si="182"/>
        <v>3.041918367183714</v>
      </c>
      <c r="AJ57" s="2">
        <f t="shared" si="182"/>
        <v>3.041918367183714</v>
      </c>
      <c r="AK57" s="2">
        <f t="shared" si="182"/>
        <v>3.041918367183714</v>
      </c>
      <c r="AL57" s="2">
        <f t="shared" si="182"/>
        <v>3.041918367183714</v>
      </c>
      <c r="AM57" s="2">
        <f t="shared" si="182"/>
        <v>3.041918367183714</v>
      </c>
      <c r="AN57" s="2">
        <f t="shared" si="182"/>
        <v>3.041918367183714</v>
      </c>
      <c r="AO57" s="2">
        <f t="shared" si="182"/>
        <v>3.041918367183714</v>
      </c>
      <c r="AP57" s="2">
        <f t="shared" si="182"/>
        <v>3.041918367183714</v>
      </c>
      <c r="AQ57" s="2">
        <f t="shared" si="182"/>
        <v>3.041918367183714</v>
      </c>
      <c r="AR57" s="2">
        <f t="shared" si="182"/>
        <v>3.041918367183714</v>
      </c>
      <c r="AS57" s="2">
        <f t="shared" si="182"/>
        <v>3.041918367183714</v>
      </c>
      <c r="AT57" s="2">
        <f t="shared" si="182"/>
        <v>3.041918367183714</v>
      </c>
      <c r="AU57" s="2">
        <f t="shared" si="182"/>
        <v>3.041918367183714</v>
      </c>
      <c r="AV57" s="2">
        <f t="shared" si="182"/>
        <v>3.041918367183714</v>
      </c>
      <c r="AW57" s="2">
        <f t="shared" si="182"/>
        <v>3.041918367183714</v>
      </c>
      <c r="AX57" s="2">
        <f t="shared" si="182"/>
        <v>3.041918367183714</v>
      </c>
      <c r="AY57" s="2">
        <f t="shared" si="182"/>
        <v>3.041918367183714</v>
      </c>
      <c r="AZ57" s="2">
        <f t="shared" si="182"/>
        <v>3.041918367183714</v>
      </c>
      <c r="BA57" s="2">
        <f t="shared" si="182"/>
        <v>3.041918367183714</v>
      </c>
      <c r="BB57" s="2">
        <f t="shared" si="182"/>
        <v>3.041918367183714</v>
      </c>
      <c r="BC57" s="2">
        <f t="shared" si="182"/>
        <v>3.041918367183714</v>
      </c>
      <c r="BD57" s="2">
        <f t="shared" si="182"/>
        <v>3.041918367183714</v>
      </c>
      <c r="BE57" s="2">
        <f t="shared" si="182"/>
        <v>3.041918367183714</v>
      </c>
      <c r="BF57" s="2">
        <f t="shared" si="182"/>
        <v>3.041918367183714</v>
      </c>
      <c r="BG57" s="2">
        <f t="shared" si="182"/>
        <v>3.041918367183714</v>
      </c>
      <c r="BH57" s="2">
        <f t="shared" si="182"/>
        <v>3.041918367183714</v>
      </c>
      <c r="BI57" s="2">
        <f t="shared" si="182"/>
        <v>3.041918367183714</v>
      </c>
      <c r="BJ57" s="2">
        <f t="shared" si="182"/>
        <v>3.041918367183714</v>
      </c>
      <c r="BK57" s="2">
        <f t="shared" si="182"/>
        <v>3.041918367183714</v>
      </c>
      <c r="BL57" s="2">
        <f t="shared" si="182"/>
        <v>3.041918367183714</v>
      </c>
      <c r="BM57" s="2">
        <f t="shared" si="182"/>
        <v>3.041918367183714</v>
      </c>
      <c r="BN57" s="2">
        <f t="shared" si="182"/>
        <v>3.041918367183714</v>
      </c>
      <c r="BO57" s="2">
        <f t="shared" ref="BO57:CG57" si="183">2*BO$10*((BO$5+BO$11*BO$6)/BO$11)/(SQRT(2)*BO$7*SIN(BO37))</f>
        <v>3.041918367183714</v>
      </c>
      <c r="BP57" s="2">
        <f t="shared" si="183"/>
        <v>3.041918367183714</v>
      </c>
      <c r="BQ57" s="2">
        <f t="shared" si="183"/>
        <v>3.041918367183714</v>
      </c>
      <c r="BR57" s="2">
        <f t="shared" si="183"/>
        <v>3.041918367183714</v>
      </c>
      <c r="BS57" s="2">
        <f t="shared" si="183"/>
        <v>3.041918367183714</v>
      </c>
      <c r="BT57" s="2">
        <f t="shared" si="183"/>
        <v>3.041918367183714</v>
      </c>
      <c r="BU57" s="2">
        <f t="shared" si="183"/>
        <v>3.041918367183714</v>
      </c>
      <c r="BV57" s="2">
        <f t="shared" si="183"/>
        <v>3.041918367183714</v>
      </c>
      <c r="BW57" s="2">
        <f t="shared" si="183"/>
        <v>3.041918367183714</v>
      </c>
      <c r="BX57" s="2">
        <f t="shared" si="183"/>
        <v>3.041918367183714</v>
      </c>
      <c r="BY57" s="2">
        <f t="shared" si="183"/>
        <v>3.041918367183714</v>
      </c>
      <c r="BZ57" s="2">
        <f t="shared" si="183"/>
        <v>3.041918367183714</v>
      </c>
      <c r="CA57" s="2">
        <f t="shared" si="183"/>
        <v>3.041918367183714</v>
      </c>
      <c r="CB57" s="2">
        <f t="shared" si="183"/>
        <v>3.041918367183714</v>
      </c>
      <c r="CC57" s="2">
        <f t="shared" si="183"/>
        <v>3.041918367183714</v>
      </c>
      <c r="CD57" s="2">
        <f t="shared" si="183"/>
        <v>3.041918367183714</v>
      </c>
      <c r="CE57" s="2">
        <f t="shared" si="183"/>
        <v>3.041918367183714</v>
      </c>
      <c r="CF57" s="2">
        <f t="shared" si="183"/>
        <v>3.041918367183714</v>
      </c>
      <c r="CG57" s="2">
        <f t="shared" si="183"/>
        <v>3.041918367183714</v>
      </c>
    </row>
    <row r="58" spans="2:89">
      <c r="B58" s="2" t="s">
        <v>725</v>
      </c>
      <c r="C58" s="2">
        <f t="shared" ref="C58:BN58" si="184">2*C$10*((C$5+C$11*C$6)/C$11)/(SQRT(2)*C$7*SIN(C38))</f>
        <v>5.8765350246516448</v>
      </c>
      <c r="D58" s="2">
        <f t="shared" si="184"/>
        <v>5.8765350246516448</v>
      </c>
      <c r="E58" s="2">
        <f t="shared" si="184"/>
        <v>5.8765350246516448</v>
      </c>
      <c r="F58" s="2">
        <f t="shared" si="184"/>
        <v>5.8765350246516448</v>
      </c>
      <c r="G58" s="2">
        <f t="shared" si="184"/>
        <v>5.8765350246516448</v>
      </c>
      <c r="H58" s="2">
        <f t="shared" si="184"/>
        <v>5.8765350246516448</v>
      </c>
      <c r="I58" s="2">
        <f t="shared" si="184"/>
        <v>5.8765350246516448</v>
      </c>
      <c r="J58" s="2">
        <f t="shared" si="184"/>
        <v>5.8765350246516448</v>
      </c>
      <c r="K58" s="2">
        <f t="shared" si="184"/>
        <v>5.8765350246516448</v>
      </c>
      <c r="L58" s="2">
        <f t="shared" si="184"/>
        <v>5.8765350246516448</v>
      </c>
      <c r="M58" s="2">
        <f t="shared" si="184"/>
        <v>5.8765350246516448</v>
      </c>
      <c r="N58" s="2">
        <f t="shared" si="184"/>
        <v>5.8765350246516448</v>
      </c>
      <c r="O58" s="2">
        <f t="shared" si="184"/>
        <v>5.8765350246516448</v>
      </c>
      <c r="P58" s="2">
        <f t="shared" si="184"/>
        <v>5.8765350246516448</v>
      </c>
      <c r="Q58" s="2">
        <f t="shared" si="184"/>
        <v>5.8765350246516448</v>
      </c>
      <c r="R58" s="2">
        <f t="shared" si="184"/>
        <v>5.8765350246516448</v>
      </c>
      <c r="S58" s="2">
        <f t="shared" si="184"/>
        <v>5.8765350246516448</v>
      </c>
      <c r="T58" s="2">
        <f t="shared" si="184"/>
        <v>5.8765350246516448</v>
      </c>
      <c r="U58" s="2">
        <f t="shared" si="184"/>
        <v>5.8765350246516448</v>
      </c>
      <c r="V58" s="2">
        <f t="shared" si="184"/>
        <v>5.8765350246516448</v>
      </c>
      <c r="W58" s="2">
        <f t="shared" si="184"/>
        <v>5.8765350246516448</v>
      </c>
      <c r="X58" s="2">
        <f t="shared" si="184"/>
        <v>5.8765350246516448</v>
      </c>
      <c r="Y58" s="2">
        <f t="shared" si="184"/>
        <v>5.8765350246516448</v>
      </c>
      <c r="Z58" s="2">
        <f t="shared" si="184"/>
        <v>5.8765350246516448</v>
      </c>
      <c r="AA58" s="2">
        <f t="shared" si="184"/>
        <v>5.8765350246516448</v>
      </c>
      <c r="AB58" s="2">
        <f t="shared" si="184"/>
        <v>5.8765350246516448</v>
      </c>
      <c r="AC58" s="2">
        <f t="shared" si="184"/>
        <v>5.8765350246516448</v>
      </c>
      <c r="AD58" s="2">
        <f t="shared" si="184"/>
        <v>5.8765350246516448</v>
      </c>
      <c r="AE58" s="2">
        <f t="shared" si="184"/>
        <v>5.8765350246516448</v>
      </c>
      <c r="AF58" s="2">
        <f t="shared" si="184"/>
        <v>5.8765350246516448</v>
      </c>
      <c r="AG58" s="2">
        <f t="shared" si="184"/>
        <v>5.8765350246516448</v>
      </c>
      <c r="AH58" s="2">
        <f t="shared" si="184"/>
        <v>5.8765350246516448</v>
      </c>
      <c r="AI58" s="2">
        <f t="shared" si="184"/>
        <v>5.8765350246516448</v>
      </c>
      <c r="AJ58" s="2">
        <f t="shared" si="184"/>
        <v>5.8765350246516448</v>
      </c>
      <c r="AK58" s="2">
        <f t="shared" si="184"/>
        <v>5.8765350246516448</v>
      </c>
      <c r="AL58" s="2">
        <f t="shared" si="184"/>
        <v>5.8765350246516448</v>
      </c>
      <c r="AM58" s="2">
        <f t="shared" si="184"/>
        <v>5.8765350246516448</v>
      </c>
      <c r="AN58" s="2">
        <f t="shared" si="184"/>
        <v>5.8765350246516448</v>
      </c>
      <c r="AO58" s="2">
        <f t="shared" si="184"/>
        <v>5.8765350246516448</v>
      </c>
      <c r="AP58" s="2">
        <f t="shared" si="184"/>
        <v>5.8765350246516448</v>
      </c>
      <c r="AQ58" s="2">
        <f t="shared" si="184"/>
        <v>5.8765350246516448</v>
      </c>
      <c r="AR58" s="2">
        <f t="shared" si="184"/>
        <v>5.8765350246516448</v>
      </c>
      <c r="AS58" s="2">
        <f t="shared" si="184"/>
        <v>5.8765350246516448</v>
      </c>
      <c r="AT58" s="2">
        <f t="shared" si="184"/>
        <v>5.8765350246516448</v>
      </c>
      <c r="AU58" s="2">
        <f t="shared" si="184"/>
        <v>5.8765350246516448</v>
      </c>
      <c r="AV58" s="2">
        <f t="shared" si="184"/>
        <v>5.8765350246516448</v>
      </c>
      <c r="AW58" s="2">
        <f t="shared" si="184"/>
        <v>5.8765350246516448</v>
      </c>
      <c r="AX58" s="2">
        <f t="shared" si="184"/>
        <v>5.8765350246516448</v>
      </c>
      <c r="AY58" s="2">
        <f t="shared" si="184"/>
        <v>5.8765350246516448</v>
      </c>
      <c r="AZ58" s="2">
        <f t="shared" si="184"/>
        <v>5.8765350246516448</v>
      </c>
      <c r="BA58" s="2">
        <f t="shared" si="184"/>
        <v>5.8765350246516448</v>
      </c>
      <c r="BB58" s="2">
        <f t="shared" si="184"/>
        <v>5.8765350246516448</v>
      </c>
      <c r="BC58" s="2">
        <f t="shared" si="184"/>
        <v>5.8765350246516448</v>
      </c>
      <c r="BD58" s="2">
        <f t="shared" si="184"/>
        <v>5.8765350246516448</v>
      </c>
      <c r="BE58" s="2">
        <f t="shared" si="184"/>
        <v>5.8765350246516448</v>
      </c>
      <c r="BF58" s="2">
        <f t="shared" si="184"/>
        <v>5.8765350246516448</v>
      </c>
      <c r="BG58" s="2">
        <f t="shared" si="184"/>
        <v>5.8765350246516448</v>
      </c>
      <c r="BH58" s="2">
        <f t="shared" si="184"/>
        <v>5.8765350246516448</v>
      </c>
      <c r="BI58" s="2">
        <f t="shared" si="184"/>
        <v>5.8765350246516448</v>
      </c>
      <c r="BJ58" s="2">
        <f t="shared" si="184"/>
        <v>5.8765350246516448</v>
      </c>
      <c r="BK58" s="2">
        <f t="shared" si="184"/>
        <v>5.8765350246516448</v>
      </c>
      <c r="BL58" s="2">
        <f t="shared" si="184"/>
        <v>5.8765350246516448</v>
      </c>
      <c r="BM58" s="2">
        <f t="shared" si="184"/>
        <v>5.8765350246516448</v>
      </c>
      <c r="BN58" s="2">
        <f t="shared" si="184"/>
        <v>5.8765350246516448</v>
      </c>
      <c r="BO58" s="2">
        <f t="shared" ref="BO58:CG58" si="185">2*BO$10*((BO$5+BO$11*BO$6)/BO$11)/(SQRT(2)*BO$7*SIN(BO38))</f>
        <v>5.8765350246516448</v>
      </c>
      <c r="BP58" s="2">
        <f t="shared" si="185"/>
        <v>5.8765350246516448</v>
      </c>
      <c r="BQ58" s="2">
        <f t="shared" si="185"/>
        <v>5.8765350246516448</v>
      </c>
      <c r="BR58" s="2">
        <f t="shared" si="185"/>
        <v>5.8765350246516448</v>
      </c>
      <c r="BS58" s="2">
        <f t="shared" si="185"/>
        <v>5.8765350246516448</v>
      </c>
      <c r="BT58" s="2">
        <f t="shared" si="185"/>
        <v>5.8765350246516448</v>
      </c>
      <c r="BU58" s="2">
        <f t="shared" si="185"/>
        <v>5.8765350246516448</v>
      </c>
      <c r="BV58" s="2">
        <f t="shared" si="185"/>
        <v>5.8765350246516448</v>
      </c>
      <c r="BW58" s="2">
        <f t="shared" si="185"/>
        <v>5.8765350246516448</v>
      </c>
      <c r="BX58" s="2">
        <f t="shared" si="185"/>
        <v>5.8765350246516448</v>
      </c>
      <c r="BY58" s="2">
        <f t="shared" si="185"/>
        <v>5.8765350246516448</v>
      </c>
      <c r="BZ58" s="2">
        <f t="shared" si="185"/>
        <v>5.8765350246516448</v>
      </c>
      <c r="CA58" s="2">
        <f t="shared" si="185"/>
        <v>5.8765350246516448</v>
      </c>
      <c r="CB58" s="2">
        <f t="shared" si="185"/>
        <v>5.8765350246516448</v>
      </c>
      <c r="CC58" s="2">
        <f t="shared" si="185"/>
        <v>5.8765350246516448</v>
      </c>
      <c r="CD58" s="2">
        <f t="shared" si="185"/>
        <v>5.8765350246516448</v>
      </c>
      <c r="CE58" s="2">
        <f t="shared" si="185"/>
        <v>5.8765350246516448</v>
      </c>
      <c r="CF58" s="2">
        <f t="shared" si="185"/>
        <v>5.8765350246516448</v>
      </c>
      <c r="CG58" s="2">
        <f t="shared" si="185"/>
        <v>5.8765350246516448</v>
      </c>
    </row>
    <row r="60" spans="2:89">
      <c r="B60" s="2" t="s">
        <v>726</v>
      </c>
      <c r="D60" s="2">
        <f>IF(AND(D$25&gt;D$24,IF(ISNA(D$29),TRUE,D47&gt;=D$29),(D53-D47-(-D$25*(D47-C47)/(D$25-C$25)))/((D47-C47)/(D$25-C$25))&lt;=D$25,(D53-D47-(-D$25*(D47-C47)/(D$25-C$25)))/((D47-C47)/(D$25-C$25))&gt;C$25),(D53-D47-(-D$25*(D47-C47)/(D$25-C$25)))/((D47-C47)/(D$25-C$25)),0)</f>
        <v>0</v>
      </c>
      <c r="E60" s="2">
        <f t="shared" ref="E60:BP60" si="186">IF(AND(E$25&gt;E$24,IF(ISNA(E$29),TRUE,E47&gt;=E$29),(E53-E47-(-E$25*(E47-D47)/(E$25-D$25)))/((E47-D47)/(E$25-D$25))&lt;=E$25,(E53-E47-(-E$25*(E47-D47)/(E$25-D$25)))/((E47-D47)/(E$25-D$25))&gt;D$25),(E53-E47-(-E$25*(E47-D47)/(E$25-D$25)))/((E47-D47)/(E$25-D$25)),0)</f>
        <v>0</v>
      </c>
      <c r="F60" s="2">
        <f t="shared" si="186"/>
        <v>0</v>
      </c>
      <c r="G60" s="2">
        <f t="shared" si="186"/>
        <v>0</v>
      </c>
      <c r="H60" s="2">
        <f t="shared" si="186"/>
        <v>0</v>
      </c>
      <c r="I60" s="2">
        <f t="shared" si="186"/>
        <v>0</v>
      </c>
      <c r="J60" s="2">
        <f t="shared" si="186"/>
        <v>0</v>
      </c>
      <c r="K60" s="2">
        <f t="shared" si="186"/>
        <v>0</v>
      </c>
      <c r="L60" s="2">
        <f t="shared" si="186"/>
        <v>0</v>
      </c>
      <c r="M60" s="2">
        <f t="shared" si="186"/>
        <v>0</v>
      </c>
      <c r="N60" s="2">
        <f t="shared" si="186"/>
        <v>0</v>
      </c>
      <c r="O60" s="2">
        <f t="shared" si="186"/>
        <v>0</v>
      </c>
      <c r="P60" s="2">
        <f t="shared" si="186"/>
        <v>0</v>
      </c>
      <c r="Q60" s="2">
        <f t="shared" si="186"/>
        <v>0</v>
      </c>
      <c r="R60" s="2">
        <f t="shared" si="186"/>
        <v>0</v>
      </c>
      <c r="S60" s="2">
        <f t="shared" si="186"/>
        <v>0</v>
      </c>
      <c r="T60" s="2">
        <f t="shared" si="186"/>
        <v>0</v>
      </c>
      <c r="U60" s="2">
        <f t="shared" si="186"/>
        <v>0</v>
      </c>
      <c r="V60" s="2">
        <f t="shared" si="186"/>
        <v>0</v>
      </c>
      <c r="W60" s="2">
        <f t="shared" si="186"/>
        <v>0</v>
      </c>
      <c r="X60" s="2">
        <f t="shared" si="186"/>
        <v>0</v>
      </c>
      <c r="Y60" s="2">
        <f t="shared" si="186"/>
        <v>0</v>
      </c>
      <c r="Z60" s="2">
        <f t="shared" si="186"/>
        <v>0</v>
      </c>
      <c r="AA60" s="2">
        <f t="shared" si="186"/>
        <v>0</v>
      </c>
      <c r="AB60" s="2">
        <f t="shared" si="186"/>
        <v>0</v>
      </c>
      <c r="AC60" s="2">
        <f t="shared" si="186"/>
        <v>0</v>
      </c>
      <c r="AD60" s="2">
        <f t="shared" si="186"/>
        <v>0</v>
      </c>
      <c r="AE60" s="2">
        <f t="shared" si="186"/>
        <v>0</v>
      </c>
      <c r="AF60" s="2">
        <f t="shared" si="186"/>
        <v>0</v>
      </c>
      <c r="AG60" s="2">
        <f t="shared" si="186"/>
        <v>0</v>
      </c>
      <c r="AH60" s="2">
        <f t="shared" si="186"/>
        <v>0</v>
      </c>
      <c r="AI60" s="2">
        <f t="shared" si="186"/>
        <v>0</v>
      </c>
      <c r="AJ60" s="2">
        <f t="shared" si="186"/>
        <v>0</v>
      </c>
      <c r="AK60" s="2">
        <f t="shared" si="186"/>
        <v>0</v>
      </c>
      <c r="AL60" s="2">
        <f t="shared" si="186"/>
        <v>0</v>
      </c>
      <c r="AM60" s="2">
        <f t="shared" si="186"/>
        <v>0</v>
      </c>
      <c r="AN60" s="2">
        <f t="shared" si="186"/>
        <v>0</v>
      </c>
      <c r="AO60" s="2">
        <f t="shared" si="186"/>
        <v>0</v>
      </c>
      <c r="AP60" s="2">
        <f t="shared" si="186"/>
        <v>0</v>
      </c>
      <c r="AQ60" s="2">
        <f t="shared" si="186"/>
        <v>0</v>
      </c>
      <c r="AR60" s="2">
        <f t="shared" si="186"/>
        <v>0</v>
      </c>
      <c r="AS60" s="2">
        <f t="shared" si="186"/>
        <v>0</v>
      </c>
      <c r="AT60" s="2">
        <f t="shared" si="186"/>
        <v>0</v>
      </c>
      <c r="AU60" s="2">
        <f t="shared" si="186"/>
        <v>0</v>
      </c>
      <c r="AV60" s="2">
        <f t="shared" si="186"/>
        <v>0</v>
      </c>
      <c r="AW60" s="2">
        <f t="shared" si="186"/>
        <v>0</v>
      </c>
      <c r="AX60" s="2">
        <f t="shared" si="186"/>
        <v>0</v>
      </c>
      <c r="AY60" s="2">
        <f t="shared" si="186"/>
        <v>0</v>
      </c>
      <c r="AZ60" s="2">
        <f t="shared" si="186"/>
        <v>0</v>
      </c>
      <c r="BA60" s="2">
        <f t="shared" si="186"/>
        <v>0.71493085898022246</v>
      </c>
      <c r="BB60" s="2">
        <f t="shared" si="186"/>
        <v>0</v>
      </c>
      <c r="BC60" s="2">
        <f t="shared" si="186"/>
        <v>0</v>
      </c>
      <c r="BD60" s="2">
        <f t="shared" si="186"/>
        <v>0</v>
      </c>
      <c r="BE60" s="2">
        <f t="shared" si="186"/>
        <v>0</v>
      </c>
      <c r="BF60" s="2">
        <f t="shared" si="186"/>
        <v>0</v>
      </c>
      <c r="BG60" s="2">
        <f t="shared" si="186"/>
        <v>0</v>
      </c>
      <c r="BH60" s="2">
        <f t="shared" si="186"/>
        <v>0</v>
      </c>
      <c r="BI60" s="2">
        <f t="shared" si="186"/>
        <v>0</v>
      </c>
      <c r="BJ60" s="2">
        <f t="shared" si="186"/>
        <v>0</v>
      </c>
      <c r="BK60" s="2">
        <f t="shared" si="186"/>
        <v>0</v>
      </c>
      <c r="BL60" s="2">
        <f t="shared" si="186"/>
        <v>0</v>
      </c>
      <c r="BM60" s="2">
        <f t="shared" si="186"/>
        <v>0</v>
      </c>
      <c r="BN60" s="2">
        <f t="shared" si="186"/>
        <v>0</v>
      </c>
      <c r="BO60" s="2">
        <f t="shared" si="186"/>
        <v>0</v>
      </c>
      <c r="BP60" s="2">
        <f t="shared" si="186"/>
        <v>0</v>
      </c>
      <c r="BQ60" s="2">
        <f t="shared" ref="BQ60:CG60" si="187">IF(AND(BQ$25&gt;BQ$24,IF(ISNA(BQ$29),TRUE,BQ47&gt;=BQ$29),(BQ53-BQ47-(-BQ$25*(BQ47-BP47)/(BQ$25-BP$25)))/((BQ47-BP47)/(BQ$25-BP$25))&lt;=BQ$25,(BQ53-BQ47-(-BQ$25*(BQ47-BP47)/(BQ$25-BP$25)))/((BQ47-BP47)/(BQ$25-BP$25))&gt;BP$25),(BQ53-BQ47-(-BQ$25*(BQ47-BP47)/(BQ$25-BP$25)))/((BQ47-BP47)/(BQ$25-BP$25)),0)</f>
        <v>0</v>
      </c>
      <c r="BR60" s="2">
        <f t="shared" si="187"/>
        <v>0</v>
      </c>
      <c r="BS60" s="2">
        <f t="shared" si="187"/>
        <v>0</v>
      </c>
      <c r="BT60" s="2">
        <f t="shared" si="187"/>
        <v>0</v>
      </c>
      <c r="BU60" s="2">
        <f t="shared" si="187"/>
        <v>0</v>
      </c>
      <c r="BV60" s="2">
        <f t="shared" si="187"/>
        <v>0</v>
      </c>
      <c r="BW60" s="2">
        <f t="shared" si="187"/>
        <v>0</v>
      </c>
      <c r="BX60" s="2">
        <f t="shared" si="187"/>
        <v>0</v>
      </c>
      <c r="BY60" s="2">
        <f t="shared" si="187"/>
        <v>0</v>
      </c>
      <c r="BZ60" s="2">
        <f t="shared" si="187"/>
        <v>0</v>
      </c>
      <c r="CA60" s="2">
        <f t="shared" si="187"/>
        <v>0</v>
      </c>
      <c r="CB60" s="2">
        <f t="shared" si="187"/>
        <v>0</v>
      </c>
      <c r="CC60" s="2">
        <f t="shared" si="187"/>
        <v>0</v>
      </c>
      <c r="CD60" s="2">
        <f t="shared" si="187"/>
        <v>0</v>
      </c>
      <c r="CE60" s="2">
        <f t="shared" si="187"/>
        <v>0</v>
      </c>
      <c r="CF60" s="2">
        <f t="shared" si="187"/>
        <v>0</v>
      </c>
      <c r="CG60" s="2">
        <f t="shared" si="187"/>
        <v>0</v>
      </c>
      <c r="CH60" s="2" cm="1">
        <f t="array" aca="1" ref="CH60" ca="1">IF(MAX(D60:CG60),MAX(D60:CG60),INDIRECT(CI47))</f>
        <v>0.71493085898022246</v>
      </c>
    </row>
    <row r="61" spans="2:89">
      <c r="B61" s="2" t="s">
        <v>727</v>
      </c>
      <c r="D61" s="2">
        <f>IF(AND(D$25&gt;D$24,IF(ISNA(D$29),TRUE,D48&gt;=D$29),(D54-D48-(-D$25*(D48-C48)/(D$25-C$25)))/((D48-C48)/(D$25-C$25))&lt;=D$25,(D54-D48-(-D$25*(D48-C48)/(D$25-C$25)))/((D48-C48)/(D$25-C$25))&gt;C$25),(D54-D48-(-D$25*(D48-C48)/(D$25-C$25)))/((D48-C48)/(D$25-C$25)),0)</f>
        <v>0</v>
      </c>
      <c r="E61" s="2">
        <f t="shared" ref="E61:BO61" si="188">IF(AND(E$25&gt;E$24,IF(ISNA(E$29),TRUE,E48&gt;=E$29),(E54-E48-(-E$25*(E48-D48)/(E$25-D$25)))/((E48-D48)/(E$25-D$25))&lt;=E$25,(E54-E48-(-E$25*(E48-D48)/(E$25-D$25)))/((E48-D48)/(E$25-D$25))&gt;D$25),(E54-E48-(-E$25*(E48-D48)/(E$25-D$25)))/((E48-D48)/(E$25-D$25)),0)</f>
        <v>0</v>
      </c>
      <c r="F61" s="2">
        <f t="shared" si="188"/>
        <v>0</v>
      </c>
      <c r="G61" s="2">
        <f t="shared" si="188"/>
        <v>0</v>
      </c>
      <c r="H61" s="2">
        <f t="shared" si="188"/>
        <v>0</v>
      </c>
      <c r="I61" s="2">
        <f t="shared" si="188"/>
        <v>0</v>
      </c>
      <c r="J61" s="2">
        <f t="shared" si="188"/>
        <v>0</v>
      </c>
      <c r="K61" s="2">
        <f t="shared" si="188"/>
        <v>0</v>
      </c>
      <c r="L61" s="2">
        <f t="shared" si="188"/>
        <v>0</v>
      </c>
      <c r="M61" s="2">
        <f t="shared" si="188"/>
        <v>0</v>
      </c>
      <c r="N61" s="2">
        <f t="shared" si="188"/>
        <v>0</v>
      </c>
      <c r="O61" s="2">
        <f t="shared" si="188"/>
        <v>0</v>
      </c>
      <c r="P61" s="2">
        <f t="shared" si="188"/>
        <v>0</v>
      </c>
      <c r="Q61" s="2">
        <f t="shared" si="188"/>
        <v>0</v>
      </c>
      <c r="R61" s="2">
        <f t="shared" si="188"/>
        <v>0</v>
      </c>
      <c r="S61" s="2">
        <f t="shared" si="188"/>
        <v>0</v>
      </c>
      <c r="T61" s="2">
        <f t="shared" si="188"/>
        <v>0</v>
      </c>
      <c r="U61" s="2">
        <f t="shared" si="188"/>
        <v>0</v>
      </c>
      <c r="V61" s="2">
        <f t="shared" si="188"/>
        <v>0</v>
      </c>
      <c r="W61" s="2">
        <f t="shared" si="188"/>
        <v>0</v>
      </c>
      <c r="X61" s="2">
        <f t="shared" si="188"/>
        <v>0</v>
      </c>
      <c r="Y61" s="2">
        <f t="shared" si="188"/>
        <v>0</v>
      </c>
      <c r="Z61" s="2">
        <f t="shared" si="188"/>
        <v>0</v>
      </c>
      <c r="AA61" s="2">
        <f t="shared" si="188"/>
        <v>0</v>
      </c>
      <c r="AB61" s="2">
        <f t="shared" si="188"/>
        <v>0</v>
      </c>
      <c r="AC61" s="2">
        <f t="shared" si="188"/>
        <v>0</v>
      </c>
      <c r="AD61" s="2">
        <f t="shared" si="188"/>
        <v>0</v>
      </c>
      <c r="AE61" s="2">
        <f t="shared" si="188"/>
        <v>0</v>
      </c>
      <c r="AF61" s="2">
        <f t="shared" si="188"/>
        <v>0</v>
      </c>
      <c r="AG61" s="2">
        <f t="shared" si="188"/>
        <v>0</v>
      </c>
      <c r="AH61" s="2">
        <f t="shared" si="188"/>
        <v>0</v>
      </c>
      <c r="AI61" s="2">
        <f t="shared" si="188"/>
        <v>0</v>
      </c>
      <c r="AJ61" s="2">
        <f t="shared" si="188"/>
        <v>0</v>
      </c>
      <c r="AK61" s="2">
        <f t="shared" si="188"/>
        <v>0</v>
      </c>
      <c r="AL61" s="2">
        <f t="shared" si="188"/>
        <v>0</v>
      </c>
      <c r="AM61" s="2">
        <f t="shared" si="188"/>
        <v>0</v>
      </c>
      <c r="AN61" s="2">
        <f t="shared" si="188"/>
        <v>0</v>
      </c>
      <c r="AO61" s="2">
        <f t="shared" si="188"/>
        <v>0</v>
      </c>
      <c r="AP61" s="2">
        <f t="shared" si="188"/>
        <v>0</v>
      </c>
      <c r="AQ61" s="2">
        <f t="shared" si="188"/>
        <v>0</v>
      </c>
      <c r="AR61" s="2">
        <f t="shared" si="188"/>
        <v>0</v>
      </c>
      <c r="AS61" s="2">
        <f t="shared" si="188"/>
        <v>0</v>
      </c>
      <c r="AT61" s="2">
        <f t="shared" si="188"/>
        <v>0</v>
      </c>
      <c r="AU61" s="2">
        <f t="shared" si="188"/>
        <v>0</v>
      </c>
      <c r="AV61" s="2">
        <f t="shared" si="188"/>
        <v>0</v>
      </c>
      <c r="AW61" s="2">
        <f t="shared" si="188"/>
        <v>0</v>
      </c>
      <c r="AX61" s="2">
        <f t="shared" si="188"/>
        <v>0</v>
      </c>
      <c r="AY61" s="2">
        <f t="shared" si="188"/>
        <v>0</v>
      </c>
      <c r="AZ61" s="2">
        <f t="shared" si="188"/>
        <v>0.70770292043765515</v>
      </c>
      <c r="BA61" s="2">
        <f t="shared" si="188"/>
        <v>0</v>
      </c>
      <c r="BB61" s="2">
        <f t="shared" si="188"/>
        <v>0</v>
      </c>
      <c r="BC61" s="2">
        <f t="shared" si="188"/>
        <v>0</v>
      </c>
      <c r="BD61" s="2">
        <f t="shared" si="188"/>
        <v>0</v>
      </c>
      <c r="BE61" s="2">
        <f t="shared" si="188"/>
        <v>0</v>
      </c>
      <c r="BF61" s="2">
        <f t="shared" si="188"/>
        <v>0</v>
      </c>
      <c r="BG61" s="2">
        <f t="shared" si="188"/>
        <v>0</v>
      </c>
      <c r="BH61" s="2">
        <f t="shared" si="188"/>
        <v>0</v>
      </c>
      <c r="BI61" s="2">
        <f t="shared" si="188"/>
        <v>0</v>
      </c>
      <c r="BJ61" s="2">
        <f t="shared" si="188"/>
        <v>0</v>
      </c>
      <c r="BK61" s="2">
        <f t="shared" si="188"/>
        <v>0</v>
      </c>
      <c r="BL61" s="2">
        <f t="shared" si="188"/>
        <v>0</v>
      </c>
      <c r="BM61" s="2">
        <f t="shared" si="188"/>
        <v>0</v>
      </c>
      <c r="BN61" s="2">
        <f t="shared" si="188"/>
        <v>0</v>
      </c>
      <c r="BO61" s="2">
        <f t="shared" si="188"/>
        <v>0</v>
      </c>
      <c r="BP61" s="2">
        <f t="shared" ref="BP61:CG61" si="189">IF(AND(BP$25&gt;BP$24,IF(ISNA(BP$29),TRUE,BP48&gt;=BP$29),(BP54-BP48-(-BP$25*(BP48-BO48)/(BP$25-BO$25)))/((BP48-BO48)/(BP$25-BO$25))&lt;=BP$25,(BP54-BP48-(-BP$25*(BP48-BO48)/(BP$25-BO$25)))/((BP48-BO48)/(BP$25-BO$25))&gt;BO$25),(BP54-BP48-(-BP$25*(BP48-BO48)/(BP$25-BO$25)))/((BP48-BO48)/(BP$25-BO$25)),0)</f>
        <v>0</v>
      </c>
      <c r="BQ61" s="2">
        <f t="shared" si="189"/>
        <v>0</v>
      </c>
      <c r="BR61" s="2">
        <f t="shared" si="189"/>
        <v>0</v>
      </c>
      <c r="BS61" s="2">
        <f t="shared" si="189"/>
        <v>0</v>
      </c>
      <c r="BT61" s="2">
        <f t="shared" si="189"/>
        <v>0</v>
      </c>
      <c r="BU61" s="2">
        <f t="shared" si="189"/>
        <v>0</v>
      </c>
      <c r="BV61" s="2">
        <f t="shared" si="189"/>
        <v>0</v>
      </c>
      <c r="BW61" s="2">
        <f t="shared" si="189"/>
        <v>0</v>
      </c>
      <c r="BX61" s="2">
        <f t="shared" si="189"/>
        <v>0</v>
      </c>
      <c r="BY61" s="2">
        <f t="shared" si="189"/>
        <v>0</v>
      </c>
      <c r="BZ61" s="2">
        <f t="shared" si="189"/>
        <v>0</v>
      </c>
      <c r="CA61" s="2">
        <f t="shared" si="189"/>
        <v>0</v>
      </c>
      <c r="CB61" s="2">
        <f t="shared" si="189"/>
        <v>0</v>
      </c>
      <c r="CC61" s="2">
        <f t="shared" si="189"/>
        <v>0</v>
      </c>
      <c r="CD61" s="2">
        <f t="shared" si="189"/>
        <v>0</v>
      </c>
      <c r="CE61" s="2">
        <f t="shared" si="189"/>
        <v>0</v>
      </c>
      <c r="CF61" s="2">
        <f t="shared" si="189"/>
        <v>0</v>
      </c>
      <c r="CG61" s="2">
        <f t="shared" si="189"/>
        <v>0</v>
      </c>
      <c r="CH61" s="2" cm="1">
        <f t="array" aca="1" ref="CH61" ca="1">IF(MAX(D61:CG61),MAX(D61:CG61),INDIRECT(CI48))</f>
        <v>0.70770292043765515</v>
      </c>
    </row>
    <row r="62" spans="2:89">
      <c r="B62" s="2" t="s">
        <v>728</v>
      </c>
      <c r="D62" s="2">
        <f t="shared" ref="D62:BO62" si="190">IF(AND(D$25&gt;D$24,IF(ISNA(D$29),TRUE,D49&gt;=D$29),(D55-D49-(-D$25*(D49-C49)/(D$25-C$25)))/((D49-C49)/(D$25-C$25))&lt;=D$25,(D55-D49-(-D$25*(D49-C49)/(D$25-C$25)))/((D49-C49)/(D$25-C$25))&gt;C$25),(D55-D49-(-D$25*(D49-C49)/(D$25-C$25)))/((D49-C49)/(D$25-C$25)),0)</f>
        <v>0</v>
      </c>
      <c r="E62" s="2">
        <f t="shared" si="190"/>
        <v>0</v>
      </c>
      <c r="F62" s="2">
        <f t="shared" si="190"/>
        <v>0</v>
      </c>
      <c r="G62" s="2">
        <f t="shared" si="190"/>
        <v>0</v>
      </c>
      <c r="H62" s="2">
        <f t="shared" si="190"/>
        <v>0</v>
      </c>
      <c r="I62" s="2">
        <f t="shared" si="190"/>
        <v>0</v>
      </c>
      <c r="J62" s="2">
        <f t="shared" si="190"/>
        <v>0</v>
      </c>
      <c r="K62" s="2">
        <f t="shared" si="190"/>
        <v>0</v>
      </c>
      <c r="L62" s="2">
        <f t="shared" si="190"/>
        <v>0</v>
      </c>
      <c r="M62" s="2">
        <f t="shared" si="190"/>
        <v>0</v>
      </c>
      <c r="N62" s="2">
        <f t="shared" si="190"/>
        <v>0</v>
      </c>
      <c r="O62" s="2">
        <f t="shared" si="190"/>
        <v>0</v>
      </c>
      <c r="P62" s="2">
        <f t="shared" si="190"/>
        <v>0</v>
      </c>
      <c r="Q62" s="2">
        <f t="shared" si="190"/>
        <v>0</v>
      </c>
      <c r="R62" s="2">
        <f t="shared" si="190"/>
        <v>0</v>
      </c>
      <c r="S62" s="2">
        <f t="shared" si="190"/>
        <v>0</v>
      </c>
      <c r="T62" s="2">
        <f t="shared" si="190"/>
        <v>0</v>
      </c>
      <c r="U62" s="2">
        <f t="shared" si="190"/>
        <v>0</v>
      </c>
      <c r="V62" s="2">
        <f t="shared" si="190"/>
        <v>0</v>
      </c>
      <c r="W62" s="2">
        <f t="shared" si="190"/>
        <v>0</v>
      </c>
      <c r="X62" s="2">
        <f t="shared" si="190"/>
        <v>0</v>
      </c>
      <c r="Y62" s="2">
        <f t="shared" si="190"/>
        <v>0</v>
      </c>
      <c r="Z62" s="2">
        <f t="shared" si="190"/>
        <v>0</v>
      </c>
      <c r="AA62" s="2">
        <f t="shared" si="190"/>
        <v>0</v>
      </c>
      <c r="AB62" s="2">
        <f t="shared" si="190"/>
        <v>0</v>
      </c>
      <c r="AC62" s="2">
        <f t="shared" si="190"/>
        <v>0</v>
      </c>
      <c r="AD62" s="2">
        <f t="shared" si="190"/>
        <v>0</v>
      </c>
      <c r="AE62" s="2">
        <f t="shared" si="190"/>
        <v>0</v>
      </c>
      <c r="AF62" s="2">
        <f t="shared" si="190"/>
        <v>0</v>
      </c>
      <c r="AG62" s="2">
        <f t="shared" si="190"/>
        <v>0</v>
      </c>
      <c r="AH62" s="2">
        <f t="shared" si="190"/>
        <v>0</v>
      </c>
      <c r="AI62" s="2">
        <f t="shared" si="190"/>
        <v>0</v>
      </c>
      <c r="AJ62" s="2">
        <f t="shared" si="190"/>
        <v>0</v>
      </c>
      <c r="AK62" s="2">
        <f t="shared" si="190"/>
        <v>0</v>
      </c>
      <c r="AL62" s="2">
        <f t="shared" si="190"/>
        <v>0</v>
      </c>
      <c r="AM62" s="2">
        <f t="shared" si="190"/>
        <v>0</v>
      </c>
      <c r="AN62" s="2">
        <f t="shared" si="190"/>
        <v>0</v>
      </c>
      <c r="AO62" s="2">
        <f t="shared" si="190"/>
        <v>0</v>
      </c>
      <c r="AP62" s="2">
        <f t="shared" si="190"/>
        <v>0</v>
      </c>
      <c r="AQ62" s="2">
        <f t="shared" si="190"/>
        <v>0</v>
      </c>
      <c r="AR62" s="2">
        <f t="shared" si="190"/>
        <v>0</v>
      </c>
      <c r="AS62" s="2">
        <f t="shared" si="190"/>
        <v>0</v>
      </c>
      <c r="AT62" s="2">
        <f t="shared" si="190"/>
        <v>0</v>
      </c>
      <c r="AU62" s="2">
        <f t="shared" si="190"/>
        <v>0</v>
      </c>
      <c r="AV62" s="2">
        <f t="shared" si="190"/>
        <v>0</v>
      </c>
      <c r="AW62" s="2">
        <f t="shared" si="190"/>
        <v>0</v>
      </c>
      <c r="AX62" s="2">
        <f t="shared" si="190"/>
        <v>0</v>
      </c>
      <c r="AY62" s="2">
        <f t="shared" si="190"/>
        <v>0.68892794834218829</v>
      </c>
      <c r="AZ62" s="2">
        <f t="shared" si="190"/>
        <v>0</v>
      </c>
      <c r="BA62" s="2">
        <f t="shared" si="190"/>
        <v>0</v>
      </c>
      <c r="BB62" s="2">
        <f t="shared" si="190"/>
        <v>0</v>
      </c>
      <c r="BC62" s="2">
        <f t="shared" si="190"/>
        <v>0</v>
      </c>
      <c r="BD62" s="2">
        <f t="shared" si="190"/>
        <v>0</v>
      </c>
      <c r="BE62" s="2">
        <f t="shared" si="190"/>
        <v>0</v>
      </c>
      <c r="BF62" s="2">
        <f t="shared" si="190"/>
        <v>0</v>
      </c>
      <c r="BG62" s="2">
        <f t="shared" si="190"/>
        <v>0</v>
      </c>
      <c r="BH62" s="2">
        <f t="shared" si="190"/>
        <v>0</v>
      </c>
      <c r="BI62" s="2">
        <f t="shared" si="190"/>
        <v>0</v>
      </c>
      <c r="BJ62" s="2">
        <f t="shared" si="190"/>
        <v>0</v>
      </c>
      <c r="BK62" s="2">
        <f t="shared" si="190"/>
        <v>0</v>
      </c>
      <c r="BL62" s="2">
        <f t="shared" si="190"/>
        <v>0</v>
      </c>
      <c r="BM62" s="2">
        <f t="shared" si="190"/>
        <v>0</v>
      </c>
      <c r="BN62" s="2">
        <f t="shared" si="190"/>
        <v>0</v>
      </c>
      <c r="BO62" s="2">
        <f t="shared" si="190"/>
        <v>0</v>
      </c>
      <c r="BP62" s="2">
        <f t="shared" ref="BP62:CG62" si="191">IF(AND(BP$25&gt;BP$24,IF(ISNA(BP$29),TRUE,BP49&gt;=BP$29),(BP55-BP49-(-BP$25*(BP49-BO49)/(BP$25-BO$25)))/((BP49-BO49)/(BP$25-BO$25))&lt;=BP$25,(BP55-BP49-(-BP$25*(BP49-BO49)/(BP$25-BO$25)))/((BP49-BO49)/(BP$25-BO$25))&gt;BO$25),(BP55-BP49-(-BP$25*(BP49-BO49)/(BP$25-BO$25)))/((BP49-BO49)/(BP$25-BO$25)),0)</f>
        <v>0</v>
      </c>
      <c r="BQ62" s="2">
        <f t="shared" si="191"/>
        <v>0</v>
      </c>
      <c r="BR62" s="2">
        <f t="shared" si="191"/>
        <v>0</v>
      </c>
      <c r="BS62" s="2">
        <f t="shared" si="191"/>
        <v>0</v>
      </c>
      <c r="BT62" s="2">
        <f t="shared" si="191"/>
        <v>0</v>
      </c>
      <c r="BU62" s="2">
        <f t="shared" si="191"/>
        <v>0</v>
      </c>
      <c r="BV62" s="2">
        <f t="shared" si="191"/>
        <v>0</v>
      </c>
      <c r="BW62" s="2">
        <f t="shared" si="191"/>
        <v>0</v>
      </c>
      <c r="BX62" s="2">
        <f t="shared" si="191"/>
        <v>0</v>
      </c>
      <c r="BY62" s="2">
        <f t="shared" si="191"/>
        <v>0</v>
      </c>
      <c r="BZ62" s="2">
        <f t="shared" si="191"/>
        <v>0</v>
      </c>
      <c r="CA62" s="2">
        <f t="shared" si="191"/>
        <v>0</v>
      </c>
      <c r="CB62" s="2">
        <f t="shared" si="191"/>
        <v>0</v>
      </c>
      <c r="CC62" s="2">
        <f t="shared" si="191"/>
        <v>0</v>
      </c>
      <c r="CD62" s="2">
        <f t="shared" si="191"/>
        <v>0</v>
      </c>
      <c r="CE62" s="2">
        <f t="shared" si="191"/>
        <v>0</v>
      </c>
      <c r="CF62" s="2">
        <f t="shared" si="191"/>
        <v>0</v>
      </c>
      <c r="CG62" s="2">
        <f t="shared" si="191"/>
        <v>0</v>
      </c>
      <c r="CH62" s="2" cm="1">
        <f t="array" aca="1" ref="CH62" ca="1">IF(MAX(D62:CG62),MAX(D62:CG62),INDIRECT(CI49))</f>
        <v>0.68892794834218829</v>
      </c>
    </row>
    <row r="63" spans="2:89">
      <c r="B63" s="2" t="s">
        <v>729</v>
      </c>
      <c r="D63" s="2">
        <f t="shared" ref="D63:BO63" si="192">IF(AND(D$25&gt;D$24,IF(ISNA(D$29),TRUE,D50&gt;=D$29),(D56-D50-(-D$25*(D50-C50)/(D$25-C$25)))/((D50-C50)/(D$25-C$25))&lt;=D$25,(D56-D50-(-D$25*(D50-C50)/(D$25-C$25)))/((D50-C50)/(D$25-C$25))&gt;C$25),(D56-D50-(-D$25*(D50-C50)/(D$25-C$25)))/((D50-C50)/(D$25-C$25)),0)</f>
        <v>0</v>
      </c>
      <c r="E63" s="2">
        <f t="shared" si="192"/>
        <v>0</v>
      </c>
      <c r="F63" s="2">
        <f t="shared" si="192"/>
        <v>0</v>
      </c>
      <c r="G63" s="2">
        <f t="shared" si="192"/>
        <v>0</v>
      </c>
      <c r="H63" s="2">
        <f t="shared" si="192"/>
        <v>0</v>
      </c>
      <c r="I63" s="2">
        <f t="shared" si="192"/>
        <v>0</v>
      </c>
      <c r="J63" s="2">
        <f t="shared" si="192"/>
        <v>0</v>
      </c>
      <c r="K63" s="2">
        <f t="shared" si="192"/>
        <v>0</v>
      </c>
      <c r="L63" s="2">
        <f t="shared" si="192"/>
        <v>0</v>
      </c>
      <c r="M63" s="2">
        <f t="shared" si="192"/>
        <v>0</v>
      </c>
      <c r="N63" s="2">
        <f t="shared" si="192"/>
        <v>0</v>
      </c>
      <c r="O63" s="2">
        <f t="shared" si="192"/>
        <v>0</v>
      </c>
      <c r="P63" s="2">
        <f t="shared" si="192"/>
        <v>0</v>
      </c>
      <c r="Q63" s="2">
        <f t="shared" si="192"/>
        <v>0</v>
      </c>
      <c r="R63" s="2">
        <f t="shared" si="192"/>
        <v>0</v>
      </c>
      <c r="S63" s="2">
        <f t="shared" si="192"/>
        <v>0</v>
      </c>
      <c r="T63" s="2">
        <f t="shared" si="192"/>
        <v>0</v>
      </c>
      <c r="U63" s="2">
        <f t="shared" si="192"/>
        <v>0</v>
      </c>
      <c r="V63" s="2">
        <f t="shared" si="192"/>
        <v>0</v>
      </c>
      <c r="W63" s="2">
        <f t="shared" si="192"/>
        <v>0</v>
      </c>
      <c r="X63" s="2">
        <f t="shared" si="192"/>
        <v>0</v>
      </c>
      <c r="Y63" s="2">
        <f t="shared" si="192"/>
        <v>0</v>
      </c>
      <c r="Z63" s="2">
        <f t="shared" si="192"/>
        <v>0</v>
      </c>
      <c r="AA63" s="2">
        <f t="shared" si="192"/>
        <v>0</v>
      </c>
      <c r="AB63" s="2">
        <f t="shared" si="192"/>
        <v>0</v>
      </c>
      <c r="AC63" s="2">
        <f t="shared" si="192"/>
        <v>0</v>
      </c>
      <c r="AD63" s="2">
        <f t="shared" si="192"/>
        <v>0</v>
      </c>
      <c r="AE63" s="2">
        <f t="shared" si="192"/>
        <v>0</v>
      </c>
      <c r="AF63" s="2">
        <f t="shared" si="192"/>
        <v>0</v>
      </c>
      <c r="AG63" s="2">
        <f t="shared" si="192"/>
        <v>0</v>
      </c>
      <c r="AH63" s="2">
        <f t="shared" si="192"/>
        <v>0</v>
      </c>
      <c r="AI63" s="2">
        <f t="shared" si="192"/>
        <v>0</v>
      </c>
      <c r="AJ63" s="2">
        <f t="shared" si="192"/>
        <v>0</v>
      </c>
      <c r="AK63" s="2">
        <f t="shared" si="192"/>
        <v>0</v>
      </c>
      <c r="AL63" s="2">
        <f t="shared" si="192"/>
        <v>0</v>
      </c>
      <c r="AM63" s="2">
        <f t="shared" si="192"/>
        <v>0</v>
      </c>
      <c r="AN63" s="2">
        <f t="shared" si="192"/>
        <v>0</v>
      </c>
      <c r="AO63" s="2">
        <f t="shared" si="192"/>
        <v>0</v>
      </c>
      <c r="AP63" s="2">
        <f t="shared" si="192"/>
        <v>0</v>
      </c>
      <c r="AQ63" s="2">
        <f t="shared" si="192"/>
        <v>0</v>
      </c>
      <c r="AR63" s="2">
        <f t="shared" si="192"/>
        <v>0</v>
      </c>
      <c r="AS63" s="2">
        <f t="shared" si="192"/>
        <v>0</v>
      </c>
      <c r="AT63" s="2">
        <f t="shared" si="192"/>
        <v>0</v>
      </c>
      <c r="AU63" s="2">
        <f t="shared" si="192"/>
        <v>0</v>
      </c>
      <c r="AV63" s="2">
        <f t="shared" si="192"/>
        <v>0</v>
      </c>
      <c r="AW63" s="2">
        <f t="shared" si="192"/>
        <v>0.66266363347226287</v>
      </c>
      <c r="AX63" s="2">
        <f t="shared" si="192"/>
        <v>0</v>
      </c>
      <c r="AY63" s="2">
        <f t="shared" si="192"/>
        <v>0</v>
      </c>
      <c r="AZ63" s="2">
        <f t="shared" si="192"/>
        <v>0</v>
      </c>
      <c r="BA63" s="2">
        <f t="shared" si="192"/>
        <v>0</v>
      </c>
      <c r="BB63" s="2">
        <f t="shared" si="192"/>
        <v>0</v>
      </c>
      <c r="BC63" s="2">
        <f t="shared" si="192"/>
        <v>0</v>
      </c>
      <c r="BD63" s="2">
        <f t="shared" si="192"/>
        <v>0</v>
      </c>
      <c r="BE63" s="2">
        <f t="shared" si="192"/>
        <v>0</v>
      </c>
      <c r="BF63" s="2">
        <f t="shared" si="192"/>
        <v>0</v>
      </c>
      <c r="BG63" s="2">
        <f t="shared" si="192"/>
        <v>0</v>
      </c>
      <c r="BH63" s="2">
        <f t="shared" si="192"/>
        <v>0</v>
      </c>
      <c r="BI63" s="2">
        <f t="shared" si="192"/>
        <v>0</v>
      </c>
      <c r="BJ63" s="2">
        <f t="shared" si="192"/>
        <v>0</v>
      </c>
      <c r="BK63" s="2">
        <f t="shared" si="192"/>
        <v>0</v>
      </c>
      <c r="BL63" s="2">
        <f t="shared" si="192"/>
        <v>0</v>
      </c>
      <c r="BM63" s="2">
        <f t="shared" si="192"/>
        <v>0</v>
      </c>
      <c r="BN63" s="2">
        <f t="shared" si="192"/>
        <v>0</v>
      </c>
      <c r="BO63" s="2">
        <f t="shared" si="192"/>
        <v>0</v>
      </c>
      <c r="BP63" s="2">
        <f t="shared" ref="BP63:CG63" si="193">IF(AND(BP$25&gt;BP$24,IF(ISNA(BP$29),TRUE,BP50&gt;=BP$29),(BP56-BP50-(-BP$25*(BP50-BO50)/(BP$25-BO$25)))/((BP50-BO50)/(BP$25-BO$25))&lt;=BP$25,(BP56-BP50-(-BP$25*(BP50-BO50)/(BP$25-BO$25)))/((BP50-BO50)/(BP$25-BO$25))&gt;BO$25),(BP56-BP50-(-BP$25*(BP50-BO50)/(BP$25-BO$25)))/((BP50-BO50)/(BP$25-BO$25)),0)</f>
        <v>0</v>
      </c>
      <c r="BQ63" s="2">
        <f t="shared" si="193"/>
        <v>0</v>
      </c>
      <c r="BR63" s="2">
        <f t="shared" si="193"/>
        <v>0</v>
      </c>
      <c r="BS63" s="2">
        <f t="shared" si="193"/>
        <v>0</v>
      </c>
      <c r="BT63" s="2">
        <f t="shared" si="193"/>
        <v>0</v>
      </c>
      <c r="BU63" s="2">
        <f t="shared" si="193"/>
        <v>0</v>
      </c>
      <c r="BV63" s="2">
        <f t="shared" si="193"/>
        <v>0</v>
      </c>
      <c r="BW63" s="2">
        <f t="shared" si="193"/>
        <v>0</v>
      </c>
      <c r="BX63" s="2">
        <f t="shared" si="193"/>
        <v>0</v>
      </c>
      <c r="BY63" s="2">
        <f t="shared" si="193"/>
        <v>0</v>
      </c>
      <c r="BZ63" s="2">
        <f t="shared" si="193"/>
        <v>0</v>
      </c>
      <c r="CA63" s="2">
        <f t="shared" si="193"/>
        <v>0</v>
      </c>
      <c r="CB63" s="2">
        <f t="shared" si="193"/>
        <v>0</v>
      </c>
      <c r="CC63" s="2">
        <f t="shared" si="193"/>
        <v>0</v>
      </c>
      <c r="CD63" s="2">
        <f t="shared" si="193"/>
        <v>0</v>
      </c>
      <c r="CE63" s="2">
        <f t="shared" si="193"/>
        <v>0</v>
      </c>
      <c r="CF63" s="2">
        <f t="shared" si="193"/>
        <v>0</v>
      </c>
      <c r="CG63" s="2">
        <f t="shared" si="193"/>
        <v>0</v>
      </c>
      <c r="CH63" s="2" cm="1">
        <f t="array" aca="1" ref="CH63" ca="1">IF(MAX(D63:CG63),MAX(D63:CG63),INDIRECT(CI50))</f>
        <v>0.66266363347226287</v>
      </c>
    </row>
    <row r="64" spans="2:89">
      <c r="B64" s="2" t="s">
        <v>730</v>
      </c>
      <c r="D64" s="2">
        <f t="shared" ref="D64:BO64" si="194">IF(AND(D$25&gt;D$24,IF(ISNA(D$29),TRUE,D51&gt;=D$29),(D57-D51-(-D$25*(D51-C51)/(D$25-C$25)))/((D51-C51)/(D$25-C$25))&lt;=D$25,(D57-D51-(-D$25*(D51-C51)/(D$25-C$25)))/((D51-C51)/(D$25-C$25))&gt;C$25),(D57-D51-(-D$25*(D51-C51)/(D$25-C$25)))/((D51-C51)/(D$25-C$25)),0)</f>
        <v>0</v>
      </c>
      <c r="E64" s="2">
        <f t="shared" si="194"/>
        <v>0</v>
      </c>
      <c r="F64" s="2">
        <f t="shared" si="194"/>
        <v>0</v>
      </c>
      <c r="G64" s="2">
        <f t="shared" si="194"/>
        <v>0</v>
      </c>
      <c r="H64" s="2">
        <f t="shared" si="194"/>
        <v>0</v>
      </c>
      <c r="I64" s="2">
        <f t="shared" si="194"/>
        <v>0</v>
      </c>
      <c r="J64" s="2">
        <f t="shared" si="194"/>
        <v>0</v>
      </c>
      <c r="K64" s="2">
        <f t="shared" si="194"/>
        <v>0</v>
      </c>
      <c r="L64" s="2">
        <f t="shared" si="194"/>
        <v>0</v>
      </c>
      <c r="M64" s="2">
        <f t="shared" si="194"/>
        <v>0</v>
      </c>
      <c r="N64" s="2">
        <f t="shared" si="194"/>
        <v>0</v>
      </c>
      <c r="O64" s="2">
        <f t="shared" si="194"/>
        <v>0</v>
      </c>
      <c r="P64" s="2">
        <f t="shared" si="194"/>
        <v>0</v>
      </c>
      <c r="Q64" s="2">
        <f t="shared" si="194"/>
        <v>0</v>
      </c>
      <c r="R64" s="2">
        <f t="shared" si="194"/>
        <v>0</v>
      </c>
      <c r="S64" s="2">
        <f t="shared" si="194"/>
        <v>0</v>
      </c>
      <c r="T64" s="2">
        <f t="shared" si="194"/>
        <v>0</v>
      </c>
      <c r="U64" s="2">
        <f t="shared" si="194"/>
        <v>0</v>
      </c>
      <c r="V64" s="2">
        <f t="shared" si="194"/>
        <v>0</v>
      </c>
      <c r="W64" s="2">
        <f t="shared" si="194"/>
        <v>0</v>
      </c>
      <c r="X64" s="2">
        <f t="shared" si="194"/>
        <v>0</v>
      </c>
      <c r="Y64" s="2">
        <f t="shared" si="194"/>
        <v>0</v>
      </c>
      <c r="Z64" s="2">
        <f t="shared" si="194"/>
        <v>0</v>
      </c>
      <c r="AA64" s="2">
        <f t="shared" si="194"/>
        <v>0</v>
      </c>
      <c r="AB64" s="2">
        <f t="shared" si="194"/>
        <v>0</v>
      </c>
      <c r="AC64" s="2">
        <f t="shared" si="194"/>
        <v>0</v>
      </c>
      <c r="AD64" s="2">
        <f t="shared" si="194"/>
        <v>0</v>
      </c>
      <c r="AE64" s="2">
        <f t="shared" si="194"/>
        <v>0</v>
      </c>
      <c r="AF64" s="2">
        <f t="shared" si="194"/>
        <v>0</v>
      </c>
      <c r="AG64" s="2">
        <f t="shared" si="194"/>
        <v>0</v>
      </c>
      <c r="AH64" s="2">
        <f t="shared" si="194"/>
        <v>0</v>
      </c>
      <c r="AI64" s="2">
        <f t="shared" si="194"/>
        <v>0</v>
      </c>
      <c r="AJ64" s="2">
        <f t="shared" si="194"/>
        <v>0</v>
      </c>
      <c r="AK64" s="2">
        <f t="shared" si="194"/>
        <v>0</v>
      </c>
      <c r="AL64" s="2">
        <f t="shared" si="194"/>
        <v>0</v>
      </c>
      <c r="AM64" s="2">
        <f t="shared" si="194"/>
        <v>0</v>
      </c>
      <c r="AN64" s="2">
        <f t="shared" si="194"/>
        <v>0</v>
      </c>
      <c r="AO64" s="2">
        <f t="shared" si="194"/>
        <v>0</v>
      </c>
      <c r="AP64" s="2">
        <f t="shared" si="194"/>
        <v>0</v>
      </c>
      <c r="AQ64" s="2">
        <f t="shared" si="194"/>
        <v>0</v>
      </c>
      <c r="AR64" s="2">
        <f t="shared" si="194"/>
        <v>0</v>
      </c>
      <c r="AS64" s="2">
        <f t="shared" si="194"/>
        <v>0</v>
      </c>
      <c r="AT64" s="2">
        <f t="shared" si="194"/>
        <v>0</v>
      </c>
      <c r="AU64" s="2">
        <f t="shared" si="194"/>
        <v>0.63132154854287459</v>
      </c>
      <c r="AV64" s="2">
        <f t="shared" si="194"/>
        <v>0</v>
      </c>
      <c r="AW64" s="2">
        <f t="shared" si="194"/>
        <v>0</v>
      </c>
      <c r="AX64" s="2">
        <f t="shared" si="194"/>
        <v>0</v>
      </c>
      <c r="AY64" s="2">
        <f t="shared" si="194"/>
        <v>0</v>
      </c>
      <c r="AZ64" s="2">
        <f t="shared" si="194"/>
        <v>0</v>
      </c>
      <c r="BA64" s="2">
        <f t="shared" si="194"/>
        <v>0</v>
      </c>
      <c r="BB64" s="2">
        <f t="shared" si="194"/>
        <v>0</v>
      </c>
      <c r="BC64" s="2">
        <f t="shared" si="194"/>
        <v>0</v>
      </c>
      <c r="BD64" s="2">
        <f t="shared" si="194"/>
        <v>0</v>
      </c>
      <c r="BE64" s="2">
        <f t="shared" si="194"/>
        <v>0</v>
      </c>
      <c r="BF64" s="2">
        <f t="shared" si="194"/>
        <v>0</v>
      </c>
      <c r="BG64" s="2">
        <f t="shared" si="194"/>
        <v>0</v>
      </c>
      <c r="BH64" s="2">
        <f t="shared" si="194"/>
        <v>0</v>
      </c>
      <c r="BI64" s="2">
        <f t="shared" si="194"/>
        <v>0</v>
      </c>
      <c r="BJ64" s="2">
        <f t="shared" si="194"/>
        <v>0</v>
      </c>
      <c r="BK64" s="2">
        <f t="shared" si="194"/>
        <v>0</v>
      </c>
      <c r="BL64" s="2">
        <f t="shared" si="194"/>
        <v>0</v>
      </c>
      <c r="BM64" s="2">
        <f t="shared" si="194"/>
        <v>0</v>
      </c>
      <c r="BN64" s="2">
        <f t="shared" si="194"/>
        <v>0</v>
      </c>
      <c r="BO64" s="2">
        <f t="shared" si="194"/>
        <v>0</v>
      </c>
      <c r="BP64" s="2">
        <f t="shared" ref="BP64:CG64" si="195">IF(AND(BP$25&gt;BP$24,IF(ISNA(BP$29),TRUE,BP51&gt;=BP$29),(BP57-BP51-(-BP$25*(BP51-BO51)/(BP$25-BO$25)))/((BP51-BO51)/(BP$25-BO$25))&lt;=BP$25,(BP57-BP51-(-BP$25*(BP51-BO51)/(BP$25-BO$25)))/((BP51-BO51)/(BP$25-BO$25))&gt;BO$25),(BP57-BP51-(-BP$25*(BP51-BO51)/(BP$25-BO$25)))/((BP51-BO51)/(BP$25-BO$25)),0)</f>
        <v>0</v>
      </c>
      <c r="BQ64" s="2">
        <f t="shared" si="195"/>
        <v>0</v>
      </c>
      <c r="BR64" s="2">
        <f t="shared" si="195"/>
        <v>0</v>
      </c>
      <c r="BS64" s="2">
        <f t="shared" si="195"/>
        <v>0</v>
      </c>
      <c r="BT64" s="2">
        <f t="shared" si="195"/>
        <v>0</v>
      </c>
      <c r="BU64" s="2">
        <f t="shared" si="195"/>
        <v>0</v>
      </c>
      <c r="BV64" s="2">
        <f t="shared" si="195"/>
        <v>0</v>
      </c>
      <c r="BW64" s="2">
        <f t="shared" si="195"/>
        <v>0</v>
      </c>
      <c r="BX64" s="2">
        <f t="shared" si="195"/>
        <v>0</v>
      </c>
      <c r="BY64" s="2">
        <f t="shared" si="195"/>
        <v>0</v>
      </c>
      <c r="BZ64" s="2">
        <f t="shared" si="195"/>
        <v>0</v>
      </c>
      <c r="CA64" s="2">
        <f t="shared" si="195"/>
        <v>0</v>
      </c>
      <c r="CB64" s="2">
        <f t="shared" si="195"/>
        <v>0</v>
      </c>
      <c r="CC64" s="2">
        <f t="shared" si="195"/>
        <v>0</v>
      </c>
      <c r="CD64" s="2">
        <f t="shared" si="195"/>
        <v>0</v>
      </c>
      <c r="CE64" s="2">
        <f t="shared" si="195"/>
        <v>0</v>
      </c>
      <c r="CF64" s="2">
        <f t="shared" si="195"/>
        <v>0</v>
      </c>
      <c r="CG64" s="2">
        <f t="shared" si="195"/>
        <v>0</v>
      </c>
      <c r="CH64" s="2" cm="1">
        <f t="array" aca="1" ref="CH64" ca="1">IF(MAX(D64:CG64),MAX(D64:CG64),INDIRECT(CI51))</f>
        <v>0.63132154854287459</v>
      </c>
    </row>
    <row r="65" spans="2:86">
      <c r="B65" s="2" t="s">
        <v>731</v>
      </c>
      <c r="D65" s="2">
        <f t="shared" ref="D65:BO65" si="196">IF(AND(D$25&gt;D$24,IF(ISNA(D$29),TRUE,D52&gt;=D$29),(D58-D52-(-D$25*(D52-C52)/(D$25-C$25)))/((D52-C52)/(D$25-C$25))&lt;=D$25,(D58-D52-(-D$25*(D52-C52)/(D$25-C$25)))/((D52-C52)/(D$25-C$25))&gt;C$25),(D58-D52-(-D$25*(D52-C52)/(D$25-C$25)))/((D52-C52)/(D$25-C$25)),0)</f>
        <v>0</v>
      </c>
      <c r="E65" s="2">
        <f t="shared" si="196"/>
        <v>0</v>
      </c>
      <c r="F65" s="2">
        <f t="shared" si="196"/>
        <v>0</v>
      </c>
      <c r="G65" s="2">
        <f t="shared" si="196"/>
        <v>0</v>
      </c>
      <c r="H65" s="2">
        <f t="shared" si="196"/>
        <v>0</v>
      </c>
      <c r="I65" s="2">
        <f t="shared" si="196"/>
        <v>0</v>
      </c>
      <c r="J65" s="2">
        <f t="shared" si="196"/>
        <v>0</v>
      </c>
      <c r="K65" s="2">
        <f t="shared" si="196"/>
        <v>0</v>
      </c>
      <c r="L65" s="2">
        <f t="shared" si="196"/>
        <v>0</v>
      </c>
      <c r="M65" s="2">
        <f t="shared" si="196"/>
        <v>0</v>
      </c>
      <c r="N65" s="2">
        <f t="shared" si="196"/>
        <v>0</v>
      </c>
      <c r="O65" s="2">
        <f t="shared" si="196"/>
        <v>0</v>
      </c>
      <c r="P65" s="2">
        <f t="shared" si="196"/>
        <v>0</v>
      </c>
      <c r="Q65" s="2">
        <f t="shared" si="196"/>
        <v>0</v>
      </c>
      <c r="R65" s="2">
        <f t="shared" si="196"/>
        <v>0</v>
      </c>
      <c r="S65" s="2">
        <f t="shared" si="196"/>
        <v>0</v>
      </c>
      <c r="T65" s="2">
        <f t="shared" si="196"/>
        <v>0</v>
      </c>
      <c r="U65" s="2">
        <f t="shared" si="196"/>
        <v>0</v>
      </c>
      <c r="V65" s="2">
        <f t="shared" si="196"/>
        <v>0</v>
      </c>
      <c r="W65" s="2">
        <f t="shared" si="196"/>
        <v>0</v>
      </c>
      <c r="X65" s="2">
        <f t="shared" si="196"/>
        <v>0</v>
      </c>
      <c r="Y65" s="2">
        <f t="shared" si="196"/>
        <v>0</v>
      </c>
      <c r="Z65" s="2">
        <f t="shared" si="196"/>
        <v>0</v>
      </c>
      <c r="AA65" s="2">
        <f t="shared" si="196"/>
        <v>0</v>
      </c>
      <c r="AB65" s="2">
        <f t="shared" si="196"/>
        <v>0</v>
      </c>
      <c r="AC65" s="2">
        <f t="shared" si="196"/>
        <v>0</v>
      </c>
      <c r="AD65" s="2">
        <f t="shared" si="196"/>
        <v>0</v>
      </c>
      <c r="AE65" s="2">
        <f t="shared" si="196"/>
        <v>0</v>
      </c>
      <c r="AF65" s="2">
        <f t="shared" si="196"/>
        <v>0</v>
      </c>
      <c r="AG65" s="2">
        <f t="shared" si="196"/>
        <v>0</v>
      </c>
      <c r="AH65" s="2">
        <f t="shared" si="196"/>
        <v>0</v>
      </c>
      <c r="AI65" s="2">
        <f t="shared" si="196"/>
        <v>0</v>
      </c>
      <c r="AJ65" s="2">
        <f t="shared" si="196"/>
        <v>0</v>
      </c>
      <c r="AK65" s="2">
        <f t="shared" si="196"/>
        <v>0</v>
      </c>
      <c r="AL65" s="2">
        <f t="shared" si="196"/>
        <v>0</v>
      </c>
      <c r="AM65" s="2">
        <f t="shared" si="196"/>
        <v>0</v>
      </c>
      <c r="AN65" s="2">
        <f t="shared" si="196"/>
        <v>0</v>
      </c>
      <c r="AO65" s="2">
        <f t="shared" si="196"/>
        <v>0</v>
      </c>
      <c r="AP65" s="2">
        <f t="shared" si="196"/>
        <v>0</v>
      </c>
      <c r="AQ65" s="2">
        <f t="shared" si="196"/>
        <v>0</v>
      </c>
      <c r="AR65" s="2">
        <f t="shared" si="196"/>
        <v>0</v>
      </c>
      <c r="AS65" s="2">
        <f t="shared" si="196"/>
        <v>0.59607195676816949</v>
      </c>
      <c r="AT65" s="2">
        <f t="shared" si="196"/>
        <v>0</v>
      </c>
      <c r="AU65" s="2">
        <f t="shared" si="196"/>
        <v>0</v>
      </c>
      <c r="AV65" s="2">
        <f t="shared" si="196"/>
        <v>0</v>
      </c>
      <c r="AW65" s="2">
        <f t="shared" si="196"/>
        <v>0</v>
      </c>
      <c r="AX65" s="2">
        <f t="shared" si="196"/>
        <v>0</v>
      </c>
      <c r="AY65" s="2">
        <f t="shared" si="196"/>
        <v>0</v>
      </c>
      <c r="AZ65" s="2">
        <f t="shared" si="196"/>
        <v>0</v>
      </c>
      <c r="BA65" s="2">
        <f t="shared" si="196"/>
        <v>0</v>
      </c>
      <c r="BB65" s="2">
        <f t="shared" si="196"/>
        <v>0</v>
      </c>
      <c r="BC65" s="2">
        <f t="shared" si="196"/>
        <v>0</v>
      </c>
      <c r="BD65" s="2">
        <f t="shared" si="196"/>
        <v>0</v>
      </c>
      <c r="BE65" s="2">
        <f t="shared" si="196"/>
        <v>0</v>
      </c>
      <c r="BF65" s="2">
        <f t="shared" si="196"/>
        <v>0</v>
      </c>
      <c r="BG65" s="2">
        <f t="shared" si="196"/>
        <v>0</v>
      </c>
      <c r="BH65" s="2">
        <f t="shared" si="196"/>
        <v>0</v>
      </c>
      <c r="BI65" s="2">
        <f t="shared" si="196"/>
        <v>0</v>
      </c>
      <c r="BJ65" s="2">
        <f t="shared" si="196"/>
        <v>0</v>
      </c>
      <c r="BK65" s="2">
        <f t="shared" si="196"/>
        <v>0</v>
      </c>
      <c r="BL65" s="2">
        <f t="shared" si="196"/>
        <v>0</v>
      </c>
      <c r="BM65" s="2">
        <f t="shared" si="196"/>
        <v>0</v>
      </c>
      <c r="BN65" s="2">
        <f t="shared" si="196"/>
        <v>0</v>
      </c>
      <c r="BO65" s="2">
        <f t="shared" si="196"/>
        <v>0</v>
      </c>
      <c r="BP65" s="2">
        <f t="shared" ref="BP65:CG65" si="197">IF(AND(BP$25&gt;BP$24,IF(ISNA(BP$29),TRUE,BP52&gt;=BP$29),(BP58-BP52-(-BP$25*(BP52-BO52)/(BP$25-BO$25)))/((BP52-BO52)/(BP$25-BO$25))&lt;=BP$25,(BP58-BP52-(-BP$25*(BP52-BO52)/(BP$25-BO$25)))/((BP52-BO52)/(BP$25-BO$25))&gt;BO$25),(BP58-BP52-(-BP$25*(BP52-BO52)/(BP$25-BO$25)))/((BP52-BO52)/(BP$25-BO$25)),0)</f>
        <v>0</v>
      </c>
      <c r="BQ65" s="2">
        <f t="shared" si="197"/>
        <v>0</v>
      </c>
      <c r="BR65" s="2">
        <f t="shared" si="197"/>
        <v>0</v>
      </c>
      <c r="BS65" s="2">
        <f t="shared" si="197"/>
        <v>0</v>
      </c>
      <c r="BT65" s="2">
        <f t="shared" si="197"/>
        <v>0</v>
      </c>
      <c r="BU65" s="2">
        <f t="shared" si="197"/>
        <v>0</v>
      </c>
      <c r="BV65" s="2">
        <f t="shared" si="197"/>
        <v>0</v>
      </c>
      <c r="BW65" s="2">
        <f t="shared" si="197"/>
        <v>0</v>
      </c>
      <c r="BX65" s="2">
        <f t="shared" si="197"/>
        <v>0</v>
      </c>
      <c r="BY65" s="2">
        <f t="shared" si="197"/>
        <v>0</v>
      </c>
      <c r="BZ65" s="2">
        <f t="shared" si="197"/>
        <v>0</v>
      </c>
      <c r="CA65" s="2">
        <f t="shared" si="197"/>
        <v>0</v>
      </c>
      <c r="CB65" s="2">
        <f t="shared" si="197"/>
        <v>0</v>
      </c>
      <c r="CC65" s="2">
        <f t="shared" si="197"/>
        <v>0</v>
      </c>
      <c r="CD65" s="2">
        <f t="shared" si="197"/>
        <v>0</v>
      </c>
      <c r="CE65" s="2">
        <f t="shared" si="197"/>
        <v>0</v>
      </c>
      <c r="CF65" s="2">
        <f t="shared" si="197"/>
        <v>0</v>
      </c>
      <c r="CG65" s="2">
        <f t="shared" si="197"/>
        <v>0</v>
      </c>
      <c r="CH65" s="2" cm="1">
        <f t="array" aca="1" ref="CH65" ca="1">IF(MAX(D65:CG65),MAX(D65:CG65),INDIRECT(CI52))</f>
        <v>0.59607195676816949</v>
      </c>
    </row>
    <row r="67" spans="2:86">
      <c r="B67" s="2" t="s">
        <v>688</v>
      </c>
      <c r="C67" s="2">
        <f>2*C$10*((C$5+C$11*C$6)/C$11)/(SQRT(2)*C$9*SIN(C33))</f>
        <v>0.99807854321003453</v>
      </c>
      <c r="D67" s="2">
        <f t="shared" ref="D67:BO67" si="198">2*D$10*((D$5+D$11*D$6)/D$11)/(SQRT(2)*D$9*SIN(D33))</f>
        <v>0.99807854321003453</v>
      </c>
      <c r="E67" s="2">
        <f t="shared" si="198"/>
        <v>0.99807854321003453</v>
      </c>
      <c r="F67" s="2">
        <f t="shared" si="198"/>
        <v>0.99807854321003453</v>
      </c>
      <c r="G67" s="2">
        <f t="shared" si="198"/>
        <v>0.99807854321003453</v>
      </c>
      <c r="H67" s="2">
        <f t="shared" si="198"/>
        <v>0.99807854321003453</v>
      </c>
      <c r="I67" s="2">
        <f t="shared" si="198"/>
        <v>0.99807854321003453</v>
      </c>
      <c r="J67" s="2">
        <f t="shared" si="198"/>
        <v>0.99807854321003453</v>
      </c>
      <c r="K67" s="2">
        <f t="shared" si="198"/>
        <v>0.99807854321003453</v>
      </c>
      <c r="L67" s="2">
        <f t="shared" si="198"/>
        <v>0.99807854321003453</v>
      </c>
      <c r="M67" s="2">
        <f t="shared" si="198"/>
        <v>0.99807854321003453</v>
      </c>
      <c r="N67" s="2">
        <f t="shared" si="198"/>
        <v>0.99807854321003453</v>
      </c>
      <c r="O67" s="2">
        <f t="shared" si="198"/>
        <v>0.99807854321003453</v>
      </c>
      <c r="P67" s="2">
        <f t="shared" si="198"/>
        <v>0.99807854321003453</v>
      </c>
      <c r="Q67" s="2">
        <f t="shared" si="198"/>
        <v>0.99807854321003453</v>
      </c>
      <c r="R67" s="2">
        <f t="shared" si="198"/>
        <v>0.99807854321003453</v>
      </c>
      <c r="S67" s="2">
        <f t="shared" si="198"/>
        <v>0.99807854321003453</v>
      </c>
      <c r="T67" s="2">
        <f t="shared" si="198"/>
        <v>0.99807854321003453</v>
      </c>
      <c r="U67" s="2">
        <f t="shared" si="198"/>
        <v>0.99807854321003453</v>
      </c>
      <c r="V67" s="2">
        <f t="shared" si="198"/>
        <v>0.99807854321003453</v>
      </c>
      <c r="W67" s="2">
        <f t="shared" si="198"/>
        <v>0.99807854321003453</v>
      </c>
      <c r="X67" s="2">
        <f t="shared" si="198"/>
        <v>0.99807854321003453</v>
      </c>
      <c r="Y67" s="2">
        <f t="shared" si="198"/>
        <v>0.99807854321003453</v>
      </c>
      <c r="Z67" s="2">
        <f t="shared" si="198"/>
        <v>0.99807854321003453</v>
      </c>
      <c r="AA67" s="2">
        <f t="shared" si="198"/>
        <v>0.99807854321003453</v>
      </c>
      <c r="AB67" s="2">
        <f t="shared" si="198"/>
        <v>0.99807854321003453</v>
      </c>
      <c r="AC67" s="2">
        <f t="shared" si="198"/>
        <v>0.99807854321003453</v>
      </c>
      <c r="AD67" s="2">
        <f t="shared" si="198"/>
        <v>0.99807854321003453</v>
      </c>
      <c r="AE67" s="2">
        <f t="shared" si="198"/>
        <v>0.99807854321003453</v>
      </c>
      <c r="AF67" s="2">
        <f t="shared" si="198"/>
        <v>0.99807854321003453</v>
      </c>
      <c r="AG67" s="2">
        <f t="shared" si="198"/>
        <v>0.99807854321003453</v>
      </c>
      <c r="AH67" s="2">
        <f t="shared" si="198"/>
        <v>0.99807854321003453</v>
      </c>
      <c r="AI67" s="2">
        <f t="shared" si="198"/>
        <v>0.99807854321003453</v>
      </c>
      <c r="AJ67" s="2">
        <f t="shared" si="198"/>
        <v>0.99807854321003453</v>
      </c>
      <c r="AK67" s="2">
        <f t="shared" si="198"/>
        <v>0.99807854321003453</v>
      </c>
      <c r="AL67" s="2">
        <f t="shared" si="198"/>
        <v>0.99807854321003453</v>
      </c>
      <c r="AM67" s="2">
        <f t="shared" si="198"/>
        <v>0.99807854321003453</v>
      </c>
      <c r="AN67" s="2">
        <f t="shared" si="198"/>
        <v>0.99807854321003453</v>
      </c>
      <c r="AO67" s="2">
        <f t="shared" si="198"/>
        <v>0.99807854321003453</v>
      </c>
      <c r="AP67" s="2">
        <f t="shared" si="198"/>
        <v>0.99807854321003453</v>
      </c>
      <c r="AQ67" s="2">
        <f t="shared" si="198"/>
        <v>0.99807854321003453</v>
      </c>
      <c r="AR67" s="2">
        <f t="shared" si="198"/>
        <v>0.99807854321003453</v>
      </c>
      <c r="AS67" s="2">
        <f t="shared" si="198"/>
        <v>0.99807854321003453</v>
      </c>
      <c r="AT67" s="2">
        <f t="shared" si="198"/>
        <v>0.99807854321003453</v>
      </c>
      <c r="AU67" s="2">
        <f t="shared" si="198"/>
        <v>0.99807854321003453</v>
      </c>
      <c r="AV67" s="2">
        <f t="shared" si="198"/>
        <v>0.99807854321003453</v>
      </c>
      <c r="AW67" s="2">
        <f t="shared" si="198"/>
        <v>0.99807854321003453</v>
      </c>
      <c r="AX67" s="2">
        <f t="shared" si="198"/>
        <v>0.99807854321003453</v>
      </c>
      <c r="AY67" s="2">
        <f t="shared" si="198"/>
        <v>0.99807854321003453</v>
      </c>
      <c r="AZ67" s="2">
        <f t="shared" si="198"/>
        <v>0.99807854321003453</v>
      </c>
      <c r="BA67" s="2">
        <f t="shared" si="198"/>
        <v>0.99807854321003453</v>
      </c>
      <c r="BB67" s="2">
        <f t="shared" si="198"/>
        <v>0.99807854321003453</v>
      </c>
      <c r="BC67" s="2">
        <f t="shared" si="198"/>
        <v>0.99807854321003453</v>
      </c>
      <c r="BD67" s="2">
        <f t="shared" si="198"/>
        <v>0.99807854321003453</v>
      </c>
      <c r="BE67" s="2">
        <f t="shared" si="198"/>
        <v>0.99807854321003453</v>
      </c>
      <c r="BF67" s="2">
        <f t="shared" si="198"/>
        <v>0.99807854321003453</v>
      </c>
      <c r="BG67" s="2">
        <f t="shared" si="198"/>
        <v>0.99807854321003453</v>
      </c>
      <c r="BH67" s="2">
        <f t="shared" si="198"/>
        <v>0.99807854321003453</v>
      </c>
      <c r="BI67" s="2">
        <f t="shared" si="198"/>
        <v>0.99807854321003453</v>
      </c>
      <c r="BJ67" s="2">
        <f t="shared" si="198"/>
        <v>0.99807854321003453</v>
      </c>
      <c r="BK67" s="2">
        <f t="shared" si="198"/>
        <v>0.99807854321003453</v>
      </c>
      <c r="BL67" s="2">
        <f t="shared" si="198"/>
        <v>0.99807854321003453</v>
      </c>
      <c r="BM67" s="2">
        <f t="shared" si="198"/>
        <v>0.99807854321003453</v>
      </c>
      <c r="BN67" s="2">
        <f t="shared" si="198"/>
        <v>0.99807854321003453</v>
      </c>
      <c r="BO67" s="2">
        <f t="shared" si="198"/>
        <v>0.99807854321003453</v>
      </c>
      <c r="BP67" s="2">
        <f t="shared" ref="BP67:CG67" si="199">2*BP$10*((BP$5+BP$11*BP$6)/BP$11)/(SQRT(2)*BP$9*SIN(BP33))</f>
        <v>0.99807854321003453</v>
      </c>
      <c r="BQ67" s="2">
        <f t="shared" si="199"/>
        <v>0.99807854321003453</v>
      </c>
      <c r="BR67" s="2">
        <f t="shared" si="199"/>
        <v>0.99807854321003453</v>
      </c>
      <c r="BS67" s="2">
        <f t="shared" si="199"/>
        <v>0.99807854321003453</v>
      </c>
      <c r="BT67" s="2">
        <f t="shared" si="199"/>
        <v>0.99807854321003453</v>
      </c>
      <c r="BU67" s="2">
        <f t="shared" si="199"/>
        <v>0.99807854321003453</v>
      </c>
      <c r="BV67" s="2">
        <f t="shared" si="199"/>
        <v>0.99807854321003453</v>
      </c>
      <c r="BW67" s="2">
        <f t="shared" si="199"/>
        <v>0.99807854321003453</v>
      </c>
      <c r="BX67" s="2">
        <f t="shared" si="199"/>
        <v>0.99807854321003453</v>
      </c>
      <c r="BY67" s="2">
        <f t="shared" si="199"/>
        <v>0.99807854321003453</v>
      </c>
      <c r="BZ67" s="2">
        <f t="shared" si="199"/>
        <v>0.99807854321003453</v>
      </c>
      <c r="CA67" s="2">
        <f t="shared" si="199"/>
        <v>0.99807854321003453</v>
      </c>
      <c r="CB67" s="2">
        <f t="shared" si="199"/>
        <v>0.99807854321003453</v>
      </c>
      <c r="CC67" s="2">
        <f t="shared" si="199"/>
        <v>0.99807854321003453</v>
      </c>
      <c r="CD67" s="2">
        <f t="shared" si="199"/>
        <v>0.99807854321003453</v>
      </c>
      <c r="CE67" s="2">
        <f t="shared" si="199"/>
        <v>0.99807854321003453</v>
      </c>
      <c r="CF67" s="2">
        <f t="shared" si="199"/>
        <v>0.99807854321003453</v>
      </c>
      <c r="CG67" s="2">
        <f t="shared" si="199"/>
        <v>0.99807854321003453</v>
      </c>
    </row>
    <row r="68" spans="2:86">
      <c r="B68" s="2" t="s">
        <v>732</v>
      </c>
      <c r="C68" s="2">
        <f>2*C$10*((C$5+C$11*C$6)/C$11)/(SQRT(2)*C$9*SIN(C34))</f>
        <v>1.0332869419637447</v>
      </c>
      <c r="D68" s="2">
        <f t="shared" ref="D68:BN68" si="200">2*D$10*((D$5+D$11*D$6)/D$11)/(SQRT(2)*D$9*SIN(D34))</f>
        <v>1.0332869419637447</v>
      </c>
      <c r="E68" s="2">
        <f t="shared" si="200"/>
        <v>1.0332869419637447</v>
      </c>
      <c r="F68" s="2">
        <f t="shared" si="200"/>
        <v>1.0332869419637447</v>
      </c>
      <c r="G68" s="2">
        <f t="shared" si="200"/>
        <v>1.0332869419637447</v>
      </c>
      <c r="H68" s="2">
        <f t="shared" si="200"/>
        <v>1.0332869419637447</v>
      </c>
      <c r="I68" s="2">
        <f t="shared" si="200"/>
        <v>1.0332869419637447</v>
      </c>
      <c r="J68" s="2">
        <f t="shared" si="200"/>
        <v>1.0332869419637447</v>
      </c>
      <c r="K68" s="2">
        <f t="shared" si="200"/>
        <v>1.0332869419637447</v>
      </c>
      <c r="L68" s="2">
        <f t="shared" si="200"/>
        <v>1.0332869419637447</v>
      </c>
      <c r="M68" s="2">
        <f t="shared" si="200"/>
        <v>1.0332869419637447</v>
      </c>
      <c r="N68" s="2">
        <f t="shared" si="200"/>
        <v>1.0332869419637447</v>
      </c>
      <c r="O68" s="2">
        <f t="shared" si="200"/>
        <v>1.0332869419637447</v>
      </c>
      <c r="P68" s="2">
        <f t="shared" si="200"/>
        <v>1.0332869419637447</v>
      </c>
      <c r="Q68" s="2">
        <f t="shared" si="200"/>
        <v>1.0332869419637447</v>
      </c>
      <c r="R68" s="2">
        <f t="shared" si="200"/>
        <v>1.0332869419637447</v>
      </c>
      <c r="S68" s="2">
        <f t="shared" si="200"/>
        <v>1.0332869419637447</v>
      </c>
      <c r="T68" s="2">
        <f t="shared" si="200"/>
        <v>1.0332869419637447</v>
      </c>
      <c r="U68" s="2">
        <f t="shared" si="200"/>
        <v>1.0332869419637447</v>
      </c>
      <c r="V68" s="2">
        <f t="shared" si="200"/>
        <v>1.0332869419637447</v>
      </c>
      <c r="W68" s="2">
        <f t="shared" si="200"/>
        <v>1.0332869419637447</v>
      </c>
      <c r="X68" s="2">
        <f t="shared" si="200"/>
        <v>1.0332869419637447</v>
      </c>
      <c r="Y68" s="2">
        <f t="shared" si="200"/>
        <v>1.0332869419637447</v>
      </c>
      <c r="Z68" s="2">
        <f t="shared" si="200"/>
        <v>1.0332869419637447</v>
      </c>
      <c r="AA68" s="2">
        <f t="shared" si="200"/>
        <v>1.0332869419637447</v>
      </c>
      <c r="AB68" s="2">
        <f t="shared" si="200"/>
        <v>1.0332869419637447</v>
      </c>
      <c r="AC68" s="2">
        <f t="shared" si="200"/>
        <v>1.0332869419637447</v>
      </c>
      <c r="AD68" s="2">
        <f t="shared" si="200"/>
        <v>1.0332869419637447</v>
      </c>
      <c r="AE68" s="2">
        <f t="shared" si="200"/>
        <v>1.0332869419637447</v>
      </c>
      <c r="AF68" s="2">
        <f t="shared" si="200"/>
        <v>1.0332869419637447</v>
      </c>
      <c r="AG68" s="2">
        <f t="shared" si="200"/>
        <v>1.0332869419637447</v>
      </c>
      <c r="AH68" s="2">
        <f t="shared" si="200"/>
        <v>1.0332869419637447</v>
      </c>
      <c r="AI68" s="2">
        <f t="shared" si="200"/>
        <v>1.0332869419637447</v>
      </c>
      <c r="AJ68" s="2">
        <f t="shared" si="200"/>
        <v>1.0332869419637447</v>
      </c>
      <c r="AK68" s="2">
        <f t="shared" si="200"/>
        <v>1.0332869419637447</v>
      </c>
      <c r="AL68" s="2">
        <f t="shared" si="200"/>
        <v>1.0332869419637447</v>
      </c>
      <c r="AM68" s="2">
        <f t="shared" si="200"/>
        <v>1.0332869419637447</v>
      </c>
      <c r="AN68" s="2">
        <f t="shared" si="200"/>
        <v>1.0332869419637447</v>
      </c>
      <c r="AO68" s="2">
        <f t="shared" si="200"/>
        <v>1.0332869419637447</v>
      </c>
      <c r="AP68" s="2">
        <f t="shared" si="200"/>
        <v>1.0332869419637447</v>
      </c>
      <c r="AQ68" s="2">
        <f t="shared" si="200"/>
        <v>1.0332869419637447</v>
      </c>
      <c r="AR68" s="2">
        <f t="shared" si="200"/>
        <v>1.0332869419637447</v>
      </c>
      <c r="AS68" s="2">
        <f t="shared" si="200"/>
        <v>1.0332869419637447</v>
      </c>
      <c r="AT68" s="2">
        <f t="shared" si="200"/>
        <v>1.0332869419637447</v>
      </c>
      <c r="AU68" s="2">
        <f t="shared" si="200"/>
        <v>1.0332869419637447</v>
      </c>
      <c r="AV68" s="2">
        <f t="shared" si="200"/>
        <v>1.0332869419637447</v>
      </c>
      <c r="AW68" s="2">
        <f t="shared" si="200"/>
        <v>1.0332869419637447</v>
      </c>
      <c r="AX68" s="2">
        <f t="shared" si="200"/>
        <v>1.0332869419637447</v>
      </c>
      <c r="AY68" s="2">
        <f t="shared" si="200"/>
        <v>1.0332869419637447</v>
      </c>
      <c r="AZ68" s="2">
        <f t="shared" si="200"/>
        <v>1.0332869419637447</v>
      </c>
      <c r="BA68" s="2">
        <f t="shared" si="200"/>
        <v>1.0332869419637447</v>
      </c>
      <c r="BB68" s="2">
        <f t="shared" si="200"/>
        <v>1.0332869419637447</v>
      </c>
      <c r="BC68" s="2">
        <f t="shared" si="200"/>
        <v>1.0332869419637447</v>
      </c>
      <c r="BD68" s="2">
        <f t="shared" si="200"/>
        <v>1.0332869419637447</v>
      </c>
      <c r="BE68" s="2">
        <f t="shared" si="200"/>
        <v>1.0332869419637447</v>
      </c>
      <c r="BF68" s="2">
        <f t="shared" si="200"/>
        <v>1.0332869419637447</v>
      </c>
      <c r="BG68" s="2">
        <f t="shared" si="200"/>
        <v>1.0332869419637447</v>
      </c>
      <c r="BH68" s="2">
        <f t="shared" si="200"/>
        <v>1.0332869419637447</v>
      </c>
      <c r="BI68" s="2">
        <f t="shared" si="200"/>
        <v>1.0332869419637447</v>
      </c>
      <c r="BJ68" s="2">
        <f t="shared" si="200"/>
        <v>1.0332869419637447</v>
      </c>
      <c r="BK68" s="2">
        <f t="shared" si="200"/>
        <v>1.0332869419637447</v>
      </c>
      <c r="BL68" s="2">
        <f t="shared" si="200"/>
        <v>1.0332869419637447</v>
      </c>
      <c r="BM68" s="2">
        <f t="shared" si="200"/>
        <v>1.0332869419637447</v>
      </c>
      <c r="BN68" s="2">
        <f t="shared" si="200"/>
        <v>1.0332869419637447</v>
      </c>
      <c r="BO68" s="2">
        <f t="shared" ref="BO68:CG68" si="201">2*BO$10*((BO$5+BO$11*BO$6)/BO$11)/(SQRT(2)*BO$9*SIN(BO34))</f>
        <v>1.0332869419637447</v>
      </c>
      <c r="BP68" s="2">
        <f t="shared" si="201"/>
        <v>1.0332869419637447</v>
      </c>
      <c r="BQ68" s="2">
        <f t="shared" si="201"/>
        <v>1.0332869419637447</v>
      </c>
      <c r="BR68" s="2">
        <f t="shared" si="201"/>
        <v>1.0332869419637447</v>
      </c>
      <c r="BS68" s="2">
        <f t="shared" si="201"/>
        <v>1.0332869419637447</v>
      </c>
      <c r="BT68" s="2">
        <f t="shared" si="201"/>
        <v>1.0332869419637447</v>
      </c>
      <c r="BU68" s="2">
        <f t="shared" si="201"/>
        <v>1.0332869419637447</v>
      </c>
      <c r="BV68" s="2">
        <f t="shared" si="201"/>
        <v>1.0332869419637447</v>
      </c>
      <c r="BW68" s="2">
        <f t="shared" si="201"/>
        <v>1.0332869419637447</v>
      </c>
      <c r="BX68" s="2">
        <f t="shared" si="201"/>
        <v>1.0332869419637447</v>
      </c>
      <c r="BY68" s="2">
        <f t="shared" si="201"/>
        <v>1.0332869419637447</v>
      </c>
      <c r="BZ68" s="2">
        <f t="shared" si="201"/>
        <v>1.0332869419637447</v>
      </c>
      <c r="CA68" s="2">
        <f t="shared" si="201"/>
        <v>1.0332869419637447</v>
      </c>
      <c r="CB68" s="2">
        <f t="shared" si="201"/>
        <v>1.0332869419637447</v>
      </c>
      <c r="CC68" s="2">
        <f t="shared" si="201"/>
        <v>1.0332869419637447</v>
      </c>
      <c r="CD68" s="2">
        <f t="shared" si="201"/>
        <v>1.0332869419637447</v>
      </c>
      <c r="CE68" s="2">
        <f t="shared" si="201"/>
        <v>1.0332869419637447</v>
      </c>
      <c r="CF68" s="2">
        <f t="shared" si="201"/>
        <v>1.0332869419637447</v>
      </c>
      <c r="CG68" s="2">
        <f t="shared" si="201"/>
        <v>1.0332869419637447</v>
      </c>
    </row>
    <row r="69" spans="2:86">
      <c r="B69" s="2" t="s">
        <v>733</v>
      </c>
      <c r="C69" s="2">
        <f t="shared" ref="C69:BN69" si="202">2*C$10*((C$5+C$11*C$6)/C$11)/(SQRT(2)*C$9*SIN(C35))</f>
        <v>1.1524818311894061</v>
      </c>
      <c r="D69" s="2">
        <f t="shared" si="202"/>
        <v>1.1524818311894061</v>
      </c>
      <c r="E69" s="2">
        <f t="shared" si="202"/>
        <v>1.1524818311894061</v>
      </c>
      <c r="F69" s="2">
        <f t="shared" si="202"/>
        <v>1.1524818311894061</v>
      </c>
      <c r="G69" s="2">
        <f t="shared" si="202"/>
        <v>1.1524818311894061</v>
      </c>
      <c r="H69" s="2">
        <f t="shared" si="202"/>
        <v>1.1524818311894061</v>
      </c>
      <c r="I69" s="2">
        <f t="shared" si="202"/>
        <v>1.1524818311894061</v>
      </c>
      <c r="J69" s="2">
        <f t="shared" si="202"/>
        <v>1.1524818311894061</v>
      </c>
      <c r="K69" s="2">
        <f t="shared" si="202"/>
        <v>1.1524818311894061</v>
      </c>
      <c r="L69" s="2">
        <f t="shared" si="202"/>
        <v>1.1524818311894061</v>
      </c>
      <c r="M69" s="2">
        <f t="shared" si="202"/>
        <v>1.1524818311894061</v>
      </c>
      <c r="N69" s="2">
        <f t="shared" si="202"/>
        <v>1.1524818311894061</v>
      </c>
      <c r="O69" s="2">
        <f t="shared" si="202"/>
        <v>1.1524818311894061</v>
      </c>
      <c r="P69" s="2">
        <f t="shared" si="202"/>
        <v>1.1524818311894061</v>
      </c>
      <c r="Q69" s="2">
        <f t="shared" si="202"/>
        <v>1.1524818311894061</v>
      </c>
      <c r="R69" s="2">
        <f t="shared" si="202"/>
        <v>1.1524818311894061</v>
      </c>
      <c r="S69" s="2">
        <f t="shared" si="202"/>
        <v>1.1524818311894061</v>
      </c>
      <c r="T69" s="2">
        <f t="shared" si="202"/>
        <v>1.1524818311894061</v>
      </c>
      <c r="U69" s="2">
        <f t="shared" si="202"/>
        <v>1.1524818311894061</v>
      </c>
      <c r="V69" s="2">
        <f t="shared" si="202"/>
        <v>1.1524818311894061</v>
      </c>
      <c r="W69" s="2">
        <f t="shared" si="202"/>
        <v>1.1524818311894061</v>
      </c>
      <c r="X69" s="2">
        <f t="shared" si="202"/>
        <v>1.1524818311894061</v>
      </c>
      <c r="Y69" s="2">
        <f t="shared" si="202"/>
        <v>1.1524818311894061</v>
      </c>
      <c r="Z69" s="2">
        <f t="shared" si="202"/>
        <v>1.1524818311894061</v>
      </c>
      <c r="AA69" s="2">
        <f t="shared" si="202"/>
        <v>1.1524818311894061</v>
      </c>
      <c r="AB69" s="2">
        <f t="shared" si="202"/>
        <v>1.1524818311894061</v>
      </c>
      <c r="AC69" s="2">
        <f t="shared" si="202"/>
        <v>1.1524818311894061</v>
      </c>
      <c r="AD69" s="2">
        <f t="shared" si="202"/>
        <v>1.1524818311894061</v>
      </c>
      <c r="AE69" s="2">
        <f t="shared" si="202"/>
        <v>1.1524818311894061</v>
      </c>
      <c r="AF69" s="2">
        <f t="shared" si="202"/>
        <v>1.1524818311894061</v>
      </c>
      <c r="AG69" s="2">
        <f t="shared" si="202"/>
        <v>1.1524818311894061</v>
      </c>
      <c r="AH69" s="2">
        <f t="shared" si="202"/>
        <v>1.1524818311894061</v>
      </c>
      <c r="AI69" s="2">
        <f t="shared" si="202"/>
        <v>1.1524818311894061</v>
      </c>
      <c r="AJ69" s="2">
        <f t="shared" si="202"/>
        <v>1.1524818311894061</v>
      </c>
      <c r="AK69" s="2">
        <f t="shared" si="202"/>
        <v>1.1524818311894061</v>
      </c>
      <c r="AL69" s="2">
        <f t="shared" si="202"/>
        <v>1.1524818311894061</v>
      </c>
      <c r="AM69" s="2">
        <f t="shared" si="202"/>
        <v>1.1524818311894061</v>
      </c>
      <c r="AN69" s="2">
        <f t="shared" si="202"/>
        <v>1.1524818311894061</v>
      </c>
      <c r="AO69" s="2">
        <f t="shared" si="202"/>
        <v>1.1524818311894061</v>
      </c>
      <c r="AP69" s="2">
        <f t="shared" si="202"/>
        <v>1.1524818311894061</v>
      </c>
      <c r="AQ69" s="2">
        <f t="shared" si="202"/>
        <v>1.1524818311894061</v>
      </c>
      <c r="AR69" s="2">
        <f t="shared" si="202"/>
        <v>1.1524818311894061</v>
      </c>
      <c r="AS69" s="2">
        <f t="shared" si="202"/>
        <v>1.1524818311894061</v>
      </c>
      <c r="AT69" s="2">
        <f t="shared" si="202"/>
        <v>1.1524818311894061</v>
      </c>
      <c r="AU69" s="2">
        <f t="shared" si="202"/>
        <v>1.1524818311894061</v>
      </c>
      <c r="AV69" s="2">
        <f t="shared" si="202"/>
        <v>1.1524818311894061</v>
      </c>
      <c r="AW69" s="2">
        <f t="shared" si="202"/>
        <v>1.1524818311894061</v>
      </c>
      <c r="AX69" s="2">
        <f t="shared" si="202"/>
        <v>1.1524818311894061</v>
      </c>
      <c r="AY69" s="2">
        <f t="shared" si="202"/>
        <v>1.1524818311894061</v>
      </c>
      <c r="AZ69" s="2">
        <f t="shared" si="202"/>
        <v>1.1524818311894061</v>
      </c>
      <c r="BA69" s="2">
        <f t="shared" si="202"/>
        <v>1.1524818311894061</v>
      </c>
      <c r="BB69" s="2">
        <f t="shared" si="202"/>
        <v>1.1524818311894061</v>
      </c>
      <c r="BC69" s="2">
        <f t="shared" si="202"/>
        <v>1.1524818311894061</v>
      </c>
      <c r="BD69" s="2">
        <f t="shared" si="202"/>
        <v>1.1524818311894061</v>
      </c>
      <c r="BE69" s="2">
        <f t="shared" si="202"/>
        <v>1.1524818311894061</v>
      </c>
      <c r="BF69" s="2">
        <f t="shared" si="202"/>
        <v>1.1524818311894061</v>
      </c>
      <c r="BG69" s="2">
        <f t="shared" si="202"/>
        <v>1.1524818311894061</v>
      </c>
      <c r="BH69" s="2">
        <f t="shared" si="202"/>
        <v>1.1524818311894061</v>
      </c>
      <c r="BI69" s="2">
        <f t="shared" si="202"/>
        <v>1.1524818311894061</v>
      </c>
      <c r="BJ69" s="2">
        <f t="shared" si="202"/>
        <v>1.1524818311894061</v>
      </c>
      <c r="BK69" s="2">
        <f t="shared" si="202"/>
        <v>1.1524818311894061</v>
      </c>
      <c r="BL69" s="2">
        <f t="shared" si="202"/>
        <v>1.1524818311894061</v>
      </c>
      <c r="BM69" s="2">
        <f t="shared" si="202"/>
        <v>1.1524818311894061</v>
      </c>
      <c r="BN69" s="2">
        <f t="shared" si="202"/>
        <v>1.1524818311894061</v>
      </c>
      <c r="BO69" s="2">
        <f t="shared" ref="BO69:CG69" si="203">2*BO$10*((BO$5+BO$11*BO$6)/BO$11)/(SQRT(2)*BO$9*SIN(BO35))</f>
        <v>1.1524818311894061</v>
      </c>
      <c r="BP69" s="2">
        <f t="shared" si="203"/>
        <v>1.1524818311894061</v>
      </c>
      <c r="BQ69" s="2">
        <f t="shared" si="203"/>
        <v>1.1524818311894061</v>
      </c>
      <c r="BR69" s="2">
        <f t="shared" si="203"/>
        <v>1.1524818311894061</v>
      </c>
      <c r="BS69" s="2">
        <f t="shared" si="203"/>
        <v>1.1524818311894061</v>
      </c>
      <c r="BT69" s="2">
        <f t="shared" si="203"/>
        <v>1.1524818311894061</v>
      </c>
      <c r="BU69" s="2">
        <f t="shared" si="203"/>
        <v>1.1524818311894061</v>
      </c>
      <c r="BV69" s="2">
        <f t="shared" si="203"/>
        <v>1.1524818311894061</v>
      </c>
      <c r="BW69" s="2">
        <f t="shared" si="203"/>
        <v>1.1524818311894061</v>
      </c>
      <c r="BX69" s="2">
        <f t="shared" si="203"/>
        <v>1.1524818311894061</v>
      </c>
      <c r="BY69" s="2">
        <f t="shared" si="203"/>
        <v>1.1524818311894061</v>
      </c>
      <c r="BZ69" s="2">
        <f t="shared" si="203"/>
        <v>1.1524818311894061</v>
      </c>
      <c r="CA69" s="2">
        <f t="shared" si="203"/>
        <v>1.1524818311894061</v>
      </c>
      <c r="CB69" s="2">
        <f t="shared" si="203"/>
        <v>1.1524818311894061</v>
      </c>
      <c r="CC69" s="2">
        <f t="shared" si="203"/>
        <v>1.1524818311894061</v>
      </c>
      <c r="CD69" s="2">
        <f t="shared" si="203"/>
        <v>1.1524818311894061</v>
      </c>
      <c r="CE69" s="2">
        <f t="shared" si="203"/>
        <v>1.1524818311894061</v>
      </c>
      <c r="CF69" s="2">
        <f t="shared" si="203"/>
        <v>1.1524818311894061</v>
      </c>
      <c r="CG69" s="2">
        <f t="shared" si="203"/>
        <v>1.1524818311894061</v>
      </c>
    </row>
    <row r="70" spans="2:86">
      <c r="B70" s="2" t="s">
        <v>734</v>
      </c>
      <c r="C70" s="2">
        <f t="shared" ref="C70:BN70" si="204">2*C$10*((C$5+C$11*C$6)/C$11)/(SQRT(2)*C$9*SIN(C36))</f>
        <v>1.411496212121212</v>
      </c>
      <c r="D70" s="2">
        <f t="shared" si="204"/>
        <v>1.411496212121212</v>
      </c>
      <c r="E70" s="2">
        <f t="shared" si="204"/>
        <v>1.411496212121212</v>
      </c>
      <c r="F70" s="2">
        <f t="shared" si="204"/>
        <v>1.411496212121212</v>
      </c>
      <c r="G70" s="2">
        <f t="shared" si="204"/>
        <v>1.411496212121212</v>
      </c>
      <c r="H70" s="2">
        <f t="shared" si="204"/>
        <v>1.411496212121212</v>
      </c>
      <c r="I70" s="2">
        <f t="shared" si="204"/>
        <v>1.411496212121212</v>
      </c>
      <c r="J70" s="2">
        <f t="shared" si="204"/>
        <v>1.411496212121212</v>
      </c>
      <c r="K70" s="2">
        <f t="shared" si="204"/>
        <v>1.411496212121212</v>
      </c>
      <c r="L70" s="2">
        <f t="shared" si="204"/>
        <v>1.411496212121212</v>
      </c>
      <c r="M70" s="2">
        <f t="shared" si="204"/>
        <v>1.411496212121212</v>
      </c>
      <c r="N70" s="2">
        <f t="shared" si="204"/>
        <v>1.411496212121212</v>
      </c>
      <c r="O70" s="2">
        <f t="shared" si="204"/>
        <v>1.411496212121212</v>
      </c>
      <c r="P70" s="2">
        <f t="shared" si="204"/>
        <v>1.411496212121212</v>
      </c>
      <c r="Q70" s="2">
        <f t="shared" si="204"/>
        <v>1.411496212121212</v>
      </c>
      <c r="R70" s="2">
        <f t="shared" si="204"/>
        <v>1.411496212121212</v>
      </c>
      <c r="S70" s="2">
        <f t="shared" si="204"/>
        <v>1.411496212121212</v>
      </c>
      <c r="T70" s="2">
        <f t="shared" si="204"/>
        <v>1.411496212121212</v>
      </c>
      <c r="U70" s="2">
        <f t="shared" si="204"/>
        <v>1.411496212121212</v>
      </c>
      <c r="V70" s="2">
        <f t="shared" si="204"/>
        <v>1.411496212121212</v>
      </c>
      <c r="W70" s="2">
        <f t="shared" si="204"/>
        <v>1.411496212121212</v>
      </c>
      <c r="X70" s="2">
        <f t="shared" si="204"/>
        <v>1.411496212121212</v>
      </c>
      <c r="Y70" s="2">
        <f t="shared" si="204"/>
        <v>1.411496212121212</v>
      </c>
      <c r="Z70" s="2">
        <f t="shared" si="204"/>
        <v>1.411496212121212</v>
      </c>
      <c r="AA70" s="2">
        <f t="shared" si="204"/>
        <v>1.411496212121212</v>
      </c>
      <c r="AB70" s="2">
        <f t="shared" si="204"/>
        <v>1.411496212121212</v>
      </c>
      <c r="AC70" s="2">
        <f t="shared" si="204"/>
        <v>1.411496212121212</v>
      </c>
      <c r="AD70" s="2">
        <f t="shared" si="204"/>
        <v>1.411496212121212</v>
      </c>
      <c r="AE70" s="2">
        <f t="shared" si="204"/>
        <v>1.411496212121212</v>
      </c>
      <c r="AF70" s="2">
        <f t="shared" si="204"/>
        <v>1.411496212121212</v>
      </c>
      <c r="AG70" s="2">
        <f t="shared" si="204"/>
        <v>1.411496212121212</v>
      </c>
      <c r="AH70" s="2">
        <f t="shared" si="204"/>
        <v>1.411496212121212</v>
      </c>
      <c r="AI70" s="2">
        <f t="shared" si="204"/>
        <v>1.411496212121212</v>
      </c>
      <c r="AJ70" s="2">
        <f t="shared" si="204"/>
        <v>1.411496212121212</v>
      </c>
      <c r="AK70" s="2">
        <f t="shared" si="204"/>
        <v>1.411496212121212</v>
      </c>
      <c r="AL70" s="2">
        <f t="shared" si="204"/>
        <v>1.411496212121212</v>
      </c>
      <c r="AM70" s="2">
        <f t="shared" si="204"/>
        <v>1.411496212121212</v>
      </c>
      <c r="AN70" s="2">
        <f t="shared" si="204"/>
        <v>1.411496212121212</v>
      </c>
      <c r="AO70" s="2">
        <f t="shared" si="204"/>
        <v>1.411496212121212</v>
      </c>
      <c r="AP70" s="2">
        <f t="shared" si="204"/>
        <v>1.411496212121212</v>
      </c>
      <c r="AQ70" s="2">
        <f t="shared" si="204"/>
        <v>1.411496212121212</v>
      </c>
      <c r="AR70" s="2">
        <f t="shared" si="204"/>
        <v>1.411496212121212</v>
      </c>
      <c r="AS70" s="2">
        <f t="shared" si="204"/>
        <v>1.411496212121212</v>
      </c>
      <c r="AT70" s="2">
        <f t="shared" si="204"/>
        <v>1.411496212121212</v>
      </c>
      <c r="AU70" s="2">
        <f t="shared" si="204"/>
        <v>1.411496212121212</v>
      </c>
      <c r="AV70" s="2">
        <f t="shared" si="204"/>
        <v>1.411496212121212</v>
      </c>
      <c r="AW70" s="2">
        <f t="shared" si="204"/>
        <v>1.411496212121212</v>
      </c>
      <c r="AX70" s="2">
        <f t="shared" si="204"/>
        <v>1.411496212121212</v>
      </c>
      <c r="AY70" s="2">
        <f t="shared" si="204"/>
        <v>1.411496212121212</v>
      </c>
      <c r="AZ70" s="2">
        <f t="shared" si="204"/>
        <v>1.411496212121212</v>
      </c>
      <c r="BA70" s="2">
        <f t="shared" si="204"/>
        <v>1.411496212121212</v>
      </c>
      <c r="BB70" s="2">
        <f t="shared" si="204"/>
        <v>1.411496212121212</v>
      </c>
      <c r="BC70" s="2">
        <f t="shared" si="204"/>
        <v>1.411496212121212</v>
      </c>
      <c r="BD70" s="2">
        <f t="shared" si="204"/>
        <v>1.411496212121212</v>
      </c>
      <c r="BE70" s="2">
        <f t="shared" si="204"/>
        <v>1.411496212121212</v>
      </c>
      <c r="BF70" s="2">
        <f t="shared" si="204"/>
        <v>1.411496212121212</v>
      </c>
      <c r="BG70" s="2">
        <f t="shared" si="204"/>
        <v>1.411496212121212</v>
      </c>
      <c r="BH70" s="2">
        <f t="shared" si="204"/>
        <v>1.411496212121212</v>
      </c>
      <c r="BI70" s="2">
        <f t="shared" si="204"/>
        <v>1.411496212121212</v>
      </c>
      <c r="BJ70" s="2">
        <f t="shared" si="204"/>
        <v>1.411496212121212</v>
      </c>
      <c r="BK70" s="2">
        <f t="shared" si="204"/>
        <v>1.411496212121212</v>
      </c>
      <c r="BL70" s="2">
        <f t="shared" si="204"/>
        <v>1.411496212121212</v>
      </c>
      <c r="BM70" s="2">
        <f t="shared" si="204"/>
        <v>1.411496212121212</v>
      </c>
      <c r="BN70" s="2">
        <f t="shared" si="204"/>
        <v>1.411496212121212</v>
      </c>
      <c r="BO70" s="2">
        <f t="shared" ref="BO70:CG70" si="205">2*BO$10*((BO$5+BO$11*BO$6)/BO$11)/(SQRT(2)*BO$9*SIN(BO36))</f>
        <v>1.411496212121212</v>
      </c>
      <c r="BP70" s="2">
        <f t="shared" si="205"/>
        <v>1.411496212121212</v>
      </c>
      <c r="BQ70" s="2">
        <f t="shared" si="205"/>
        <v>1.411496212121212</v>
      </c>
      <c r="BR70" s="2">
        <f t="shared" si="205"/>
        <v>1.411496212121212</v>
      </c>
      <c r="BS70" s="2">
        <f t="shared" si="205"/>
        <v>1.411496212121212</v>
      </c>
      <c r="BT70" s="2">
        <f t="shared" si="205"/>
        <v>1.411496212121212</v>
      </c>
      <c r="BU70" s="2">
        <f t="shared" si="205"/>
        <v>1.411496212121212</v>
      </c>
      <c r="BV70" s="2">
        <f t="shared" si="205"/>
        <v>1.411496212121212</v>
      </c>
      <c r="BW70" s="2">
        <f t="shared" si="205"/>
        <v>1.411496212121212</v>
      </c>
      <c r="BX70" s="2">
        <f t="shared" si="205"/>
        <v>1.411496212121212</v>
      </c>
      <c r="BY70" s="2">
        <f t="shared" si="205"/>
        <v>1.411496212121212</v>
      </c>
      <c r="BZ70" s="2">
        <f t="shared" si="205"/>
        <v>1.411496212121212</v>
      </c>
      <c r="CA70" s="2">
        <f t="shared" si="205"/>
        <v>1.411496212121212</v>
      </c>
      <c r="CB70" s="2">
        <f t="shared" si="205"/>
        <v>1.411496212121212</v>
      </c>
      <c r="CC70" s="2">
        <f t="shared" si="205"/>
        <v>1.411496212121212</v>
      </c>
      <c r="CD70" s="2">
        <f t="shared" si="205"/>
        <v>1.411496212121212</v>
      </c>
      <c r="CE70" s="2">
        <f t="shared" si="205"/>
        <v>1.411496212121212</v>
      </c>
      <c r="CF70" s="2">
        <f t="shared" si="205"/>
        <v>1.411496212121212</v>
      </c>
      <c r="CG70" s="2">
        <f t="shared" si="205"/>
        <v>1.411496212121212</v>
      </c>
    </row>
    <row r="71" spans="2:86">
      <c r="B71" s="2" t="s">
        <v>735</v>
      </c>
      <c r="C71" s="2">
        <f t="shared" ref="C71:BN71" si="206">2*C$10*((C$5+C$11*C$6)/C$11)/(SQRT(2)*C$9*SIN(C37))</f>
        <v>1.9961570864200695</v>
      </c>
      <c r="D71" s="2">
        <f t="shared" si="206"/>
        <v>1.9961570864200695</v>
      </c>
      <c r="E71" s="2">
        <f t="shared" si="206"/>
        <v>1.9961570864200695</v>
      </c>
      <c r="F71" s="2">
        <f t="shared" si="206"/>
        <v>1.9961570864200695</v>
      </c>
      <c r="G71" s="2">
        <f t="shared" si="206"/>
        <v>1.9961570864200695</v>
      </c>
      <c r="H71" s="2">
        <f t="shared" si="206"/>
        <v>1.9961570864200695</v>
      </c>
      <c r="I71" s="2">
        <f t="shared" si="206"/>
        <v>1.9961570864200695</v>
      </c>
      <c r="J71" s="2">
        <f t="shared" si="206"/>
        <v>1.9961570864200695</v>
      </c>
      <c r="K71" s="2">
        <f t="shared" si="206"/>
        <v>1.9961570864200695</v>
      </c>
      <c r="L71" s="2">
        <f t="shared" si="206"/>
        <v>1.9961570864200695</v>
      </c>
      <c r="M71" s="2">
        <f t="shared" si="206"/>
        <v>1.9961570864200695</v>
      </c>
      <c r="N71" s="2">
        <f t="shared" si="206"/>
        <v>1.9961570864200695</v>
      </c>
      <c r="O71" s="2">
        <f t="shared" si="206"/>
        <v>1.9961570864200695</v>
      </c>
      <c r="P71" s="2">
        <f t="shared" si="206"/>
        <v>1.9961570864200695</v>
      </c>
      <c r="Q71" s="2">
        <f t="shared" si="206"/>
        <v>1.9961570864200695</v>
      </c>
      <c r="R71" s="2">
        <f t="shared" si="206"/>
        <v>1.9961570864200695</v>
      </c>
      <c r="S71" s="2">
        <f t="shared" si="206"/>
        <v>1.9961570864200695</v>
      </c>
      <c r="T71" s="2">
        <f t="shared" si="206"/>
        <v>1.9961570864200695</v>
      </c>
      <c r="U71" s="2">
        <f t="shared" si="206"/>
        <v>1.9961570864200695</v>
      </c>
      <c r="V71" s="2">
        <f t="shared" si="206"/>
        <v>1.9961570864200695</v>
      </c>
      <c r="W71" s="2">
        <f t="shared" si="206"/>
        <v>1.9961570864200695</v>
      </c>
      <c r="X71" s="2">
        <f t="shared" si="206"/>
        <v>1.9961570864200695</v>
      </c>
      <c r="Y71" s="2">
        <f t="shared" si="206"/>
        <v>1.9961570864200695</v>
      </c>
      <c r="Z71" s="2">
        <f t="shared" si="206"/>
        <v>1.9961570864200695</v>
      </c>
      <c r="AA71" s="2">
        <f t="shared" si="206"/>
        <v>1.9961570864200695</v>
      </c>
      <c r="AB71" s="2">
        <f t="shared" si="206"/>
        <v>1.9961570864200695</v>
      </c>
      <c r="AC71" s="2">
        <f t="shared" si="206"/>
        <v>1.9961570864200695</v>
      </c>
      <c r="AD71" s="2">
        <f t="shared" si="206"/>
        <v>1.9961570864200695</v>
      </c>
      <c r="AE71" s="2">
        <f t="shared" si="206"/>
        <v>1.9961570864200695</v>
      </c>
      <c r="AF71" s="2">
        <f t="shared" si="206"/>
        <v>1.9961570864200695</v>
      </c>
      <c r="AG71" s="2">
        <f t="shared" si="206"/>
        <v>1.9961570864200695</v>
      </c>
      <c r="AH71" s="2">
        <f t="shared" si="206"/>
        <v>1.9961570864200695</v>
      </c>
      <c r="AI71" s="2">
        <f t="shared" si="206"/>
        <v>1.9961570864200695</v>
      </c>
      <c r="AJ71" s="2">
        <f t="shared" si="206"/>
        <v>1.9961570864200695</v>
      </c>
      <c r="AK71" s="2">
        <f t="shared" si="206"/>
        <v>1.9961570864200695</v>
      </c>
      <c r="AL71" s="2">
        <f t="shared" si="206"/>
        <v>1.9961570864200695</v>
      </c>
      <c r="AM71" s="2">
        <f t="shared" si="206"/>
        <v>1.9961570864200695</v>
      </c>
      <c r="AN71" s="2">
        <f t="shared" si="206"/>
        <v>1.9961570864200695</v>
      </c>
      <c r="AO71" s="2">
        <f t="shared" si="206"/>
        <v>1.9961570864200695</v>
      </c>
      <c r="AP71" s="2">
        <f t="shared" si="206"/>
        <v>1.9961570864200695</v>
      </c>
      <c r="AQ71" s="2">
        <f t="shared" si="206"/>
        <v>1.9961570864200695</v>
      </c>
      <c r="AR71" s="2">
        <f t="shared" si="206"/>
        <v>1.9961570864200695</v>
      </c>
      <c r="AS71" s="2">
        <f t="shared" si="206"/>
        <v>1.9961570864200695</v>
      </c>
      <c r="AT71" s="2">
        <f t="shared" si="206"/>
        <v>1.9961570864200695</v>
      </c>
      <c r="AU71" s="2">
        <f t="shared" si="206"/>
        <v>1.9961570864200695</v>
      </c>
      <c r="AV71" s="2">
        <f t="shared" si="206"/>
        <v>1.9961570864200695</v>
      </c>
      <c r="AW71" s="2">
        <f t="shared" si="206"/>
        <v>1.9961570864200695</v>
      </c>
      <c r="AX71" s="2">
        <f t="shared" si="206"/>
        <v>1.9961570864200695</v>
      </c>
      <c r="AY71" s="2">
        <f t="shared" si="206"/>
        <v>1.9961570864200695</v>
      </c>
      <c r="AZ71" s="2">
        <f t="shared" si="206"/>
        <v>1.9961570864200695</v>
      </c>
      <c r="BA71" s="2">
        <f t="shared" si="206"/>
        <v>1.9961570864200695</v>
      </c>
      <c r="BB71" s="2">
        <f t="shared" si="206"/>
        <v>1.9961570864200695</v>
      </c>
      <c r="BC71" s="2">
        <f t="shared" si="206"/>
        <v>1.9961570864200695</v>
      </c>
      <c r="BD71" s="2">
        <f t="shared" si="206"/>
        <v>1.9961570864200695</v>
      </c>
      <c r="BE71" s="2">
        <f t="shared" si="206"/>
        <v>1.9961570864200695</v>
      </c>
      <c r="BF71" s="2">
        <f t="shared" si="206"/>
        <v>1.9961570864200695</v>
      </c>
      <c r="BG71" s="2">
        <f t="shared" si="206"/>
        <v>1.9961570864200695</v>
      </c>
      <c r="BH71" s="2">
        <f t="shared" si="206"/>
        <v>1.9961570864200695</v>
      </c>
      <c r="BI71" s="2">
        <f t="shared" si="206"/>
        <v>1.9961570864200695</v>
      </c>
      <c r="BJ71" s="2">
        <f t="shared" si="206"/>
        <v>1.9961570864200695</v>
      </c>
      <c r="BK71" s="2">
        <f t="shared" si="206"/>
        <v>1.9961570864200695</v>
      </c>
      <c r="BL71" s="2">
        <f t="shared" si="206"/>
        <v>1.9961570864200695</v>
      </c>
      <c r="BM71" s="2">
        <f t="shared" si="206"/>
        <v>1.9961570864200695</v>
      </c>
      <c r="BN71" s="2">
        <f t="shared" si="206"/>
        <v>1.9961570864200695</v>
      </c>
      <c r="BO71" s="2">
        <f t="shared" ref="BO71:CG71" si="207">2*BO$10*((BO$5+BO$11*BO$6)/BO$11)/(SQRT(2)*BO$9*SIN(BO37))</f>
        <v>1.9961570864200695</v>
      </c>
      <c r="BP71" s="2">
        <f t="shared" si="207"/>
        <v>1.9961570864200695</v>
      </c>
      <c r="BQ71" s="2">
        <f t="shared" si="207"/>
        <v>1.9961570864200695</v>
      </c>
      <c r="BR71" s="2">
        <f t="shared" si="207"/>
        <v>1.9961570864200695</v>
      </c>
      <c r="BS71" s="2">
        <f t="shared" si="207"/>
        <v>1.9961570864200695</v>
      </c>
      <c r="BT71" s="2">
        <f t="shared" si="207"/>
        <v>1.9961570864200695</v>
      </c>
      <c r="BU71" s="2">
        <f t="shared" si="207"/>
        <v>1.9961570864200695</v>
      </c>
      <c r="BV71" s="2">
        <f t="shared" si="207"/>
        <v>1.9961570864200695</v>
      </c>
      <c r="BW71" s="2">
        <f t="shared" si="207"/>
        <v>1.9961570864200695</v>
      </c>
      <c r="BX71" s="2">
        <f t="shared" si="207"/>
        <v>1.9961570864200695</v>
      </c>
      <c r="BY71" s="2">
        <f t="shared" si="207"/>
        <v>1.9961570864200695</v>
      </c>
      <c r="BZ71" s="2">
        <f t="shared" si="207"/>
        <v>1.9961570864200695</v>
      </c>
      <c r="CA71" s="2">
        <f t="shared" si="207"/>
        <v>1.9961570864200695</v>
      </c>
      <c r="CB71" s="2">
        <f t="shared" si="207"/>
        <v>1.9961570864200695</v>
      </c>
      <c r="CC71" s="2">
        <f t="shared" si="207"/>
        <v>1.9961570864200695</v>
      </c>
      <c r="CD71" s="2">
        <f t="shared" si="207"/>
        <v>1.9961570864200695</v>
      </c>
      <c r="CE71" s="2">
        <f t="shared" si="207"/>
        <v>1.9961570864200695</v>
      </c>
      <c r="CF71" s="2">
        <f t="shared" si="207"/>
        <v>1.9961570864200695</v>
      </c>
      <c r="CG71" s="2">
        <f t="shared" si="207"/>
        <v>1.9961570864200695</v>
      </c>
    </row>
    <row r="72" spans="2:86">
      <c r="B72" s="2" t="s">
        <v>736</v>
      </c>
      <c r="C72" s="2">
        <f t="shared" ref="C72:BN72" si="208">2*C$10*((C$5+C$11*C$6)/C$11)/(SQRT(2)*C$9*SIN(C38))</f>
        <v>3.8562793662061692</v>
      </c>
      <c r="D72" s="2">
        <f t="shared" si="208"/>
        <v>3.8562793662061692</v>
      </c>
      <c r="E72" s="2">
        <f t="shared" si="208"/>
        <v>3.8562793662061692</v>
      </c>
      <c r="F72" s="2">
        <f t="shared" si="208"/>
        <v>3.8562793662061692</v>
      </c>
      <c r="G72" s="2">
        <f t="shared" si="208"/>
        <v>3.8562793662061692</v>
      </c>
      <c r="H72" s="2">
        <f t="shared" si="208"/>
        <v>3.8562793662061692</v>
      </c>
      <c r="I72" s="2">
        <f t="shared" si="208"/>
        <v>3.8562793662061692</v>
      </c>
      <c r="J72" s="2">
        <f t="shared" si="208"/>
        <v>3.8562793662061692</v>
      </c>
      <c r="K72" s="2">
        <f t="shared" si="208"/>
        <v>3.8562793662061692</v>
      </c>
      <c r="L72" s="2">
        <f t="shared" si="208"/>
        <v>3.8562793662061692</v>
      </c>
      <c r="M72" s="2">
        <f t="shared" si="208"/>
        <v>3.8562793662061692</v>
      </c>
      <c r="N72" s="2">
        <f t="shared" si="208"/>
        <v>3.8562793662061692</v>
      </c>
      <c r="O72" s="2">
        <f t="shared" si="208"/>
        <v>3.8562793662061692</v>
      </c>
      <c r="P72" s="2">
        <f t="shared" si="208"/>
        <v>3.8562793662061692</v>
      </c>
      <c r="Q72" s="2">
        <f t="shared" si="208"/>
        <v>3.8562793662061692</v>
      </c>
      <c r="R72" s="2">
        <f t="shared" si="208"/>
        <v>3.8562793662061692</v>
      </c>
      <c r="S72" s="2">
        <f t="shared" si="208"/>
        <v>3.8562793662061692</v>
      </c>
      <c r="T72" s="2">
        <f t="shared" si="208"/>
        <v>3.8562793662061692</v>
      </c>
      <c r="U72" s="2">
        <f t="shared" si="208"/>
        <v>3.8562793662061692</v>
      </c>
      <c r="V72" s="2">
        <f t="shared" si="208"/>
        <v>3.8562793662061692</v>
      </c>
      <c r="W72" s="2">
        <f t="shared" si="208"/>
        <v>3.8562793662061692</v>
      </c>
      <c r="X72" s="2">
        <f t="shared" si="208"/>
        <v>3.8562793662061692</v>
      </c>
      <c r="Y72" s="2">
        <f t="shared" si="208"/>
        <v>3.8562793662061692</v>
      </c>
      <c r="Z72" s="2">
        <f t="shared" si="208"/>
        <v>3.8562793662061692</v>
      </c>
      <c r="AA72" s="2">
        <f t="shared" si="208"/>
        <v>3.8562793662061692</v>
      </c>
      <c r="AB72" s="2">
        <f t="shared" si="208"/>
        <v>3.8562793662061692</v>
      </c>
      <c r="AC72" s="2">
        <f t="shared" si="208"/>
        <v>3.8562793662061692</v>
      </c>
      <c r="AD72" s="2">
        <f t="shared" si="208"/>
        <v>3.8562793662061692</v>
      </c>
      <c r="AE72" s="2">
        <f t="shared" si="208"/>
        <v>3.8562793662061692</v>
      </c>
      <c r="AF72" s="2">
        <f t="shared" si="208"/>
        <v>3.8562793662061692</v>
      </c>
      <c r="AG72" s="2">
        <f t="shared" si="208"/>
        <v>3.8562793662061692</v>
      </c>
      <c r="AH72" s="2">
        <f t="shared" si="208"/>
        <v>3.8562793662061692</v>
      </c>
      <c r="AI72" s="2">
        <f t="shared" si="208"/>
        <v>3.8562793662061692</v>
      </c>
      <c r="AJ72" s="2">
        <f t="shared" si="208"/>
        <v>3.8562793662061692</v>
      </c>
      <c r="AK72" s="2">
        <f t="shared" si="208"/>
        <v>3.8562793662061692</v>
      </c>
      <c r="AL72" s="2">
        <f t="shared" si="208"/>
        <v>3.8562793662061692</v>
      </c>
      <c r="AM72" s="2">
        <f t="shared" si="208"/>
        <v>3.8562793662061692</v>
      </c>
      <c r="AN72" s="2">
        <f t="shared" si="208"/>
        <v>3.8562793662061692</v>
      </c>
      <c r="AO72" s="2">
        <f t="shared" si="208"/>
        <v>3.8562793662061692</v>
      </c>
      <c r="AP72" s="2">
        <f t="shared" si="208"/>
        <v>3.8562793662061692</v>
      </c>
      <c r="AQ72" s="2">
        <f t="shared" si="208"/>
        <v>3.8562793662061692</v>
      </c>
      <c r="AR72" s="2">
        <f t="shared" si="208"/>
        <v>3.8562793662061692</v>
      </c>
      <c r="AS72" s="2">
        <f t="shared" si="208"/>
        <v>3.8562793662061692</v>
      </c>
      <c r="AT72" s="2">
        <f t="shared" si="208"/>
        <v>3.8562793662061692</v>
      </c>
      <c r="AU72" s="2">
        <f t="shared" si="208"/>
        <v>3.8562793662061692</v>
      </c>
      <c r="AV72" s="2">
        <f t="shared" si="208"/>
        <v>3.8562793662061692</v>
      </c>
      <c r="AW72" s="2">
        <f t="shared" si="208"/>
        <v>3.8562793662061692</v>
      </c>
      <c r="AX72" s="2">
        <f t="shared" si="208"/>
        <v>3.8562793662061692</v>
      </c>
      <c r="AY72" s="2">
        <f t="shared" si="208"/>
        <v>3.8562793662061692</v>
      </c>
      <c r="AZ72" s="2">
        <f t="shared" si="208"/>
        <v>3.8562793662061692</v>
      </c>
      <c r="BA72" s="2">
        <f t="shared" si="208"/>
        <v>3.8562793662061692</v>
      </c>
      <c r="BB72" s="2">
        <f t="shared" si="208"/>
        <v>3.8562793662061692</v>
      </c>
      <c r="BC72" s="2">
        <f t="shared" si="208"/>
        <v>3.8562793662061692</v>
      </c>
      <c r="BD72" s="2">
        <f t="shared" si="208"/>
        <v>3.8562793662061692</v>
      </c>
      <c r="BE72" s="2">
        <f t="shared" si="208"/>
        <v>3.8562793662061692</v>
      </c>
      <c r="BF72" s="2">
        <f t="shared" si="208"/>
        <v>3.8562793662061692</v>
      </c>
      <c r="BG72" s="2">
        <f t="shared" si="208"/>
        <v>3.8562793662061692</v>
      </c>
      <c r="BH72" s="2">
        <f t="shared" si="208"/>
        <v>3.8562793662061692</v>
      </c>
      <c r="BI72" s="2">
        <f t="shared" si="208"/>
        <v>3.8562793662061692</v>
      </c>
      <c r="BJ72" s="2">
        <f t="shared" si="208"/>
        <v>3.8562793662061692</v>
      </c>
      <c r="BK72" s="2">
        <f t="shared" si="208"/>
        <v>3.8562793662061692</v>
      </c>
      <c r="BL72" s="2">
        <f t="shared" si="208"/>
        <v>3.8562793662061692</v>
      </c>
      <c r="BM72" s="2">
        <f t="shared" si="208"/>
        <v>3.8562793662061692</v>
      </c>
      <c r="BN72" s="2">
        <f t="shared" si="208"/>
        <v>3.8562793662061692</v>
      </c>
      <c r="BO72" s="2">
        <f t="shared" ref="BO72:CG72" si="209">2*BO$10*((BO$5+BO$11*BO$6)/BO$11)/(SQRT(2)*BO$9*SIN(BO38))</f>
        <v>3.8562793662061692</v>
      </c>
      <c r="BP72" s="2">
        <f t="shared" si="209"/>
        <v>3.8562793662061692</v>
      </c>
      <c r="BQ72" s="2">
        <f t="shared" si="209"/>
        <v>3.8562793662061692</v>
      </c>
      <c r="BR72" s="2">
        <f t="shared" si="209"/>
        <v>3.8562793662061692</v>
      </c>
      <c r="BS72" s="2">
        <f t="shared" si="209"/>
        <v>3.8562793662061692</v>
      </c>
      <c r="BT72" s="2">
        <f t="shared" si="209"/>
        <v>3.8562793662061692</v>
      </c>
      <c r="BU72" s="2">
        <f t="shared" si="209"/>
        <v>3.8562793662061692</v>
      </c>
      <c r="BV72" s="2">
        <f t="shared" si="209"/>
        <v>3.8562793662061692</v>
      </c>
      <c r="BW72" s="2">
        <f t="shared" si="209"/>
        <v>3.8562793662061692</v>
      </c>
      <c r="BX72" s="2">
        <f t="shared" si="209"/>
        <v>3.8562793662061692</v>
      </c>
      <c r="BY72" s="2">
        <f t="shared" si="209"/>
        <v>3.8562793662061692</v>
      </c>
      <c r="BZ72" s="2">
        <f t="shared" si="209"/>
        <v>3.8562793662061692</v>
      </c>
      <c r="CA72" s="2">
        <f t="shared" si="209"/>
        <v>3.8562793662061692</v>
      </c>
      <c r="CB72" s="2">
        <f t="shared" si="209"/>
        <v>3.8562793662061692</v>
      </c>
      <c r="CC72" s="2">
        <f t="shared" si="209"/>
        <v>3.8562793662061692</v>
      </c>
      <c r="CD72" s="2">
        <f t="shared" si="209"/>
        <v>3.8562793662061692</v>
      </c>
      <c r="CE72" s="2">
        <f t="shared" si="209"/>
        <v>3.8562793662061692</v>
      </c>
      <c r="CF72" s="2">
        <f t="shared" si="209"/>
        <v>3.8562793662061692</v>
      </c>
      <c r="CG72" s="2">
        <f t="shared" si="209"/>
        <v>3.8562793662061692</v>
      </c>
    </row>
    <row r="74" spans="2:86">
      <c r="B74" s="2" t="s">
        <v>737</v>
      </c>
      <c r="D74" s="2">
        <f>IF(AND(D$25&gt;D$24,IF(ISNA(D$29),TRUE,D47&gt;=D$29),(D67-D47-(-D$25*(D47-C47)/(D$25-C$25)))/((D47-C47)/(D$25-C$25))&lt;=D$25,(D67-D47-(-D$25*(D47-C47)/(D$25-C$25)))/((D47-C47)/(D$25-C$25))&gt;C$25),(D67-D47-(-D$25*(D47-C47)/(D$25-C$25)))/((D47-C47)/(D$25-C$25)),0)</f>
        <v>0</v>
      </c>
      <c r="E74" s="2">
        <f t="shared" ref="E74:BP74" si="210">IF(AND(E$25&gt;E$24,IF(ISNA(E$29),TRUE,E47&gt;=E$29),(E67-E47-(-E$25*(E47-D47)/(E$25-D$25)))/((E47-D47)/(E$25-D$25))&lt;=E$25,(E67-E47-(-E$25*(E47-D47)/(E$25-D$25)))/((E47-D47)/(E$25-D$25))&gt;D$25),(E67-E47-(-E$25*(E47-D47)/(E$25-D$25)))/((E47-D47)/(E$25-D$25)),0)</f>
        <v>0</v>
      </c>
      <c r="F74" s="2">
        <f t="shared" si="210"/>
        <v>0</v>
      </c>
      <c r="G74" s="2">
        <f t="shared" si="210"/>
        <v>0</v>
      </c>
      <c r="H74" s="2">
        <f t="shared" si="210"/>
        <v>0</v>
      </c>
      <c r="I74" s="2">
        <f t="shared" si="210"/>
        <v>0</v>
      </c>
      <c r="J74" s="2">
        <f t="shared" si="210"/>
        <v>0</v>
      </c>
      <c r="K74" s="2">
        <f t="shared" si="210"/>
        <v>0</v>
      </c>
      <c r="L74" s="2">
        <f t="shared" si="210"/>
        <v>0</v>
      </c>
      <c r="M74" s="2">
        <f t="shared" si="210"/>
        <v>0</v>
      </c>
      <c r="N74" s="2">
        <f t="shared" si="210"/>
        <v>0</v>
      </c>
      <c r="O74" s="2">
        <f t="shared" si="210"/>
        <v>0</v>
      </c>
      <c r="P74" s="2">
        <f t="shared" si="210"/>
        <v>0</v>
      </c>
      <c r="Q74" s="2">
        <f t="shared" si="210"/>
        <v>0</v>
      </c>
      <c r="R74" s="2">
        <f t="shared" si="210"/>
        <v>0</v>
      </c>
      <c r="S74" s="2">
        <f t="shared" si="210"/>
        <v>0</v>
      </c>
      <c r="T74" s="2">
        <f t="shared" si="210"/>
        <v>0</v>
      </c>
      <c r="U74" s="2">
        <f t="shared" si="210"/>
        <v>0</v>
      </c>
      <c r="V74" s="2">
        <f t="shared" si="210"/>
        <v>0</v>
      </c>
      <c r="W74" s="2">
        <f t="shared" si="210"/>
        <v>0</v>
      </c>
      <c r="X74" s="2">
        <f t="shared" si="210"/>
        <v>0</v>
      </c>
      <c r="Y74" s="2">
        <f t="shared" si="210"/>
        <v>0</v>
      </c>
      <c r="Z74" s="2">
        <f t="shared" si="210"/>
        <v>0</v>
      </c>
      <c r="AA74" s="2">
        <f t="shared" si="210"/>
        <v>0</v>
      </c>
      <c r="AB74" s="2">
        <f t="shared" si="210"/>
        <v>0</v>
      </c>
      <c r="AC74" s="2">
        <f t="shared" si="210"/>
        <v>0</v>
      </c>
      <c r="AD74" s="2">
        <f t="shared" si="210"/>
        <v>0</v>
      </c>
      <c r="AE74" s="2">
        <f t="shared" si="210"/>
        <v>0</v>
      </c>
      <c r="AF74" s="2">
        <f t="shared" si="210"/>
        <v>0</v>
      </c>
      <c r="AG74" s="2">
        <f t="shared" si="210"/>
        <v>0</v>
      </c>
      <c r="AH74" s="2">
        <f t="shared" si="210"/>
        <v>0</v>
      </c>
      <c r="AI74" s="2">
        <f t="shared" si="210"/>
        <v>0</v>
      </c>
      <c r="AJ74" s="2">
        <f t="shared" si="210"/>
        <v>0</v>
      </c>
      <c r="AK74" s="2">
        <f t="shared" si="210"/>
        <v>0</v>
      </c>
      <c r="AL74" s="2">
        <f t="shared" si="210"/>
        <v>0</v>
      </c>
      <c r="AM74" s="2">
        <f t="shared" si="210"/>
        <v>0</v>
      </c>
      <c r="AN74" s="2">
        <f t="shared" si="210"/>
        <v>0</v>
      </c>
      <c r="AO74" s="2">
        <f t="shared" si="210"/>
        <v>0</v>
      </c>
      <c r="AP74" s="2">
        <f t="shared" si="210"/>
        <v>0</v>
      </c>
      <c r="AQ74" s="2">
        <f t="shared" si="210"/>
        <v>0</v>
      </c>
      <c r="AR74" s="2">
        <f t="shared" si="210"/>
        <v>0</v>
      </c>
      <c r="AS74" s="2">
        <f t="shared" si="210"/>
        <v>0</v>
      </c>
      <c r="AT74" s="2">
        <f t="shared" si="210"/>
        <v>0</v>
      </c>
      <c r="AU74" s="2">
        <f t="shared" si="210"/>
        <v>0</v>
      </c>
      <c r="AV74" s="2">
        <f t="shared" si="210"/>
        <v>0</v>
      </c>
      <c r="AW74" s="2">
        <f t="shared" si="210"/>
        <v>0</v>
      </c>
      <c r="AX74" s="2">
        <f t="shared" si="210"/>
        <v>0</v>
      </c>
      <c r="AY74" s="2">
        <f t="shared" si="210"/>
        <v>0</v>
      </c>
      <c r="AZ74" s="2">
        <f t="shared" si="210"/>
        <v>0</v>
      </c>
      <c r="BA74" s="2">
        <f t="shared" si="210"/>
        <v>0</v>
      </c>
      <c r="BB74" s="2">
        <f t="shared" si="210"/>
        <v>0</v>
      </c>
      <c r="BC74" s="2">
        <f t="shared" si="210"/>
        <v>0</v>
      </c>
      <c r="BD74" s="2">
        <f t="shared" si="210"/>
        <v>0</v>
      </c>
      <c r="BE74" s="2">
        <f t="shared" si="210"/>
        <v>0</v>
      </c>
      <c r="BF74" s="2">
        <f t="shared" si="210"/>
        <v>0</v>
      </c>
      <c r="BG74" s="2">
        <f t="shared" si="210"/>
        <v>0</v>
      </c>
      <c r="BH74" s="2">
        <f t="shared" si="210"/>
        <v>0</v>
      </c>
      <c r="BI74" s="2">
        <f t="shared" si="210"/>
        <v>0</v>
      </c>
      <c r="BJ74" s="2">
        <f t="shared" si="210"/>
        <v>0</v>
      </c>
      <c r="BK74" s="2">
        <f t="shared" si="210"/>
        <v>0</v>
      </c>
      <c r="BL74" s="2">
        <f t="shared" si="210"/>
        <v>0</v>
      </c>
      <c r="BM74" s="2">
        <f t="shared" si="210"/>
        <v>0</v>
      </c>
      <c r="BN74" s="2">
        <f t="shared" si="210"/>
        <v>0</v>
      </c>
      <c r="BO74" s="2">
        <f t="shared" si="210"/>
        <v>0</v>
      </c>
      <c r="BP74" s="2">
        <f t="shared" si="210"/>
        <v>0</v>
      </c>
      <c r="BQ74" s="2">
        <f t="shared" ref="BQ74:CG74" si="211">IF(AND(BQ$25&gt;BQ$24,IF(ISNA(BQ$29),TRUE,BQ47&gt;=BQ$29),(BQ67-BQ47-(-BQ$25*(BQ47-BP47)/(BQ$25-BP$25)))/((BQ47-BP47)/(BQ$25-BP$25))&lt;=BQ$25,(BQ67-BQ47-(-BQ$25*(BQ47-BP47)/(BQ$25-BP$25)))/((BQ47-BP47)/(BQ$25-BP$25))&gt;BP$25),(BQ67-BQ47-(-BQ$25*(BQ47-BP47)/(BQ$25-BP$25)))/((BQ47-BP47)/(BQ$25-BP$25)),0)</f>
        <v>0</v>
      </c>
      <c r="BR74" s="2">
        <f t="shared" si="211"/>
        <v>0</v>
      </c>
      <c r="BS74" s="2">
        <f t="shared" si="211"/>
        <v>0</v>
      </c>
      <c r="BT74" s="2">
        <f t="shared" si="211"/>
        <v>0</v>
      </c>
      <c r="BU74" s="2">
        <f t="shared" si="211"/>
        <v>1.0022477041579523</v>
      </c>
      <c r="BV74" s="2">
        <f t="shared" si="211"/>
        <v>0</v>
      </c>
      <c r="BW74" s="2">
        <f t="shared" si="211"/>
        <v>0</v>
      </c>
      <c r="BX74" s="2">
        <f t="shared" si="211"/>
        <v>0</v>
      </c>
      <c r="BY74" s="2">
        <f t="shared" si="211"/>
        <v>0</v>
      </c>
      <c r="BZ74" s="2">
        <f t="shared" si="211"/>
        <v>0</v>
      </c>
      <c r="CA74" s="2">
        <f t="shared" si="211"/>
        <v>0</v>
      </c>
      <c r="CB74" s="2">
        <f t="shared" si="211"/>
        <v>0</v>
      </c>
      <c r="CC74" s="2">
        <f t="shared" si="211"/>
        <v>0</v>
      </c>
      <c r="CD74" s="2">
        <f t="shared" si="211"/>
        <v>0</v>
      </c>
      <c r="CE74" s="2">
        <f t="shared" si="211"/>
        <v>0</v>
      </c>
      <c r="CF74" s="2">
        <f t="shared" si="211"/>
        <v>0</v>
      </c>
      <c r="CG74" s="2">
        <f t="shared" si="211"/>
        <v>0</v>
      </c>
      <c r="CH74" s="2" cm="1">
        <f t="array" aca="1" ref="CH74" ca="1">IF(MAX(D74:CG74),MAX(D74:CG74),INDIRECT(CI47))</f>
        <v>1.0022477041579523</v>
      </c>
    </row>
    <row r="75" spans="2:86">
      <c r="B75" s="2" t="s">
        <v>738</v>
      </c>
      <c r="D75" s="2">
        <f t="shared" ref="D75:BO75" si="212">IF(AND(D$25&gt;D$24,IF(ISNA(D$29),TRUE,D48&gt;=D$29),(D68-D48-(-D$25*(D48-C48)/(D$25-C$25)))/((D48-C48)/(D$25-C$25))&lt;=D$25,(D68-D48-(-D$25*(D48-C48)/(D$25-C$25)))/((D48-C48)/(D$25-C$25))&gt;C$25),(D68-D48-(-D$25*(D48-C48)/(D$25-C$25)))/((D48-C48)/(D$25-C$25)),0)</f>
        <v>0</v>
      </c>
      <c r="E75" s="2">
        <f t="shared" si="212"/>
        <v>0</v>
      </c>
      <c r="F75" s="2">
        <f t="shared" si="212"/>
        <v>0</v>
      </c>
      <c r="G75" s="2">
        <f t="shared" si="212"/>
        <v>0</v>
      </c>
      <c r="H75" s="2">
        <f t="shared" si="212"/>
        <v>0</v>
      </c>
      <c r="I75" s="2">
        <f t="shared" si="212"/>
        <v>0</v>
      </c>
      <c r="J75" s="2">
        <f t="shared" si="212"/>
        <v>0</v>
      </c>
      <c r="K75" s="2">
        <f t="shared" si="212"/>
        <v>0</v>
      </c>
      <c r="L75" s="2">
        <f t="shared" si="212"/>
        <v>0</v>
      </c>
      <c r="M75" s="2">
        <f t="shared" si="212"/>
        <v>0</v>
      </c>
      <c r="N75" s="2">
        <f t="shared" si="212"/>
        <v>0</v>
      </c>
      <c r="O75" s="2">
        <f t="shared" si="212"/>
        <v>0</v>
      </c>
      <c r="P75" s="2">
        <f t="shared" si="212"/>
        <v>0</v>
      </c>
      <c r="Q75" s="2">
        <f t="shared" si="212"/>
        <v>0</v>
      </c>
      <c r="R75" s="2">
        <f t="shared" si="212"/>
        <v>0</v>
      </c>
      <c r="S75" s="2">
        <f t="shared" si="212"/>
        <v>0</v>
      </c>
      <c r="T75" s="2">
        <f t="shared" si="212"/>
        <v>0</v>
      </c>
      <c r="U75" s="2">
        <f t="shared" si="212"/>
        <v>0</v>
      </c>
      <c r="V75" s="2">
        <f t="shared" si="212"/>
        <v>0</v>
      </c>
      <c r="W75" s="2">
        <f t="shared" si="212"/>
        <v>0</v>
      </c>
      <c r="X75" s="2">
        <f t="shared" si="212"/>
        <v>0</v>
      </c>
      <c r="Y75" s="2">
        <f t="shared" si="212"/>
        <v>0</v>
      </c>
      <c r="Z75" s="2">
        <f t="shared" si="212"/>
        <v>0</v>
      </c>
      <c r="AA75" s="2">
        <f t="shared" si="212"/>
        <v>0</v>
      </c>
      <c r="AB75" s="2">
        <f t="shared" si="212"/>
        <v>0</v>
      </c>
      <c r="AC75" s="2">
        <f t="shared" si="212"/>
        <v>0</v>
      </c>
      <c r="AD75" s="2">
        <f t="shared" si="212"/>
        <v>0</v>
      </c>
      <c r="AE75" s="2">
        <f t="shared" si="212"/>
        <v>0</v>
      </c>
      <c r="AF75" s="2">
        <f t="shared" si="212"/>
        <v>0</v>
      </c>
      <c r="AG75" s="2">
        <f t="shared" si="212"/>
        <v>0</v>
      </c>
      <c r="AH75" s="2">
        <f t="shared" si="212"/>
        <v>0</v>
      </c>
      <c r="AI75" s="2">
        <f t="shared" si="212"/>
        <v>0</v>
      </c>
      <c r="AJ75" s="2">
        <f t="shared" si="212"/>
        <v>0</v>
      </c>
      <c r="AK75" s="2">
        <f t="shared" si="212"/>
        <v>0</v>
      </c>
      <c r="AL75" s="2">
        <f t="shared" si="212"/>
        <v>0</v>
      </c>
      <c r="AM75" s="2">
        <f t="shared" si="212"/>
        <v>0</v>
      </c>
      <c r="AN75" s="2">
        <f t="shared" si="212"/>
        <v>0</v>
      </c>
      <c r="AO75" s="2">
        <f t="shared" si="212"/>
        <v>0</v>
      </c>
      <c r="AP75" s="2">
        <f t="shared" si="212"/>
        <v>0</v>
      </c>
      <c r="AQ75" s="2">
        <f t="shared" si="212"/>
        <v>0</v>
      </c>
      <c r="AR75" s="2">
        <f t="shared" si="212"/>
        <v>0</v>
      </c>
      <c r="AS75" s="2">
        <f t="shared" si="212"/>
        <v>0</v>
      </c>
      <c r="AT75" s="2">
        <f t="shared" si="212"/>
        <v>0</v>
      </c>
      <c r="AU75" s="2">
        <f t="shared" si="212"/>
        <v>0</v>
      </c>
      <c r="AV75" s="2">
        <f t="shared" si="212"/>
        <v>0</v>
      </c>
      <c r="AW75" s="2">
        <f t="shared" si="212"/>
        <v>0</v>
      </c>
      <c r="AX75" s="2">
        <f t="shared" si="212"/>
        <v>0</v>
      </c>
      <c r="AY75" s="2">
        <f t="shared" si="212"/>
        <v>0</v>
      </c>
      <c r="AZ75" s="2">
        <f t="shared" si="212"/>
        <v>0</v>
      </c>
      <c r="BA75" s="2">
        <f t="shared" si="212"/>
        <v>0</v>
      </c>
      <c r="BB75" s="2">
        <f t="shared" si="212"/>
        <v>0</v>
      </c>
      <c r="BC75" s="2">
        <f t="shared" si="212"/>
        <v>0</v>
      </c>
      <c r="BD75" s="2">
        <f t="shared" si="212"/>
        <v>0</v>
      </c>
      <c r="BE75" s="2">
        <f t="shared" si="212"/>
        <v>0</v>
      </c>
      <c r="BF75" s="2">
        <f t="shared" si="212"/>
        <v>0</v>
      </c>
      <c r="BG75" s="2">
        <f t="shared" si="212"/>
        <v>0</v>
      </c>
      <c r="BH75" s="2">
        <f t="shared" si="212"/>
        <v>0</v>
      </c>
      <c r="BI75" s="2">
        <f t="shared" si="212"/>
        <v>0</v>
      </c>
      <c r="BJ75" s="2">
        <f t="shared" si="212"/>
        <v>0</v>
      </c>
      <c r="BK75" s="2">
        <f t="shared" si="212"/>
        <v>0</v>
      </c>
      <c r="BL75" s="2">
        <f t="shared" si="212"/>
        <v>0</v>
      </c>
      <c r="BM75" s="2">
        <f t="shared" si="212"/>
        <v>0</v>
      </c>
      <c r="BN75" s="2">
        <f t="shared" si="212"/>
        <v>0</v>
      </c>
      <c r="BO75" s="2">
        <f t="shared" si="212"/>
        <v>0</v>
      </c>
      <c r="BP75" s="2">
        <f t="shared" ref="BP75:CG75" si="213">IF(AND(BP$25&gt;BP$24,IF(ISNA(BP$29),TRUE,BP48&gt;=BP$29),(BP68-BP48-(-BP$25*(BP48-BO48)/(BP$25-BO$25)))/((BP48-BO48)/(BP$25-BO$25))&lt;=BP$25,(BP68-BP48-(-BP$25*(BP48-BO48)/(BP$25-BO$25)))/((BP48-BO48)/(BP$25-BO$25))&gt;BO$25),(BP68-BP48-(-BP$25*(BP48-BO48)/(BP$25-BO$25)))/((BP48-BO48)/(BP$25-BO$25)),0)</f>
        <v>0</v>
      </c>
      <c r="BQ75" s="2">
        <f t="shared" si="213"/>
        <v>0</v>
      </c>
      <c r="BR75" s="2">
        <f t="shared" si="213"/>
        <v>0.96617717106449652</v>
      </c>
      <c r="BS75" s="2">
        <f t="shared" si="213"/>
        <v>0</v>
      </c>
      <c r="BT75" s="2">
        <f t="shared" si="213"/>
        <v>0</v>
      </c>
      <c r="BU75" s="2">
        <f t="shared" si="213"/>
        <v>0</v>
      </c>
      <c r="BV75" s="2">
        <f t="shared" si="213"/>
        <v>0</v>
      </c>
      <c r="BW75" s="2">
        <f t="shared" si="213"/>
        <v>0</v>
      </c>
      <c r="BX75" s="2">
        <f t="shared" si="213"/>
        <v>0</v>
      </c>
      <c r="BY75" s="2">
        <f t="shared" si="213"/>
        <v>0</v>
      </c>
      <c r="BZ75" s="2">
        <f t="shared" si="213"/>
        <v>0</v>
      </c>
      <c r="CA75" s="2">
        <f t="shared" si="213"/>
        <v>0</v>
      </c>
      <c r="CB75" s="2">
        <f t="shared" si="213"/>
        <v>0</v>
      </c>
      <c r="CC75" s="2">
        <f t="shared" si="213"/>
        <v>0</v>
      </c>
      <c r="CD75" s="2">
        <f t="shared" si="213"/>
        <v>0</v>
      </c>
      <c r="CE75" s="2">
        <f t="shared" si="213"/>
        <v>0</v>
      </c>
      <c r="CF75" s="2">
        <f t="shared" si="213"/>
        <v>0</v>
      </c>
      <c r="CG75" s="2">
        <f t="shared" si="213"/>
        <v>0</v>
      </c>
      <c r="CH75" s="2" cm="1">
        <f t="array" aca="1" ref="CH75" ca="1">IF(MAX(D75:CG75),MAX(D75:CG75),INDIRECT(CI48))</f>
        <v>0.96617717106449652</v>
      </c>
    </row>
    <row r="76" spans="2:86">
      <c r="B76" s="2" t="s">
        <v>739</v>
      </c>
      <c r="D76" s="2">
        <f t="shared" ref="D76:BO76" si="214">IF(AND(D$25&gt;D$24,IF(ISNA(D$29),TRUE,D49&gt;=D$29),(D69-D49-(-D$25*(D49-C49)/(D$25-C$25)))/((D49-C49)/(D$25-C$25))&lt;=D$25,(D69-D49-(-D$25*(D49-C49)/(D$25-C$25)))/((D49-C49)/(D$25-C$25))&gt;C$25),(D69-D49-(-D$25*(D49-C49)/(D$25-C$25)))/((D49-C49)/(D$25-C$25)),0)</f>
        <v>0</v>
      </c>
      <c r="E76" s="2">
        <f t="shared" si="214"/>
        <v>0</v>
      </c>
      <c r="F76" s="2">
        <f t="shared" si="214"/>
        <v>0</v>
      </c>
      <c r="G76" s="2">
        <f t="shared" si="214"/>
        <v>0</v>
      </c>
      <c r="H76" s="2">
        <f t="shared" si="214"/>
        <v>0</v>
      </c>
      <c r="I76" s="2">
        <f t="shared" si="214"/>
        <v>0</v>
      </c>
      <c r="J76" s="2">
        <f t="shared" si="214"/>
        <v>0</v>
      </c>
      <c r="K76" s="2">
        <f t="shared" si="214"/>
        <v>0</v>
      </c>
      <c r="L76" s="2">
        <f t="shared" si="214"/>
        <v>0</v>
      </c>
      <c r="M76" s="2">
        <f t="shared" si="214"/>
        <v>0</v>
      </c>
      <c r="N76" s="2">
        <f t="shared" si="214"/>
        <v>0</v>
      </c>
      <c r="O76" s="2">
        <f t="shared" si="214"/>
        <v>0</v>
      </c>
      <c r="P76" s="2">
        <f t="shared" si="214"/>
        <v>0</v>
      </c>
      <c r="Q76" s="2">
        <f t="shared" si="214"/>
        <v>0</v>
      </c>
      <c r="R76" s="2">
        <f t="shared" si="214"/>
        <v>0</v>
      </c>
      <c r="S76" s="2">
        <f t="shared" si="214"/>
        <v>0</v>
      </c>
      <c r="T76" s="2">
        <f t="shared" si="214"/>
        <v>0</v>
      </c>
      <c r="U76" s="2">
        <f t="shared" si="214"/>
        <v>0</v>
      </c>
      <c r="V76" s="2">
        <f t="shared" si="214"/>
        <v>0</v>
      </c>
      <c r="W76" s="2">
        <f t="shared" si="214"/>
        <v>0</v>
      </c>
      <c r="X76" s="2">
        <f t="shared" si="214"/>
        <v>0</v>
      </c>
      <c r="Y76" s="2">
        <f t="shared" si="214"/>
        <v>0</v>
      </c>
      <c r="Z76" s="2">
        <f t="shared" si="214"/>
        <v>0</v>
      </c>
      <c r="AA76" s="2">
        <f t="shared" si="214"/>
        <v>0</v>
      </c>
      <c r="AB76" s="2">
        <f t="shared" si="214"/>
        <v>0</v>
      </c>
      <c r="AC76" s="2">
        <f t="shared" si="214"/>
        <v>0</v>
      </c>
      <c r="AD76" s="2">
        <f t="shared" si="214"/>
        <v>0</v>
      </c>
      <c r="AE76" s="2">
        <f t="shared" si="214"/>
        <v>0</v>
      </c>
      <c r="AF76" s="2">
        <f t="shared" si="214"/>
        <v>0</v>
      </c>
      <c r="AG76" s="2">
        <f t="shared" si="214"/>
        <v>0</v>
      </c>
      <c r="AH76" s="2">
        <f t="shared" si="214"/>
        <v>0</v>
      </c>
      <c r="AI76" s="2">
        <f t="shared" si="214"/>
        <v>0</v>
      </c>
      <c r="AJ76" s="2">
        <f t="shared" si="214"/>
        <v>0</v>
      </c>
      <c r="AK76" s="2">
        <f t="shared" si="214"/>
        <v>0</v>
      </c>
      <c r="AL76" s="2">
        <f t="shared" si="214"/>
        <v>0</v>
      </c>
      <c r="AM76" s="2">
        <f t="shared" si="214"/>
        <v>0</v>
      </c>
      <c r="AN76" s="2">
        <f t="shared" si="214"/>
        <v>0</v>
      </c>
      <c r="AO76" s="2">
        <f t="shared" si="214"/>
        <v>0</v>
      </c>
      <c r="AP76" s="2">
        <f t="shared" si="214"/>
        <v>0</v>
      </c>
      <c r="AQ76" s="2">
        <f t="shared" si="214"/>
        <v>0</v>
      </c>
      <c r="AR76" s="2">
        <f t="shared" si="214"/>
        <v>0</v>
      </c>
      <c r="AS76" s="2">
        <f t="shared" si="214"/>
        <v>0</v>
      </c>
      <c r="AT76" s="2">
        <f t="shared" si="214"/>
        <v>0</v>
      </c>
      <c r="AU76" s="2">
        <f t="shared" si="214"/>
        <v>0</v>
      </c>
      <c r="AV76" s="2">
        <f t="shared" si="214"/>
        <v>0</v>
      </c>
      <c r="AW76" s="2">
        <f t="shared" si="214"/>
        <v>0</v>
      </c>
      <c r="AX76" s="2">
        <f t="shared" si="214"/>
        <v>0</v>
      </c>
      <c r="AY76" s="2">
        <f t="shared" si="214"/>
        <v>0</v>
      </c>
      <c r="AZ76" s="2">
        <f t="shared" si="214"/>
        <v>0</v>
      </c>
      <c r="BA76" s="2">
        <f t="shared" si="214"/>
        <v>0</v>
      </c>
      <c r="BB76" s="2">
        <f t="shared" si="214"/>
        <v>0</v>
      </c>
      <c r="BC76" s="2">
        <f t="shared" si="214"/>
        <v>0</v>
      </c>
      <c r="BD76" s="2">
        <f t="shared" si="214"/>
        <v>0</v>
      </c>
      <c r="BE76" s="2">
        <f t="shared" si="214"/>
        <v>0</v>
      </c>
      <c r="BF76" s="2">
        <f t="shared" si="214"/>
        <v>0</v>
      </c>
      <c r="BG76" s="2">
        <f t="shared" si="214"/>
        <v>0</v>
      </c>
      <c r="BH76" s="2">
        <f t="shared" si="214"/>
        <v>0</v>
      </c>
      <c r="BI76" s="2">
        <f t="shared" si="214"/>
        <v>0</v>
      </c>
      <c r="BJ76" s="2">
        <f t="shared" si="214"/>
        <v>0</v>
      </c>
      <c r="BK76" s="2">
        <f t="shared" si="214"/>
        <v>0</v>
      </c>
      <c r="BL76" s="2">
        <f t="shared" si="214"/>
        <v>0.87685503396264175</v>
      </c>
      <c r="BM76" s="2">
        <f t="shared" si="214"/>
        <v>0</v>
      </c>
      <c r="BN76" s="2">
        <f t="shared" si="214"/>
        <v>0</v>
      </c>
      <c r="BO76" s="2">
        <f t="shared" si="214"/>
        <v>0</v>
      </c>
      <c r="BP76" s="2">
        <f t="shared" ref="BP76:CG76" si="215">IF(AND(BP$25&gt;BP$24,IF(ISNA(BP$29),TRUE,BP49&gt;=BP$29),(BP69-BP49-(-BP$25*(BP49-BO49)/(BP$25-BO$25)))/((BP49-BO49)/(BP$25-BO$25))&lt;=BP$25,(BP69-BP49-(-BP$25*(BP49-BO49)/(BP$25-BO$25)))/((BP49-BO49)/(BP$25-BO$25))&gt;BO$25),(BP69-BP49-(-BP$25*(BP49-BO49)/(BP$25-BO$25)))/((BP49-BO49)/(BP$25-BO$25)),0)</f>
        <v>0</v>
      </c>
      <c r="BQ76" s="2">
        <f t="shared" si="215"/>
        <v>0</v>
      </c>
      <c r="BR76" s="2">
        <f t="shared" si="215"/>
        <v>0</v>
      </c>
      <c r="BS76" s="2">
        <f t="shared" si="215"/>
        <v>0</v>
      </c>
      <c r="BT76" s="2">
        <f t="shared" si="215"/>
        <v>0</v>
      </c>
      <c r="BU76" s="2">
        <f t="shared" si="215"/>
        <v>0</v>
      </c>
      <c r="BV76" s="2">
        <f t="shared" si="215"/>
        <v>0</v>
      </c>
      <c r="BW76" s="2">
        <f t="shared" si="215"/>
        <v>0</v>
      </c>
      <c r="BX76" s="2">
        <f t="shared" si="215"/>
        <v>0</v>
      </c>
      <c r="BY76" s="2">
        <f t="shared" si="215"/>
        <v>0</v>
      </c>
      <c r="BZ76" s="2">
        <f t="shared" si="215"/>
        <v>0</v>
      </c>
      <c r="CA76" s="2">
        <f t="shared" si="215"/>
        <v>0</v>
      </c>
      <c r="CB76" s="2">
        <f t="shared" si="215"/>
        <v>0</v>
      </c>
      <c r="CC76" s="2">
        <f t="shared" si="215"/>
        <v>0</v>
      </c>
      <c r="CD76" s="2">
        <f t="shared" si="215"/>
        <v>0</v>
      </c>
      <c r="CE76" s="2">
        <f t="shared" si="215"/>
        <v>0</v>
      </c>
      <c r="CF76" s="2">
        <f t="shared" si="215"/>
        <v>0</v>
      </c>
      <c r="CG76" s="2">
        <f t="shared" si="215"/>
        <v>0</v>
      </c>
      <c r="CH76" s="2" cm="1">
        <f t="array" aca="1" ref="CH76" ca="1">IF(MAX(D76:CG76),MAX(D76:CG76),INDIRECT(CI49))</f>
        <v>0.87685503396264175</v>
      </c>
    </row>
    <row r="77" spans="2:86">
      <c r="B77" s="2" t="s">
        <v>740</v>
      </c>
      <c r="D77" s="2">
        <f t="shared" ref="D77:BO77" si="216">IF(AND(D$25&gt;D$24,IF(ISNA(D$29),TRUE,D50&gt;=D$29),(D70-D50-(-D$25*(D50-C50)/(D$25-C$25)))/((D50-C50)/(D$25-C$25))&lt;=D$25,(D70-D50-(-D$25*(D50-C50)/(D$25-C$25)))/((D50-C50)/(D$25-C$25))&gt;C$25),(D70-D50-(-D$25*(D50-C50)/(D$25-C$25)))/((D50-C50)/(D$25-C$25)),0)</f>
        <v>0</v>
      </c>
      <c r="E77" s="2">
        <f t="shared" si="216"/>
        <v>0</v>
      </c>
      <c r="F77" s="2">
        <f t="shared" si="216"/>
        <v>0</v>
      </c>
      <c r="G77" s="2">
        <f t="shared" si="216"/>
        <v>0</v>
      </c>
      <c r="H77" s="2">
        <f t="shared" si="216"/>
        <v>0</v>
      </c>
      <c r="I77" s="2">
        <f t="shared" si="216"/>
        <v>0</v>
      </c>
      <c r="J77" s="2">
        <f t="shared" si="216"/>
        <v>0</v>
      </c>
      <c r="K77" s="2">
        <f t="shared" si="216"/>
        <v>0</v>
      </c>
      <c r="L77" s="2">
        <f t="shared" si="216"/>
        <v>0</v>
      </c>
      <c r="M77" s="2">
        <f t="shared" si="216"/>
        <v>0</v>
      </c>
      <c r="N77" s="2">
        <f t="shared" si="216"/>
        <v>0</v>
      </c>
      <c r="O77" s="2">
        <f t="shared" si="216"/>
        <v>0</v>
      </c>
      <c r="P77" s="2">
        <f t="shared" si="216"/>
        <v>0</v>
      </c>
      <c r="Q77" s="2">
        <f t="shared" si="216"/>
        <v>0</v>
      </c>
      <c r="R77" s="2">
        <f t="shared" si="216"/>
        <v>0</v>
      </c>
      <c r="S77" s="2">
        <f t="shared" si="216"/>
        <v>0</v>
      </c>
      <c r="T77" s="2">
        <f t="shared" si="216"/>
        <v>0</v>
      </c>
      <c r="U77" s="2">
        <f t="shared" si="216"/>
        <v>0</v>
      </c>
      <c r="V77" s="2">
        <f t="shared" si="216"/>
        <v>0</v>
      </c>
      <c r="W77" s="2">
        <f t="shared" si="216"/>
        <v>0</v>
      </c>
      <c r="X77" s="2">
        <f t="shared" si="216"/>
        <v>0</v>
      </c>
      <c r="Y77" s="2">
        <f t="shared" si="216"/>
        <v>0</v>
      </c>
      <c r="Z77" s="2">
        <f t="shared" si="216"/>
        <v>0</v>
      </c>
      <c r="AA77" s="2">
        <f t="shared" si="216"/>
        <v>0</v>
      </c>
      <c r="AB77" s="2">
        <f t="shared" si="216"/>
        <v>0</v>
      </c>
      <c r="AC77" s="2">
        <f t="shared" si="216"/>
        <v>0</v>
      </c>
      <c r="AD77" s="2">
        <f t="shared" si="216"/>
        <v>0</v>
      </c>
      <c r="AE77" s="2">
        <f t="shared" si="216"/>
        <v>0</v>
      </c>
      <c r="AF77" s="2">
        <f t="shared" si="216"/>
        <v>0</v>
      </c>
      <c r="AG77" s="2">
        <f t="shared" si="216"/>
        <v>0</v>
      </c>
      <c r="AH77" s="2">
        <f t="shared" si="216"/>
        <v>0</v>
      </c>
      <c r="AI77" s="2">
        <f t="shared" si="216"/>
        <v>0</v>
      </c>
      <c r="AJ77" s="2">
        <f t="shared" si="216"/>
        <v>0</v>
      </c>
      <c r="AK77" s="2">
        <f t="shared" si="216"/>
        <v>0</v>
      </c>
      <c r="AL77" s="2">
        <f t="shared" si="216"/>
        <v>0</v>
      </c>
      <c r="AM77" s="2">
        <f t="shared" si="216"/>
        <v>0</v>
      </c>
      <c r="AN77" s="2">
        <f t="shared" si="216"/>
        <v>0</v>
      </c>
      <c r="AO77" s="2">
        <f t="shared" si="216"/>
        <v>0</v>
      </c>
      <c r="AP77" s="2">
        <f t="shared" si="216"/>
        <v>0</v>
      </c>
      <c r="AQ77" s="2">
        <f t="shared" si="216"/>
        <v>0</v>
      </c>
      <c r="AR77" s="2">
        <f t="shared" si="216"/>
        <v>0</v>
      </c>
      <c r="AS77" s="2">
        <f t="shared" si="216"/>
        <v>0</v>
      </c>
      <c r="AT77" s="2">
        <f t="shared" si="216"/>
        <v>0</v>
      </c>
      <c r="AU77" s="2">
        <f t="shared" si="216"/>
        <v>0</v>
      </c>
      <c r="AV77" s="2">
        <f t="shared" si="216"/>
        <v>0</v>
      </c>
      <c r="AW77" s="2">
        <f t="shared" si="216"/>
        <v>0</v>
      </c>
      <c r="AX77" s="2">
        <f t="shared" si="216"/>
        <v>0</v>
      </c>
      <c r="AY77" s="2">
        <f t="shared" si="216"/>
        <v>0</v>
      </c>
      <c r="AZ77" s="2">
        <f t="shared" si="216"/>
        <v>0</v>
      </c>
      <c r="BA77" s="2">
        <f t="shared" si="216"/>
        <v>0</v>
      </c>
      <c r="BB77" s="2">
        <f t="shared" si="216"/>
        <v>0</v>
      </c>
      <c r="BC77" s="2">
        <f t="shared" si="216"/>
        <v>0</v>
      </c>
      <c r="BD77" s="2">
        <f t="shared" si="216"/>
        <v>0</v>
      </c>
      <c r="BE77" s="2">
        <f t="shared" si="216"/>
        <v>0.77598273389373873</v>
      </c>
      <c r="BF77" s="2">
        <f t="shared" si="216"/>
        <v>0</v>
      </c>
      <c r="BG77" s="2">
        <f t="shared" si="216"/>
        <v>0</v>
      </c>
      <c r="BH77" s="2">
        <f t="shared" si="216"/>
        <v>0</v>
      </c>
      <c r="BI77" s="2">
        <f t="shared" si="216"/>
        <v>0</v>
      </c>
      <c r="BJ77" s="2">
        <f t="shared" si="216"/>
        <v>0</v>
      </c>
      <c r="BK77" s="2">
        <f t="shared" si="216"/>
        <v>0</v>
      </c>
      <c r="BL77" s="2">
        <f t="shared" si="216"/>
        <v>0</v>
      </c>
      <c r="BM77" s="2">
        <f t="shared" si="216"/>
        <v>0</v>
      </c>
      <c r="BN77" s="2">
        <f t="shared" si="216"/>
        <v>0</v>
      </c>
      <c r="BO77" s="2">
        <f t="shared" si="216"/>
        <v>0</v>
      </c>
      <c r="BP77" s="2">
        <f t="shared" ref="BP77:CG77" si="217">IF(AND(BP$25&gt;BP$24,IF(ISNA(BP$29),TRUE,BP50&gt;=BP$29),(BP70-BP50-(-BP$25*(BP50-BO50)/(BP$25-BO$25)))/((BP50-BO50)/(BP$25-BO$25))&lt;=BP$25,(BP70-BP50-(-BP$25*(BP50-BO50)/(BP$25-BO$25)))/((BP50-BO50)/(BP$25-BO$25))&gt;BO$25),(BP70-BP50-(-BP$25*(BP50-BO50)/(BP$25-BO$25)))/((BP50-BO50)/(BP$25-BO$25)),0)</f>
        <v>0</v>
      </c>
      <c r="BQ77" s="2">
        <f t="shared" si="217"/>
        <v>0</v>
      </c>
      <c r="BR77" s="2">
        <f t="shared" si="217"/>
        <v>0</v>
      </c>
      <c r="BS77" s="2">
        <f t="shared" si="217"/>
        <v>0</v>
      </c>
      <c r="BT77" s="2">
        <f t="shared" si="217"/>
        <v>0</v>
      </c>
      <c r="BU77" s="2">
        <f t="shared" si="217"/>
        <v>0</v>
      </c>
      <c r="BV77" s="2">
        <f t="shared" si="217"/>
        <v>0</v>
      </c>
      <c r="BW77" s="2">
        <f t="shared" si="217"/>
        <v>0</v>
      </c>
      <c r="BX77" s="2">
        <f t="shared" si="217"/>
        <v>0</v>
      </c>
      <c r="BY77" s="2">
        <f t="shared" si="217"/>
        <v>0</v>
      </c>
      <c r="BZ77" s="2">
        <f t="shared" si="217"/>
        <v>0</v>
      </c>
      <c r="CA77" s="2">
        <f t="shared" si="217"/>
        <v>0</v>
      </c>
      <c r="CB77" s="2">
        <f t="shared" si="217"/>
        <v>0</v>
      </c>
      <c r="CC77" s="2">
        <f t="shared" si="217"/>
        <v>0</v>
      </c>
      <c r="CD77" s="2">
        <f t="shared" si="217"/>
        <v>0</v>
      </c>
      <c r="CE77" s="2">
        <f t="shared" si="217"/>
        <v>0</v>
      </c>
      <c r="CF77" s="2">
        <f t="shared" si="217"/>
        <v>0</v>
      </c>
      <c r="CG77" s="2">
        <f t="shared" si="217"/>
        <v>0</v>
      </c>
      <c r="CH77" s="2" cm="1">
        <f t="array" aca="1" ref="CH77" ca="1">IF(MAX(D77:CG77),MAX(D77:CG77),INDIRECT(CI50))</f>
        <v>0.77598273389373873</v>
      </c>
    </row>
    <row r="78" spans="2:86">
      <c r="B78" s="2" t="s">
        <v>741</v>
      </c>
      <c r="D78" s="2">
        <f t="shared" ref="D78:BO78" si="218">IF(AND(D$25&gt;D$24,IF(ISNA(D$29),TRUE,D51&gt;=D$29),(D71-D51-(-D$25*(D51-C51)/(D$25-C$25)))/((D51-C51)/(D$25-C$25))&lt;=D$25,(D71-D51-(-D$25*(D51-C51)/(D$25-C$25)))/((D51-C51)/(D$25-C$25))&gt;C$25),(D71-D51-(-D$25*(D51-C51)/(D$25-C$25)))/((D51-C51)/(D$25-C$25)),0)</f>
        <v>0</v>
      </c>
      <c r="E78" s="2">
        <f t="shared" si="218"/>
        <v>0</v>
      </c>
      <c r="F78" s="2">
        <f t="shared" si="218"/>
        <v>0</v>
      </c>
      <c r="G78" s="2">
        <f t="shared" si="218"/>
        <v>0</v>
      </c>
      <c r="H78" s="2">
        <f t="shared" si="218"/>
        <v>0</v>
      </c>
      <c r="I78" s="2">
        <f t="shared" si="218"/>
        <v>0</v>
      </c>
      <c r="J78" s="2">
        <f t="shared" si="218"/>
        <v>0</v>
      </c>
      <c r="K78" s="2">
        <f t="shared" si="218"/>
        <v>0</v>
      </c>
      <c r="L78" s="2">
        <f t="shared" si="218"/>
        <v>0</v>
      </c>
      <c r="M78" s="2">
        <f t="shared" si="218"/>
        <v>0</v>
      </c>
      <c r="N78" s="2">
        <f t="shared" si="218"/>
        <v>0</v>
      </c>
      <c r="O78" s="2">
        <f t="shared" si="218"/>
        <v>0</v>
      </c>
      <c r="P78" s="2">
        <f t="shared" si="218"/>
        <v>0</v>
      </c>
      <c r="Q78" s="2">
        <f t="shared" si="218"/>
        <v>0</v>
      </c>
      <c r="R78" s="2">
        <f t="shared" si="218"/>
        <v>0</v>
      </c>
      <c r="S78" s="2">
        <f t="shared" si="218"/>
        <v>0</v>
      </c>
      <c r="T78" s="2">
        <f t="shared" si="218"/>
        <v>0</v>
      </c>
      <c r="U78" s="2">
        <f t="shared" si="218"/>
        <v>0</v>
      </c>
      <c r="V78" s="2">
        <f t="shared" si="218"/>
        <v>0</v>
      </c>
      <c r="W78" s="2">
        <f t="shared" si="218"/>
        <v>0</v>
      </c>
      <c r="X78" s="2">
        <f t="shared" si="218"/>
        <v>0</v>
      </c>
      <c r="Y78" s="2">
        <f t="shared" si="218"/>
        <v>0</v>
      </c>
      <c r="Z78" s="2">
        <f t="shared" si="218"/>
        <v>0</v>
      </c>
      <c r="AA78" s="2">
        <f t="shared" si="218"/>
        <v>0</v>
      </c>
      <c r="AB78" s="2">
        <f t="shared" si="218"/>
        <v>0</v>
      </c>
      <c r="AC78" s="2">
        <f t="shared" si="218"/>
        <v>0</v>
      </c>
      <c r="AD78" s="2">
        <f t="shared" si="218"/>
        <v>0</v>
      </c>
      <c r="AE78" s="2">
        <f t="shared" si="218"/>
        <v>0</v>
      </c>
      <c r="AF78" s="2">
        <f t="shared" si="218"/>
        <v>0</v>
      </c>
      <c r="AG78" s="2">
        <f t="shared" si="218"/>
        <v>0</v>
      </c>
      <c r="AH78" s="2">
        <f t="shared" si="218"/>
        <v>0</v>
      </c>
      <c r="AI78" s="2">
        <f t="shared" si="218"/>
        <v>0</v>
      </c>
      <c r="AJ78" s="2">
        <f t="shared" si="218"/>
        <v>0</v>
      </c>
      <c r="AK78" s="2">
        <f t="shared" si="218"/>
        <v>0</v>
      </c>
      <c r="AL78" s="2">
        <f t="shared" si="218"/>
        <v>0</v>
      </c>
      <c r="AM78" s="2">
        <f t="shared" si="218"/>
        <v>0</v>
      </c>
      <c r="AN78" s="2">
        <f t="shared" si="218"/>
        <v>0</v>
      </c>
      <c r="AO78" s="2">
        <f t="shared" si="218"/>
        <v>0</v>
      </c>
      <c r="AP78" s="2">
        <f t="shared" si="218"/>
        <v>0</v>
      </c>
      <c r="AQ78" s="2">
        <f t="shared" si="218"/>
        <v>0</v>
      </c>
      <c r="AR78" s="2">
        <f t="shared" si="218"/>
        <v>0</v>
      </c>
      <c r="AS78" s="2">
        <f t="shared" si="218"/>
        <v>0</v>
      </c>
      <c r="AT78" s="2">
        <f t="shared" si="218"/>
        <v>0</v>
      </c>
      <c r="AU78" s="2">
        <f t="shared" si="218"/>
        <v>0</v>
      </c>
      <c r="AV78" s="2">
        <f t="shared" si="218"/>
        <v>0</v>
      </c>
      <c r="AW78" s="2">
        <f t="shared" si="218"/>
        <v>0</v>
      </c>
      <c r="AX78" s="2">
        <f t="shared" si="218"/>
        <v>0</v>
      </c>
      <c r="AY78" s="2">
        <f t="shared" si="218"/>
        <v>0.68899766906443016</v>
      </c>
      <c r="AZ78" s="2">
        <f t="shared" si="218"/>
        <v>0</v>
      </c>
      <c r="BA78" s="2">
        <f t="shared" si="218"/>
        <v>0</v>
      </c>
      <c r="BB78" s="2">
        <f t="shared" si="218"/>
        <v>0</v>
      </c>
      <c r="BC78" s="2">
        <f t="shared" si="218"/>
        <v>0</v>
      </c>
      <c r="BD78" s="2">
        <f t="shared" si="218"/>
        <v>0</v>
      </c>
      <c r="BE78" s="2">
        <f t="shared" si="218"/>
        <v>0</v>
      </c>
      <c r="BF78" s="2">
        <f t="shared" si="218"/>
        <v>0</v>
      </c>
      <c r="BG78" s="2">
        <f t="shared" si="218"/>
        <v>0</v>
      </c>
      <c r="BH78" s="2">
        <f t="shared" si="218"/>
        <v>0</v>
      </c>
      <c r="BI78" s="2">
        <f t="shared" si="218"/>
        <v>0</v>
      </c>
      <c r="BJ78" s="2">
        <f t="shared" si="218"/>
        <v>0</v>
      </c>
      <c r="BK78" s="2">
        <f t="shared" si="218"/>
        <v>0</v>
      </c>
      <c r="BL78" s="2">
        <f t="shared" si="218"/>
        <v>0</v>
      </c>
      <c r="BM78" s="2">
        <f t="shared" si="218"/>
        <v>0</v>
      </c>
      <c r="BN78" s="2">
        <f t="shared" si="218"/>
        <v>0</v>
      </c>
      <c r="BO78" s="2">
        <f t="shared" si="218"/>
        <v>0</v>
      </c>
      <c r="BP78" s="2">
        <f t="shared" ref="BP78:CG78" si="219">IF(AND(BP$25&gt;BP$24,IF(ISNA(BP$29),TRUE,BP51&gt;=BP$29),(BP71-BP51-(-BP$25*(BP51-BO51)/(BP$25-BO$25)))/((BP51-BO51)/(BP$25-BO$25))&lt;=BP$25,(BP71-BP51-(-BP$25*(BP51-BO51)/(BP$25-BO$25)))/((BP51-BO51)/(BP$25-BO$25))&gt;BO$25),(BP71-BP51-(-BP$25*(BP51-BO51)/(BP$25-BO$25)))/((BP51-BO51)/(BP$25-BO$25)),0)</f>
        <v>0</v>
      </c>
      <c r="BQ78" s="2">
        <f t="shared" si="219"/>
        <v>0</v>
      </c>
      <c r="BR78" s="2">
        <f t="shared" si="219"/>
        <v>0</v>
      </c>
      <c r="BS78" s="2">
        <f t="shared" si="219"/>
        <v>0</v>
      </c>
      <c r="BT78" s="2">
        <f t="shared" si="219"/>
        <v>0</v>
      </c>
      <c r="BU78" s="2">
        <f t="shared" si="219"/>
        <v>0</v>
      </c>
      <c r="BV78" s="2">
        <f t="shared" si="219"/>
        <v>0</v>
      </c>
      <c r="BW78" s="2">
        <f t="shared" si="219"/>
        <v>0</v>
      </c>
      <c r="BX78" s="2">
        <f t="shared" si="219"/>
        <v>0</v>
      </c>
      <c r="BY78" s="2">
        <f t="shared" si="219"/>
        <v>0</v>
      </c>
      <c r="BZ78" s="2">
        <f t="shared" si="219"/>
        <v>0</v>
      </c>
      <c r="CA78" s="2">
        <f t="shared" si="219"/>
        <v>0</v>
      </c>
      <c r="CB78" s="2">
        <f t="shared" si="219"/>
        <v>0</v>
      </c>
      <c r="CC78" s="2">
        <f t="shared" si="219"/>
        <v>0</v>
      </c>
      <c r="CD78" s="2">
        <f t="shared" si="219"/>
        <v>0</v>
      </c>
      <c r="CE78" s="2">
        <f t="shared" si="219"/>
        <v>0</v>
      </c>
      <c r="CF78" s="2">
        <f t="shared" si="219"/>
        <v>0</v>
      </c>
      <c r="CG78" s="2">
        <f t="shared" si="219"/>
        <v>0</v>
      </c>
      <c r="CH78" s="2" cm="1">
        <f t="array" aca="1" ref="CH78" ca="1">IF(MAX(D78:CG78),MAX(D78:CG78),INDIRECT(CI51))</f>
        <v>0.68899766906443016</v>
      </c>
    </row>
    <row r="79" spans="2:86">
      <c r="B79" s="2" t="s">
        <v>742</v>
      </c>
      <c r="D79" s="2">
        <f t="shared" ref="D79:BO79" si="220">IF(AND(D$25&gt;D$24,IF(ISNA(D$29),TRUE,D52&gt;=D$29),(D72-D52-(-D$25*(D52-C52)/(D$25-C$25)))/((D52-C52)/(D$25-C$25))&lt;=D$25,(D72-D52-(-D$25*(D52-C52)/(D$25-C$25)))/((D52-C52)/(D$25-C$25))&gt;C$25),(D72-D52-(-D$25*(D52-C52)/(D$25-C$25)))/((D52-C52)/(D$25-C$25)),0)</f>
        <v>0</v>
      </c>
      <c r="E79" s="2">
        <f t="shared" si="220"/>
        <v>0</v>
      </c>
      <c r="F79" s="2">
        <f t="shared" si="220"/>
        <v>0</v>
      </c>
      <c r="G79" s="2">
        <f t="shared" si="220"/>
        <v>0</v>
      </c>
      <c r="H79" s="2">
        <f t="shared" si="220"/>
        <v>0</v>
      </c>
      <c r="I79" s="2">
        <f t="shared" si="220"/>
        <v>0</v>
      </c>
      <c r="J79" s="2">
        <f t="shared" si="220"/>
        <v>0</v>
      </c>
      <c r="K79" s="2">
        <f t="shared" si="220"/>
        <v>0</v>
      </c>
      <c r="L79" s="2">
        <f t="shared" si="220"/>
        <v>0</v>
      </c>
      <c r="M79" s="2">
        <f t="shared" si="220"/>
        <v>0</v>
      </c>
      <c r="N79" s="2">
        <f t="shared" si="220"/>
        <v>0</v>
      </c>
      <c r="O79" s="2">
        <f t="shared" si="220"/>
        <v>0</v>
      </c>
      <c r="P79" s="2">
        <f t="shared" si="220"/>
        <v>0</v>
      </c>
      <c r="Q79" s="2">
        <f t="shared" si="220"/>
        <v>0</v>
      </c>
      <c r="R79" s="2">
        <f t="shared" si="220"/>
        <v>0</v>
      </c>
      <c r="S79" s="2">
        <f t="shared" si="220"/>
        <v>0</v>
      </c>
      <c r="T79" s="2">
        <f t="shared" si="220"/>
        <v>0</v>
      </c>
      <c r="U79" s="2">
        <f t="shared" si="220"/>
        <v>0</v>
      </c>
      <c r="V79" s="2">
        <f t="shared" si="220"/>
        <v>0</v>
      </c>
      <c r="W79" s="2">
        <f t="shared" si="220"/>
        <v>0</v>
      </c>
      <c r="X79" s="2">
        <f t="shared" si="220"/>
        <v>0</v>
      </c>
      <c r="Y79" s="2">
        <f t="shared" si="220"/>
        <v>0</v>
      </c>
      <c r="Z79" s="2">
        <f t="shared" si="220"/>
        <v>0</v>
      </c>
      <c r="AA79" s="2">
        <f t="shared" si="220"/>
        <v>0</v>
      </c>
      <c r="AB79" s="2">
        <f t="shared" si="220"/>
        <v>0</v>
      </c>
      <c r="AC79" s="2">
        <f t="shared" si="220"/>
        <v>0</v>
      </c>
      <c r="AD79" s="2">
        <f t="shared" si="220"/>
        <v>0</v>
      </c>
      <c r="AE79" s="2">
        <f t="shared" si="220"/>
        <v>0</v>
      </c>
      <c r="AF79" s="2">
        <f t="shared" si="220"/>
        <v>0</v>
      </c>
      <c r="AG79" s="2">
        <f t="shared" si="220"/>
        <v>0</v>
      </c>
      <c r="AH79" s="2">
        <f t="shared" si="220"/>
        <v>0</v>
      </c>
      <c r="AI79" s="2">
        <f t="shared" si="220"/>
        <v>0</v>
      </c>
      <c r="AJ79" s="2">
        <f t="shared" si="220"/>
        <v>0</v>
      </c>
      <c r="AK79" s="2">
        <f t="shared" si="220"/>
        <v>0</v>
      </c>
      <c r="AL79" s="2">
        <f t="shared" si="220"/>
        <v>0</v>
      </c>
      <c r="AM79" s="2">
        <f t="shared" si="220"/>
        <v>0</v>
      </c>
      <c r="AN79" s="2">
        <f t="shared" si="220"/>
        <v>0</v>
      </c>
      <c r="AO79" s="2">
        <f t="shared" si="220"/>
        <v>0</v>
      </c>
      <c r="AP79" s="2">
        <f t="shared" si="220"/>
        <v>0</v>
      </c>
      <c r="AQ79" s="2">
        <f t="shared" si="220"/>
        <v>0</v>
      </c>
      <c r="AR79" s="2">
        <f t="shared" si="220"/>
        <v>0</v>
      </c>
      <c r="AS79" s="2">
        <f t="shared" si="220"/>
        <v>0</v>
      </c>
      <c r="AT79" s="2">
        <f t="shared" si="220"/>
        <v>0.61855025675963726</v>
      </c>
      <c r="AU79" s="2">
        <f t="shared" si="220"/>
        <v>0</v>
      </c>
      <c r="AV79" s="2">
        <f t="shared" si="220"/>
        <v>0</v>
      </c>
      <c r="AW79" s="2">
        <f t="shared" si="220"/>
        <v>0</v>
      </c>
      <c r="AX79" s="2">
        <f t="shared" si="220"/>
        <v>0</v>
      </c>
      <c r="AY79" s="2">
        <f t="shared" si="220"/>
        <v>0</v>
      </c>
      <c r="AZ79" s="2">
        <f t="shared" si="220"/>
        <v>0</v>
      </c>
      <c r="BA79" s="2">
        <f t="shared" si="220"/>
        <v>0</v>
      </c>
      <c r="BB79" s="2">
        <f t="shared" si="220"/>
        <v>0</v>
      </c>
      <c r="BC79" s="2">
        <f t="shared" si="220"/>
        <v>0</v>
      </c>
      <c r="BD79" s="2">
        <f t="shared" si="220"/>
        <v>0</v>
      </c>
      <c r="BE79" s="2">
        <f t="shared" si="220"/>
        <v>0</v>
      </c>
      <c r="BF79" s="2">
        <f t="shared" si="220"/>
        <v>0</v>
      </c>
      <c r="BG79" s="2">
        <f t="shared" si="220"/>
        <v>0</v>
      </c>
      <c r="BH79" s="2">
        <f t="shared" si="220"/>
        <v>0</v>
      </c>
      <c r="BI79" s="2">
        <f t="shared" si="220"/>
        <v>0</v>
      </c>
      <c r="BJ79" s="2">
        <f t="shared" si="220"/>
        <v>0</v>
      </c>
      <c r="BK79" s="2">
        <f t="shared" si="220"/>
        <v>0</v>
      </c>
      <c r="BL79" s="2">
        <f t="shared" si="220"/>
        <v>0</v>
      </c>
      <c r="BM79" s="2">
        <f t="shared" si="220"/>
        <v>0</v>
      </c>
      <c r="BN79" s="2">
        <f t="shared" si="220"/>
        <v>0</v>
      </c>
      <c r="BO79" s="2">
        <f t="shared" si="220"/>
        <v>0</v>
      </c>
      <c r="BP79" s="2">
        <f t="shared" ref="BP79:CG79" si="221">IF(AND(BP$25&gt;BP$24,IF(ISNA(BP$29),TRUE,BP52&gt;=BP$29),(BP72-BP52-(-BP$25*(BP52-BO52)/(BP$25-BO$25)))/((BP52-BO52)/(BP$25-BO$25))&lt;=BP$25,(BP72-BP52-(-BP$25*(BP52-BO52)/(BP$25-BO$25)))/((BP52-BO52)/(BP$25-BO$25))&gt;BO$25),(BP72-BP52-(-BP$25*(BP52-BO52)/(BP$25-BO$25)))/((BP52-BO52)/(BP$25-BO$25)),0)</f>
        <v>0</v>
      </c>
      <c r="BQ79" s="2">
        <f t="shared" si="221"/>
        <v>0</v>
      </c>
      <c r="BR79" s="2">
        <f t="shared" si="221"/>
        <v>0</v>
      </c>
      <c r="BS79" s="2">
        <f t="shared" si="221"/>
        <v>0</v>
      </c>
      <c r="BT79" s="2">
        <f t="shared" si="221"/>
        <v>0</v>
      </c>
      <c r="BU79" s="2">
        <f t="shared" si="221"/>
        <v>0</v>
      </c>
      <c r="BV79" s="2">
        <f t="shared" si="221"/>
        <v>0</v>
      </c>
      <c r="BW79" s="2">
        <f t="shared" si="221"/>
        <v>0</v>
      </c>
      <c r="BX79" s="2">
        <f t="shared" si="221"/>
        <v>0</v>
      </c>
      <c r="BY79" s="2">
        <f t="shared" si="221"/>
        <v>0</v>
      </c>
      <c r="BZ79" s="2">
        <f t="shared" si="221"/>
        <v>0</v>
      </c>
      <c r="CA79" s="2">
        <f t="shared" si="221"/>
        <v>0</v>
      </c>
      <c r="CB79" s="2">
        <f t="shared" si="221"/>
        <v>0</v>
      </c>
      <c r="CC79" s="2">
        <f t="shared" si="221"/>
        <v>0</v>
      </c>
      <c r="CD79" s="2">
        <f t="shared" si="221"/>
        <v>0</v>
      </c>
      <c r="CE79" s="2">
        <f t="shared" si="221"/>
        <v>0</v>
      </c>
      <c r="CF79" s="2">
        <f t="shared" si="221"/>
        <v>0</v>
      </c>
      <c r="CG79" s="2">
        <f t="shared" si="221"/>
        <v>0</v>
      </c>
      <c r="CH79" s="2" cm="1">
        <f t="array" aca="1" ref="CH79" ca="1">IF(MAX(D79:CG79),MAX(D79:CG79),INDIRECT(CI52))</f>
        <v>0.61855025675963726</v>
      </c>
    </row>
    <row r="81" spans="2:86">
      <c r="B81" s="2" t="s">
        <v>743</v>
      </c>
      <c r="C81" s="2">
        <f>2*C$10*((C$5+C$11*C$6)/C$11)/(SQRT(2)*C$8*SIN(C33))</f>
        <v>1.1710788240331071</v>
      </c>
      <c r="D81" s="2">
        <f t="shared" ref="D81:BO81" si="222">2*D$10*((D$5+D$11*D$6)/D$11)/(SQRT(2)*D$8*SIN(D33))</f>
        <v>1.1710788240331071</v>
      </c>
      <c r="E81" s="2">
        <f t="shared" si="222"/>
        <v>1.1710788240331071</v>
      </c>
      <c r="F81" s="2">
        <f t="shared" si="222"/>
        <v>1.1710788240331071</v>
      </c>
      <c r="G81" s="2">
        <f t="shared" si="222"/>
        <v>1.1710788240331071</v>
      </c>
      <c r="H81" s="2">
        <f t="shared" si="222"/>
        <v>1.1710788240331071</v>
      </c>
      <c r="I81" s="2">
        <f t="shared" si="222"/>
        <v>1.1710788240331071</v>
      </c>
      <c r="J81" s="2">
        <f t="shared" si="222"/>
        <v>1.1710788240331071</v>
      </c>
      <c r="K81" s="2">
        <f t="shared" si="222"/>
        <v>1.1710788240331071</v>
      </c>
      <c r="L81" s="2">
        <f t="shared" si="222"/>
        <v>1.1710788240331071</v>
      </c>
      <c r="M81" s="2">
        <f t="shared" si="222"/>
        <v>1.1710788240331071</v>
      </c>
      <c r="N81" s="2">
        <f t="shared" si="222"/>
        <v>1.1710788240331071</v>
      </c>
      <c r="O81" s="2">
        <f t="shared" si="222"/>
        <v>1.1710788240331071</v>
      </c>
      <c r="P81" s="2">
        <f t="shared" si="222"/>
        <v>1.1710788240331071</v>
      </c>
      <c r="Q81" s="2">
        <f t="shared" si="222"/>
        <v>1.1710788240331071</v>
      </c>
      <c r="R81" s="2">
        <f t="shared" si="222"/>
        <v>1.1710788240331071</v>
      </c>
      <c r="S81" s="2">
        <f t="shared" si="222"/>
        <v>1.1710788240331071</v>
      </c>
      <c r="T81" s="2">
        <f t="shared" si="222"/>
        <v>1.1710788240331071</v>
      </c>
      <c r="U81" s="2">
        <f t="shared" si="222"/>
        <v>1.1710788240331071</v>
      </c>
      <c r="V81" s="2">
        <f t="shared" si="222"/>
        <v>1.1710788240331071</v>
      </c>
      <c r="W81" s="2">
        <f t="shared" si="222"/>
        <v>1.1710788240331071</v>
      </c>
      <c r="X81" s="2">
        <f t="shared" si="222"/>
        <v>1.1710788240331071</v>
      </c>
      <c r="Y81" s="2">
        <f t="shared" si="222"/>
        <v>1.1710788240331071</v>
      </c>
      <c r="Z81" s="2">
        <f t="shared" si="222"/>
        <v>1.1710788240331071</v>
      </c>
      <c r="AA81" s="2">
        <f t="shared" si="222"/>
        <v>1.1710788240331071</v>
      </c>
      <c r="AB81" s="2">
        <f t="shared" si="222"/>
        <v>1.1710788240331071</v>
      </c>
      <c r="AC81" s="2">
        <f t="shared" si="222"/>
        <v>1.1710788240331071</v>
      </c>
      <c r="AD81" s="2">
        <f t="shared" si="222"/>
        <v>1.1710788240331071</v>
      </c>
      <c r="AE81" s="2">
        <f t="shared" si="222"/>
        <v>1.1710788240331071</v>
      </c>
      <c r="AF81" s="2">
        <f t="shared" si="222"/>
        <v>1.1710788240331071</v>
      </c>
      <c r="AG81" s="2">
        <f t="shared" si="222"/>
        <v>1.1710788240331071</v>
      </c>
      <c r="AH81" s="2">
        <f t="shared" si="222"/>
        <v>1.1710788240331071</v>
      </c>
      <c r="AI81" s="2">
        <f t="shared" si="222"/>
        <v>1.1710788240331071</v>
      </c>
      <c r="AJ81" s="2">
        <f t="shared" si="222"/>
        <v>1.1710788240331071</v>
      </c>
      <c r="AK81" s="2">
        <f t="shared" si="222"/>
        <v>1.1710788240331071</v>
      </c>
      <c r="AL81" s="2">
        <f t="shared" si="222"/>
        <v>1.1710788240331071</v>
      </c>
      <c r="AM81" s="2">
        <f t="shared" si="222"/>
        <v>1.1710788240331071</v>
      </c>
      <c r="AN81" s="2">
        <f t="shared" si="222"/>
        <v>1.1710788240331071</v>
      </c>
      <c r="AO81" s="2">
        <f t="shared" si="222"/>
        <v>1.1710788240331071</v>
      </c>
      <c r="AP81" s="2">
        <f t="shared" si="222"/>
        <v>1.1710788240331071</v>
      </c>
      <c r="AQ81" s="2">
        <f t="shared" si="222"/>
        <v>1.1710788240331071</v>
      </c>
      <c r="AR81" s="2">
        <f t="shared" si="222"/>
        <v>1.1710788240331071</v>
      </c>
      <c r="AS81" s="2">
        <f t="shared" si="222"/>
        <v>1.1710788240331071</v>
      </c>
      <c r="AT81" s="2">
        <f t="shared" si="222"/>
        <v>1.1710788240331071</v>
      </c>
      <c r="AU81" s="2">
        <f t="shared" si="222"/>
        <v>1.1710788240331071</v>
      </c>
      <c r="AV81" s="2">
        <f t="shared" si="222"/>
        <v>1.1710788240331071</v>
      </c>
      <c r="AW81" s="2">
        <f t="shared" si="222"/>
        <v>1.1710788240331071</v>
      </c>
      <c r="AX81" s="2">
        <f t="shared" si="222"/>
        <v>1.1710788240331071</v>
      </c>
      <c r="AY81" s="2">
        <f t="shared" si="222"/>
        <v>1.1710788240331071</v>
      </c>
      <c r="AZ81" s="2">
        <f t="shared" si="222"/>
        <v>1.1710788240331071</v>
      </c>
      <c r="BA81" s="2">
        <f t="shared" si="222"/>
        <v>1.1710788240331071</v>
      </c>
      <c r="BB81" s="2">
        <f t="shared" si="222"/>
        <v>1.1710788240331071</v>
      </c>
      <c r="BC81" s="2">
        <f t="shared" si="222"/>
        <v>1.1710788240331071</v>
      </c>
      <c r="BD81" s="2">
        <f t="shared" si="222"/>
        <v>1.1710788240331071</v>
      </c>
      <c r="BE81" s="2">
        <f t="shared" si="222"/>
        <v>1.1710788240331071</v>
      </c>
      <c r="BF81" s="2">
        <f t="shared" si="222"/>
        <v>1.1710788240331071</v>
      </c>
      <c r="BG81" s="2">
        <f t="shared" si="222"/>
        <v>1.1710788240331071</v>
      </c>
      <c r="BH81" s="2">
        <f t="shared" si="222"/>
        <v>1.1710788240331071</v>
      </c>
      <c r="BI81" s="2">
        <f t="shared" si="222"/>
        <v>1.1710788240331071</v>
      </c>
      <c r="BJ81" s="2">
        <f t="shared" si="222"/>
        <v>1.1710788240331071</v>
      </c>
      <c r="BK81" s="2">
        <f t="shared" si="222"/>
        <v>1.1710788240331071</v>
      </c>
      <c r="BL81" s="2">
        <f t="shared" si="222"/>
        <v>1.1710788240331071</v>
      </c>
      <c r="BM81" s="2">
        <f t="shared" si="222"/>
        <v>1.1710788240331071</v>
      </c>
      <c r="BN81" s="2">
        <f t="shared" si="222"/>
        <v>1.1710788240331071</v>
      </c>
      <c r="BO81" s="2">
        <f t="shared" si="222"/>
        <v>1.1710788240331071</v>
      </c>
      <c r="BP81" s="2">
        <f t="shared" ref="BP81:CG81" si="223">2*BP$10*((BP$5+BP$11*BP$6)/BP$11)/(SQRT(2)*BP$8*SIN(BP33))</f>
        <v>1.1710788240331071</v>
      </c>
      <c r="BQ81" s="2">
        <f t="shared" si="223"/>
        <v>1.1710788240331071</v>
      </c>
      <c r="BR81" s="2">
        <f t="shared" si="223"/>
        <v>1.1710788240331071</v>
      </c>
      <c r="BS81" s="2">
        <f t="shared" si="223"/>
        <v>1.1710788240331071</v>
      </c>
      <c r="BT81" s="2">
        <f t="shared" si="223"/>
        <v>1.1710788240331071</v>
      </c>
      <c r="BU81" s="2">
        <f t="shared" si="223"/>
        <v>1.1710788240331071</v>
      </c>
      <c r="BV81" s="2">
        <f t="shared" si="223"/>
        <v>1.1710788240331071</v>
      </c>
      <c r="BW81" s="2">
        <f t="shared" si="223"/>
        <v>1.1710788240331071</v>
      </c>
      <c r="BX81" s="2">
        <f t="shared" si="223"/>
        <v>1.1710788240331071</v>
      </c>
      <c r="BY81" s="2">
        <f t="shared" si="223"/>
        <v>1.1710788240331071</v>
      </c>
      <c r="BZ81" s="2">
        <f t="shared" si="223"/>
        <v>1.1710788240331071</v>
      </c>
      <c r="CA81" s="2">
        <f t="shared" si="223"/>
        <v>1.1710788240331071</v>
      </c>
      <c r="CB81" s="2">
        <f t="shared" si="223"/>
        <v>1.1710788240331071</v>
      </c>
      <c r="CC81" s="2">
        <f t="shared" si="223"/>
        <v>1.1710788240331071</v>
      </c>
      <c r="CD81" s="2">
        <f t="shared" si="223"/>
        <v>1.1710788240331071</v>
      </c>
      <c r="CE81" s="2">
        <f t="shared" si="223"/>
        <v>1.1710788240331071</v>
      </c>
      <c r="CF81" s="2">
        <f t="shared" si="223"/>
        <v>1.1710788240331071</v>
      </c>
      <c r="CG81" s="2">
        <f t="shared" si="223"/>
        <v>1.1710788240331071</v>
      </c>
    </row>
    <row r="82" spans="2:86">
      <c r="B82" s="2" t="s">
        <v>744</v>
      </c>
      <c r="C82" s="2">
        <f t="shared" ref="C82:BN82" si="224">2*C$10*((C$5+C$11*C$6)/C$11)/(SQRT(2)*C$8*SIN(C34))</f>
        <v>1.2123900119041271</v>
      </c>
      <c r="D82" s="2">
        <f t="shared" si="224"/>
        <v>1.2123900119041271</v>
      </c>
      <c r="E82" s="2">
        <f t="shared" si="224"/>
        <v>1.2123900119041271</v>
      </c>
      <c r="F82" s="2">
        <f t="shared" si="224"/>
        <v>1.2123900119041271</v>
      </c>
      <c r="G82" s="2">
        <f t="shared" si="224"/>
        <v>1.2123900119041271</v>
      </c>
      <c r="H82" s="2">
        <f t="shared" si="224"/>
        <v>1.2123900119041271</v>
      </c>
      <c r="I82" s="2">
        <f t="shared" si="224"/>
        <v>1.2123900119041271</v>
      </c>
      <c r="J82" s="2">
        <f t="shared" si="224"/>
        <v>1.2123900119041271</v>
      </c>
      <c r="K82" s="2">
        <f t="shared" si="224"/>
        <v>1.2123900119041271</v>
      </c>
      <c r="L82" s="2">
        <f t="shared" si="224"/>
        <v>1.2123900119041271</v>
      </c>
      <c r="M82" s="2">
        <f t="shared" si="224"/>
        <v>1.2123900119041271</v>
      </c>
      <c r="N82" s="2">
        <f t="shared" si="224"/>
        <v>1.2123900119041271</v>
      </c>
      <c r="O82" s="2">
        <f t="shared" si="224"/>
        <v>1.2123900119041271</v>
      </c>
      <c r="P82" s="2">
        <f t="shared" si="224"/>
        <v>1.2123900119041271</v>
      </c>
      <c r="Q82" s="2">
        <f t="shared" si="224"/>
        <v>1.2123900119041271</v>
      </c>
      <c r="R82" s="2">
        <f t="shared" si="224"/>
        <v>1.2123900119041271</v>
      </c>
      <c r="S82" s="2">
        <f t="shared" si="224"/>
        <v>1.2123900119041271</v>
      </c>
      <c r="T82" s="2">
        <f t="shared" si="224"/>
        <v>1.2123900119041271</v>
      </c>
      <c r="U82" s="2">
        <f t="shared" si="224"/>
        <v>1.2123900119041271</v>
      </c>
      <c r="V82" s="2">
        <f t="shared" si="224"/>
        <v>1.2123900119041271</v>
      </c>
      <c r="W82" s="2">
        <f t="shared" si="224"/>
        <v>1.2123900119041271</v>
      </c>
      <c r="X82" s="2">
        <f t="shared" si="224"/>
        <v>1.2123900119041271</v>
      </c>
      <c r="Y82" s="2">
        <f t="shared" si="224"/>
        <v>1.2123900119041271</v>
      </c>
      <c r="Z82" s="2">
        <f t="shared" si="224"/>
        <v>1.2123900119041271</v>
      </c>
      <c r="AA82" s="2">
        <f t="shared" si="224"/>
        <v>1.2123900119041271</v>
      </c>
      <c r="AB82" s="2">
        <f t="shared" si="224"/>
        <v>1.2123900119041271</v>
      </c>
      <c r="AC82" s="2">
        <f t="shared" si="224"/>
        <v>1.2123900119041271</v>
      </c>
      <c r="AD82" s="2">
        <f t="shared" si="224"/>
        <v>1.2123900119041271</v>
      </c>
      <c r="AE82" s="2">
        <f t="shared" si="224"/>
        <v>1.2123900119041271</v>
      </c>
      <c r="AF82" s="2">
        <f t="shared" si="224"/>
        <v>1.2123900119041271</v>
      </c>
      <c r="AG82" s="2">
        <f t="shared" si="224"/>
        <v>1.2123900119041271</v>
      </c>
      <c r="AH82" s="2">
        <f t="shared" si="224"/>
        <v>1.2123900119041271</v>
      </c>
      <c r="AI82" s="2">
        <f t="shared" si="224"/>
        <v>1.2123900119041271</v>
      </c>
      <c r="AJ82" s="2">
        <f t="shared" si="224"/>
        <v>1.2123900119041271</v>
      </c>
      <c r="AK82" s="2">
        <f t="shared" si="224"/>
        <v>1.2123900119041271</v>
      </c>
      <c r="AL82" s="2">
        <f t="shared" si="224"/>
        <v>1.2123900119041271</v>
      </c>
      <c r="AM82" s="2">
        <f t="shared" si="224"/>
        <v>1.2123900119041271</v>
      </c>
      <c r="AN82" s="2">
        <f t="shared" si="224"/>
        <v>1.2123900119041271</v>
      </c>
      <c r="AO82" s="2">
        <f t="shared" si="224"/>
        <v>1.2123900119041271</v>
      </c>
      <c r="AP82" s="2">
        <f t="shared" si="224"/>
        <v>1.2123900119041271</v>
      </c>
      <c r="AQ82" s="2">
        <f t="shared" si="224"/>
        <v>1.2123900119041271</v>
      </c>
      <c r="AR82" s="2">
        <f t="shared" si="224"/>
        <v>1.2123900119041271</v>
      </c>
      <c r="AS82" s="2">
        <f t="shared" si="224"/>
        <v>1.2123900119041271</v>
      </c>
      <c r="AT82" s="2">
        <f t="shared" si="224"/>
        <v>1.2123900119041271</v>
      </c>
      <c r="AU82" s="2">
        <f t="shared" si="224"/>
        <v>1.2123900119041271</v>
      </c>
      <c r="AV82" s="2">
        <f t="shared" si="224"/>
        <v>1.2123900119041271</v>
      </c>
      <c r="AW82" s="2">
        <f t="shared" si="224"/>
        <v>1.2123900119041271</v>
      </c>
      <c r="AX82" s="2">
        <f t="shared" si="224"/>
        <v>1.2123900119041271</v>
      </c>
      <c r="AY82" s="2">
        <f t="shared" si="224"/>
        <v>1.2123900119041271</v>
      </c>
      <c r="AZ82" s="2">
        <f t="shared" si="224"/>
        <v>1.2123900119041271</v>
      </c>
      <c r="BA82" s="2">
        <f t="shared" si="224"/>
        <v>1.2123900119041271</v>
      </c>
      <c r="BB82" s="2">
        <f t="shared" si="224"/>
        <v>1.2123900119041271</v>
      </c>
      <c r="BC82" s="2">
        <f t="shared" si="224"/>
        <v>1.2123900119041271</v>
      </c>
      <c r="BD82" s="2">
        <f t="shared" si="224"/>
        <v>1.2123900119041271</v>
      </c>
      <c r="BE82" s="2">
        <f t="shared" si="224"/>
        <v>1.2123900119041271</v>
      </c>
      <c r="BF82" s="2">
        <f t="shared" si="224"/>
        <v>1.2123900119041271</v>
      </c>
      <c r="BG82" s="2">
        <f t="shared" si="224"/>
        <v>1.2123900119041271</v>
      </c>
      <c r="BH82" s="2">
        <f t="shared" si="224"/>
        <v>1.2123900119041271</v>
      </c>
      <c r="BI82" s="2">
        <f t="shared" si="224"/>
        <v>1.2123900119041271</v>
      </c>
      <c r="BJ82" s="2">
        <f t="shared" si="224"/>
        <v>1.2123900119041271</v>
      </c>
      <c r="BK82" s="2">
        <f t="shared" si="224"/>
        <v>1.2123900119041271</v>
      </c>
      <c r="BL82" s="2">
        <f t="shared" si="224"/>
        <v>1.2123900119041271</v>
      </c>
      <c r="BM82" s="2">
        <f t="shared" si="224"/>
        <v>1.2123900119041271</v>
      </c>
      <c r="BN82" s="2">
        <f t="shared" si="224"/>
        <v>1.2123900119041271</v>
      </c>
      <c r="BO82" s="2">
        <f t="shared" ref="BO82:CG82" si="225">2*BO$10*((BO$5+BO$11*BO$6)/BO$11)/(SQRT(2)*BO$8*SIN(BO34))</f>
        <v>1.2123900119041271</v>
      </c>
      <c r="BP82" s="2">
        <f t="shared" si="225"/>
        <v>1.2123900119041271</v>
      </c>
      <c r="BQ82" s="2">
        <f t="shared" si="225"/>
        <v>1.2123900119041271</v>
      </c>
      <c r="BR82" s="2">
        <f t="shared" si="225"/>
        <v>1.2123900119041271</v>
      </c>
      <c r="BS82" s="2">
        <f t="shared" si="225"/>
        <v>1.2123900119041271</v>
      </c>
      <c r="BT82" s="2">
        <f t="shared" si="225"/>
        <v>1.2123900119041271</v>
      </c>
      <c r="BU82" s="2">
        <f t="shared" si="225"/>
        <v>1.2123900119041271</v>
      </c>
      <c r="BV82" s="2">
        <f t="shared" si="225"/>
        <v>1.2123900119041271</v>
      </c>
      <c r="BW82" s="2">
        <f t="shared" si="225"/>
        <v>1.2123900119041271</v>
      </c>
      <c r="BX82" s="2">
        <f t="shared" si="225"/>
        <v>1.2123900119041271</v>
      </c>
      <c r="BY82" s="2">
        <f t="shared" si="225"/>
        <v>1.2123900119041271</v>
      </c>
      <c r="BZ82" s="2">
        <f t="shared" si="225"/>
        <v>1.2123900119041271</v>
      </c>
      <c r="CA82" s="2">
        <f t="shared" si="225"/>
        <v>1.2123900119041271</v>
      </c>
      <c r="CB82" s="2">
        <f t="shared" si="225"/>
        <v>1.2123900119041271</v>
      </c>
      <c r="CC82" s="2">
        <f t="shared" si="225"/>
        <v>1.2123900119041271</v>
      </c>
      <c r="CD82" s="2">
        <f t="shared" si="225"/>
        <v>1.2123900119041271</v>
      </c>
      <c r="CE82" s="2">
        <f t="shared" si="225"/>
        <v>1.2123900119041271</v>
      </c>
      <c r="CF82" s="2">
        <f t="shared" si="225"/>
        <v>1.2123900119041271</v>
      </c>
      <c r="CG82" s="2">
        <f t="shared" si="225"/>
        <v>1.2123900119041271</v>
      </c>
    </row>
    <row r="83" spans="2:86">
      <c r="B83" s="2" t="s">
        <v>745</v>
      </c>
      <c r="C83" s="2">
        <f t="shared" ref="C83:BN83" si="226">2*C$10*((C$5+C$11*C$6)/C$11)/(SQRT(2)*C$8*SIN(C35))</f>
        <v>1.3522453485955697</v>
      </c>
      <c r="D83" s="2">
        <f t="shared" si="226"/>
        <v>1.3522453485955697</v>
      </c>
      <c r="E83" s="2">
        <f t="shared" si="226"/>
        <v>1.3522453485955697</v>
      </c>
      <c r="F83" s="2">
        <f t="shared" si="226"/>
        <v>1.3522453485955697</v>
      </c>
      <c r="G83" s="2">
        <f t="shared" si="226"/>
        <v>1.3522453485955697</v>
      </c>
      <c r="H83" s="2">
        <f t="shared" si="226"/>
        <v>1.3522453485955697</v>
      </c>
      <c r="I83" s="2">
        <f t="shared" si="226"/>
        <v>1.3522453485955697</v>
      </c>
      <c r="J83" s="2">
        <f t="shared" si="226"/>
        <v>1.3522453485955697</v>
      </c>
      <c r="K83" s="2">
        <f t="shared" si="226"/>
        <v>1.3522453485955697</v>
      </c>
      <c r="L83" s="2">
        <f t="shared" si="226"/>
        <v>1.3522453485955697</v>
      </c>
      <c r="M83" s="2">
        <f t="shared" si="226"/>
        <v>1.3522453485955697</v>
      </c>
      <c r="N83" s="2">
        <f t="shared" si="226"/>
        <v>1.3522453485955697</v>
      </c>
      <c r="O83" s="2">
        <f t="shared" si="226"/>
        <v>1.3522453485955697</v>
      </c>
      <c r="P83" s="2">
        <f t="shared" si="226"/>
        <v>1.3522453485955697</v>
      </c>
      <c r="Q83" s="2">
        <f t="shared" si="226"/>
        <v>1.3522453485955697</v>
      </c>
      <c r="R83" s="2">
        <f t="shared" si="226"/>
        <v>1.3522453485955697</v>
      </c>
      <c r="S83" s="2">
        <f t="shared" si="226"/>
        <v>1.3522453485955697</v>
      </c>
      <c r="T83" s="2">
        <f t="shared" si="226"/>
        <v>1.3522453485955697</v>
      </c>
      <c r="U83" s="2">
        <f t="shared" si="226"/>
        <v>1.3522453485955697</v>
      </c>
      <c r="V83" s="2">
        <f t="shared" si="226"/>
        <v>1.3522453485955697</v>
      </c>
      <c r="W83" s="2">
        <f t="shared" si="226"/>
        <v>1.3522453485955697</v>
      </c>
      <c r="X83" s="2">
        <f t="shared" si="226"/>
        <v>1.3522453485955697</v>
      </c>
      <c r="Y83" s="2">
        <f t="shared" si="226"/>
        <v>1.3522453485955697</v>
      </c>
      <c r="Z83" s="2">
        <f t="shared" si="226"/>
        <v>1.3522453485955697</v>
      </c>
      <c r="AA83" s="2">
        <f t="shared" si="226"/>
        <v>1.3522453485955697</v>
      </c>
      <c r="AB83" s="2">
        <f t="shared" si="226"/>
        <v>1.3522453485955697</v>
      </c>
      <c r="AC83" s="2">
        <f t="shared" si="226"/>
        <v>1.3522453485955697</v>
      </c>
      <c r="AD83" s="2">
        <f t="shared" si="226"/>
        <v>1.3522453485955697</v>
      </c>
      <c r="AE83" s="2">
        <f t="shared" si="226"/>
        <v>1.3522453485955697</v>
      </c>
      <c r="AF83" s="2">
        <f t="shared" si="226"/>
        <v>1.3522453485955697</v>
      </c>
      <c r="AG83" s="2">
        <f t="shared" si="226"/>
        <v>1.3522453485955697</v>
      </c>
      <c r="AH83" s="2">
        <f t="shared" si="226"/>
        <v>1.3522453485955697</v>
      </c>
      <c r="AI83" s="2">
        <f t="shared" si="226"/>
        <v>1.3522453485955697</v>
      </c>
      <c r="AJ83" s="2">
        <f t="shared" si="226"/>
        <v>1.3522453485955697</v>
      </c>
      <c r="AK83" s="2">
        <f t="shared" si="226"/>
        <v>1.3522453485955697</v>
      </c>
      <c r="AL83" s="2">
        <f t="shared" si="226"/>
        <v>1.3522453485955697</v>
      </c>
      <c r="AM83" s="2">
        <f t="shared" si="226"/>
        <v>1.3522453485955697</v>
      </c>
      <c r="AN83" s="2">
        <f t="shared" si="226"/>
        <v>1.3522453485955697</v>
      </c>
      <c r="AO83" s="2">
        <f t="shared" si="226"/>
        <v>1.3522453485955697</v>
      </c>
      <c r="AP83" s="2">
        <f t="shared" si="226"/>
        <v>1.3522453485955697</v>
      </c>
      <c r="AQ83" s="2">
        <f t="shared" si="226"/>
        <v>1.3522453485955697</v>
      </c>
      <c r="AR83" s="2">
        <f t="shared" si="226"/>
        <v>1.3522453485955697</v>
      </c>
      <c r="AS83" s="2">
        <f t="shared" si="226"/>
        <v>1.3522453485955697</v>
      </c>
      <c r="AT83" s="2">
        <f t="shared" si="226"/>
        <v>1.3522453485955697</v>
      </c>
      <c r="AU83" s="2">
        <f t="shared" si="226"/>
        <v>1.3522453485955697</v>
      </c>
      <c r="AV83" s="2">
        <f t="shared" si="226"/>
        <v>1.3522453485955697</v>
      </c>
      <c r="AW83" s="2">
        <f t="shared" si="226"/>
        <v>1.3522453485955697</v>
      </c>
      <c r="AX83" s="2">
        <f t="shared" si="226"/>
        <v>1.3522453485955697</v>
      </c>
      <c r="AY83" s="2">
        <f t="shared" si="226"/>
        <v>1.3522453485955697</v>
      </c>
      <c r="AZ83" s="2">
        <f t="shared" si="226"/>
        <v>1.3522453485955697</v>
      </c>
      <c r="BA83" s="2">
        <f t="shared" si="226"/>
        <v>1.3522453485955697</v>
      </c>
      <c r="BB83" s="2">
        <f t="shared" si="226"/>
        <v>1.3522453485955697</v>
      </c>
      <c r="BC83" s="2">
        <f t="shared" si="226"/>
        <v>1.3522453485955697</v>
      </c>
      <c r="BD83" s="2">
        <f t="shared" si="226"/>
        <v>1.3522453485955697</v>
      </c>
      <c r="BE83" s="2">
        <f t="shared" si="226"/>
        <v>1.3522453485955697</v>
      </c>
      <c r="BF83" s="2">
        <f t="shared" si="226"/>
        <v>1.3522453485955697</v>
      </c>
      <c r="BG83" s="2">
        <f t="shared" si="226"/>
        <v>1.3522453485955697</v>
      </c>
      <c r="BH83" s="2">
        <f t="shared" si="226"/>
        <v>1.3522453485955697</v>
      </c>
      <c r="BI83" s="2">
        <f t="shared" si="226"/>
        <v>1.3522453485955697</v>
      </c>
      <c r="BJ83" s="2">
        <f t="shared" si="226"/>
        <v>1.3522453485955697</v>
      </c>
      <c r="BK83" s="2">
        <f t="shared" si="226"/>
        <v>1.3522453485955697</v>
      </c>
      <c r="BL83" s="2">
        <f t="shared" si="226"/>
        <v>1.3522453485955697</v>
      </c>
      <c r="BM83" s="2">
        <f t="shared" si="226"/>
        <v>1.3522453485955697</v>
      </c>
      <c r="BN83" s="2">
        <f t="shared" si="226"/>
        <v>1.3522453485955697</v>
      </c>
      <c r="BO83" s="2">
        <f t="shared" ref="BO83:CG83" si="227">2*BO$10*((BO$5+BO$11*BO$6)/BO$11)/(SQRT(2)*BO$8*SIN(BO35))</f>
        <v>1.3522453485955697</v>
      </c>
      <c r="BP83" s="2">
        <f t="shared" si="227"/>
        <v>1.3522453485955697</v>
      </c>
      <c r="BQ83" s="2">
        <f t="shared" si="227"/>
        <v>1.3522453485955697</v>
      </c>
      <c r="BR83" s="2">
        <f t="shared" si="227"/>
        <v>1.3522453485955697</v>
      </c>
      <c r="BS83" s="2">
        <f t="shared" si="227"/>
        <v>1.3522453485955697</v>
      </c>
      <c r="BT83" s="2">
        <f t="shared" si="227"/>
        <v>1.3522453485955697</v>
      </c>
      <c r="BU83" s="2">
        <f t="shared" si="227"/>
        <v>1.3522453485955697</v>
      </c>
      <c r="BV83" s="2">
        <f t="shared" si="227"/>
        <v>1.3522453485955697</v>
      </c>
      <c r="BW83" s="2">
        <f t="shared" si="227"/>
        <v>1.3522453485955697</v>
      </c>
      <c r="BX83" s="2">
        <f t="shared" si="227"/>
        <v>1.3522453485955697</v>
      </c>
      <c r="BY83" s="2">
        <f t="shared" si="227"/>
        <v>1.3522453485955697</v>
      </c>
      <c r="BZ83" s="2">
        <f t="shared" si="227"/>
        <v>1.3522453485955697</v>
      </c>
      <c r="CA83" s="2">
        <f t="shared" si="227"/>
        <v>1.3522453485955697</v>
      </c>
      <c r="CB83" s="2">
        <f t="shared" si="227"/>
        <v>1.3522453485955697</v>
      </c>
      <c r="CC83" s="2">
        <f t="shared" si="227"/>
        <v>1.3522453485955697</v>
      </c>
      <c r="CD83" s="2">
        <f t="shared" si="227"/>
        <v>1.3522453485955697</v>
      </c>
      <c r="CE83" s="2">
        <f t="shared" si="227"/>
        <v>1.3522453485955697</v>
      </c>
      <c r="CF83" s="2">
        <f t="shared" si="227"/>
        <v>1.3522453485955697</v>
      </c>
      <c r="CG83" s="2">
        <f t="shared" si="227"/>
        <v>1.3522453485955697</v>
      </c>
    </row>
    <row r="84" spans="2:86">
      <c r="B84" s="2" t="s">
        <v>746</v>
      </c>
      <c r="C84" s="2">
        <f t="shared" ref="C84:BN84" si="228">2*C$10*((C$5+C$11*C$6)/C$11)/(SQRT(2)*C$8*SIN(C36))</f>
        <v>1.6561555555555556</v>
      </c>
      <c r="D84" s="2">
        <f t="shared" si="228"/>
        <v>1.6561555555555556</v>
      </c>
      <c r="E84" s="2">
        <f t="shared" si="228"/>
        <v>1.6561555555555556</v>
      </c>
      <c r="F84" s="2">
        <f t="shared" si="228"/>
        <v>1.6561555555555556</v>
      </c>
      <c r="G84" s="2">
        <f t="shared" si="228"/>
        <v>1.6561555555555556</v>
      </c>
      <c r="H84" s="2">
        <f t="shared" si="228"/>
        <v>1.6561555555555556</v>
      </c>
      <c r="I84" s="2">
        <f t="shared" si="228"/>
        <v>1.6561555555555556</v>
      </c>
      <c r="J84" s="2">
        <f t="shared" si="228"/>
        <v>1.6561555555555556</v>
      </c>
      <c r="K84" s="2">
        <f t="shared" si="228"/>
        <v>1.6561555555555556</v>
      </c>
      <c r="L84" s="2">
        <f t="shared" si="228"/>
        <v>1.6561555555555556</v>
      </c>
      <c r="M84" s="2">
        <f t="shared" si="228"/>
        <v>1.6561555555555556</v>
      </c>
      <c r="N84" s="2">
        <f t="shared" si="228"/>
        <v>1.6561555555555556</v>
      </c>
      <c r="O84" s="2">
        <f t="shared" si="228"/>
        <v>1.6561555555555556</v>
      </c>
      <c r="P84" s="2">
        <f t="shared" si="228"/>
        <v>1.6561555555555556</v>
      </c>
      <c r="Q84" s="2">
        <f t="shared" si="228"/>
        <v>1.6561555555555556</v>
      </c>
      <c r="R84" s="2">
        <f t="shared" si="228"/>
        <v>1.6561555555555556</v>
      </c>
      <c r="S84" s="2">
        <f t="shared" si="228"/>
        <v>1.6561555555555556</v>
      </c>
      <c r="T84" s="2">
        <f t="shared" si="228"/>
        <v>1.6561555555555556</v>
      </c>
      <c r="U84" s="2">
        <f t="shared" si="228"/>
        <v>1.6561555555555556</v>
      </c>
      <c r="V84" s="2">
        <f t="shared" si="228"/>
        <v>1.6561555555555556</v>
      </c>
      <c r="W84" s="2">
        <f t="shared" si="228"/>
        <v>1.6561555555555556</v>
      </c>
      <c r="X84" s="2">
        <f t="shared" si="228"/>
        <v>1.6561555555555556</v>
      </c>
      <c r="Y84" s="2">
        <f t="shared" si="228"/>
        <v>1.6561555555555556</v>
      </c>
      <c r="Z84" s="2">
        <f t="shared" si="228"/>
        <v>1.6561555555555556</v>
      </c>
      <c r="AA84" s="2">
        <f t="shared" si="228"/>
        <v>1.6561555555555556</v>
      </c>
      <c r="AB84" s="2">
        <f t="shared" si="228"/>
        <v>1.6561555555555556</v>
      </c>
      <c r="AC84" s="2">
        <f t="shared" si="228"/>
        <v>1.6561555555555556</v>
      </c>
      <c r="AD84" s="2">
        <f t="shared" si="228"/>
        <v>1.6561555555555556</v>
      </c>
      <c r="AE84" s="2">
        <f t="shared" si="228"/>
        <v>1.6561555555555556</v>
      </c>
      <c r="AF84" s="2">
        <f t="shared" si="228"/>
        <v>1.6561555555555556</v>
      </c>
      <c r="AG84" s="2">
        <f t="shared" si="228"/>
        <v>1.6561555555555556</v>
      </c>
      <c r="AH84" s="2">
        <f t="shared" si="228"/>
        <v>1.6561555555555556</v>
      </c>
      <c r="AI84" s="2">
        <f t="shared" si="228"/>
        <v>1.6561555555555556</v>
      </c>
      <c r="AJ84" s="2">
        <f t="shared" si="228"/>
        <v>1.6561555555555556</v>
      </c>
      <c r="AK84" s="2">
        <f t="shared" si="228"/>
        <v>1.6561555555555556</v>
      </c>
      <c r="AL84" s="2">
        <f t="shared" si="228"/>
        <v>1.6561555555555556</v>
      </c>
      <c r="AM84" s="2">
        <f t="shared" si="228"/>
        <v>1.6561555555555556</v>
      </c>
      <c r="AN84" s="2">
        <f t="shared" si="228"/>
        <v>1.6561555555555556</v>
      </c>
      <c r="AO84" s="2">
        <f t="shared" si="228"/>
        <v>1.6561555555555556</v>
      </c>
      <c r="AP84" s="2">
        <f t="shared" si="228"/>
        <v>1.6561555555555556</v>
      </c>
      <c r="AQ84" s="2">
        <f t="shared" si="228"/>
        <v>1.6561555555555556</v>
      </c>
      <c r="AR84" s="2">
        <f t="shared" si="228"/>
        <v>1.6561555555555556</v>
      </c>
      <c r="AS84" s="2">
        <f t="shared" si="228"/>
        <v>1.6561555555555556</v>
      </c>
      <c r="AT84" s="2">
        <f t="shared" si="228"/>
        <v>1.6561555555555556</v>
      </c>
      <c r="AU84" s="2">
        <f t="shared" si="228"/>
        <v>1.6561555555555556</v>
      </c>
      <c r="AV84" s="2">
        <f t="shared" si="228"/>
        <v>1.6561555555555556</v>
      </c>
      <c r="AW84" s="2">
        <f t="shared" si="228"/>
        <v>1.6561555555555556</v>
      </c>
      <c r="AX84" s="2">
        <f t="shared" si="228"/>
        <v>1.6561555555555556</v>
      </c>
      <c r="AY84" s="2">
        <f t="shared" si="228"/>
        <v>1.6561555555555556</v>
      </c>
      <c r="AZ84" s="2">
        <f t="shared" si="228"/>
        <v>1.6561555555555556</v>
      </c>
      <c r="BA84" s="2">
        <f t="shared" si="228"/>
        <v>1.6561555555555556</v>
      </c>
      <c r="BB84" s="2">
        <f t="shared" si="228"/>
        <v>1.6561555555555556</v>
      </c>
      <c r="BC84" s="2">
        <f t="shared" si="228"/>
        <v>1.6561555555555556</v>
      </c>
      <c r="BD84" s="2">
        <f t="shared" si="228"/>
        <v>1.6561555555555556</v>
      </c>
      <c r="BE84" s="2">
        <f t="shared" si="228"/>
        <v>1.6561555555555556</v>
      </c>
      <c r="BF84" s="2">
        <f t="shared" si="228"/>
        <v>1.6561555555555556</v>
      </c>
      <c r="BG84" s="2">
        <f t="shared" si="228"/>
        <v>1.6561555555555556</v>
      </c>
      <c r="BH84" s="2">
        <f t="shared" si="228"/>
        <v>1.6561555555555556</v>
      </c>
      <c r="BI84" s="2">
        <f t="shared" si="228"/>
        <v>1.6561555555555556</v>
      </c>
      <c r="BJ84" s="2">
        <f t="shared" si="228"/>
        <v>1.6561555555555556</v>
      </c>
      <c r="BK84" s="2">
        <f t="shared" si="228"/>
        <v>1.6561555555555556</v>
      </c>
      <c r="BL84" s="2">
        <f t="shared" si="228"/>
        <v>1.6561555555555556</v>
      </c>
      <c r="BM84" s="2">
        <f t="shared" si="228"/>
        <v>1.6561555555555556</v>
      </c>
      <c r="BN84" s="2">
        <f t="shared" si="228"/>
        <v>1.6561555555555556</v>
      </c>
      <c r="BO84" s="2">
        <f t="shared" ref="BO84:CG84" si="229">2*BO$10*((BO$5+BO$11*BO$6)/BO$11)/(SQRT(2)*BO$8*SIN(BO36))</f>
        <v>1.6561555555555556</v>
      </c>
      <c r="BP84" s="2">
        <f t="shared" si="229"/>
        <v>1.6561555555555556</v>
      </c>
      <c r="BQ84" s="2">
        <f t="shared" si="229"/>
        <v>1.6561555555555556</v>
      </c>
      <c r="BR84" s="2">
        <f t="shared" si="229"/>
        <v>1.6561555555555556</v>
      </c>
      <c r="BS84" s="2">
        <f t="shared" si="229"/>
        <v>1.6561555555555556</v>
      </c>
      <c r="BT84" s="2">
        <f t="shared" si="229"/>
        <v>1.6561555555555556</v>
      </c>
      <c r="BU84" s="2">
        <f t="shared" si="229"/>
        <v>1.6561555555555556</v>
      </c>
      <c r="BV84" s="2">
        <f t="shared" si="229"/>
        <v>1.6561555555555556</v>
      </c>
      <c r="BW84" s="2">
        <f t="shared" si="229"/>
        <v>1.6561555555555556</v>
      </c>
      <c r="BX84" s="2">
        <f t="shared" si="229"/>
        <v>1.6561555555555556</v>
      </c>
      <c r="BY84" s="2">
        <f t="shared" si="229"/>
        <v>1.6561555555555556</v>
      </c>
      <c r="BZ84" s="2">
        <f t="shared" si="229"/>
        <v>1.6561555555555556</v>
      </c>
      <c r="CA84" s="2">
        <f t="shared" si="229"/>
        <v>1.6561555555555556</v>
      </c>
      <c r="CB84" s="2">
        <f t="shared" si="229"/>
        <v>1.6561555555555556</v>
      </c>
      <c r="CC84" s="2">
        <f t="shared" si="229"/>
        <v>1.6561555555555556</v>
      </c>
      <c r="CD84" s="2">
        <f t="shared" si="229"/>
        <v>1.6561555555555556</v>
      </c>
      <c r="CE84" s="2">
        <f t="shared" si="229"/>
        <v>1.6561555555555556</v>
      </c>
      <c r="CF84" s="2">
        <f t="shared" si="229"/>
        <v>1.6561555555555556</v>
      </c>
      <c r="CG84" s="2">
        <f t="shared" si="229"/>
        <v>1.6561555555555556</v>
      </c>
    </row>
    <row r="85" spans="2:86">
      <c r="B85" s="2" t="s">
        <v>747</v>
      </c>
      <c r="C85" s="2">
        <f t="shared" ref="C85:BN85" si="230">2*C$10*((C$5+C$11*C$6)/C$11)/(SQRT(2)*C$8*SIN(C37))</f>
        <v>2.3421576480662147</v>
      </c>
      <c r="D85" s="2">
        <f t="shared" si="230"/>
        <v>2.3421576480662147</v>
      </c>
      <c r="E85" s="2">
        <f t="shared" si="230"/>
        <v>2.3421576480662147</v>
      </c>
      <c r="F85" s="2">
        <f t="shared" si="230"/>
        <v>2.3421576480662147</v>
      </c>
      <c r="G85" s="2">
        <f t="shared" si="230"/>
        <v>2.3421576480662147</v>
      </c>
      <c r="H85" s="2">
        <f t="shared" si="230"/>
        <v>2.3421576480662147</v>
      </c>
      <c r="I85" s="2">
        <f t="shared" si="230"/>
        <v>2.3421576480662147</v>
      </c>
      <c r="J85" s="2">
        <f t="shared" si="230"/>
        <v>2.3421576480662147</v>
      </c>
      <c r="K85" s="2">
        <f t="shared" si="230"/>
        <v>2.3421576480662147</v>
      </c>
      <c r="L85" s="2">
        <f t="shared" si="230"/>
        <v>2.3421576480662147</v>
      </c>
      <c r="M85" s="2">
        <f t="shared" si="230"/>
        <v>2.3421576480662147</v>
      </c>
      <c r="N85" s="2">
        <f t="shared" si="230"/>
        <v>2.3421576480662147</v>
      </c>
      <c r="O85" s="2">
        <f t="shared" si="230"/>
        <v>2.3421576480662147</v>
      </c>
      <c r="P85" s="2">
        <f t="shared" si="230"/>
        <v>2.3421576480662147</v>
      </c>
      <c r="Q85" s="2">
        <f t="shared" si="230"/>
        <v>2.3421576480662147</v>
      </c>
      <c r="R85" s="2">
        <f t="shared" si="230"/>
        <v>2.3421576480662147</v>
      </c>
      <c r="S85" s="2">
        <f t="shared" si="230"/>
        <v>2.3421576480662147</v>
      </c>
      <c r="T85" s="2">
        <f t="shared" si="230"/>
        <v>2.3421576480662147</v>
      </c>
      <c r="U85" s="2">
        <f t="shared" si="230"/>
        <v>2.3421576480662147</v>
      </c>
      <c r="V85" s="2">
        <f t="shared" si="230"/>
        <v>2.3421576480662147</v>
      </c>
      <c r="W85" s="2">
        <f t="shared" si="230"/>
        <v>2.3421576480662147</v>
      </c>
      <c r="X85" s="2">
        <f t="shared" si="230"/>
        <v>2.3421576480662147</v>
      </c>
      <c r="Y85" s="2">
        <f t="shared" si="230"/>
        <v>2.3421576480662147</v>
      </c>
      <c r="Z85" s="2">
        <f t="shared" si="230"/>
        <v>2.3421576480662147</v>
      </c>
      <c r="AA85" s="2">
        <f t="shared" si="230"/>
        <v>2.3421576480662147</v>
      </c>
      <c r="AB85" s="2">
        <f t="shared" si="230"/>
        <v>2.3421576480662147</v>
      </c>
      <c r="AC85" s="2">
        <f t="shared" si="230"/>
        <v>2.3421576480662147</v>
      </c>
      <c r="AD85" s="2">
        <f t="shared" si="230"/>
        <v>2.3421576480662147</v>
      </c>
      <c r="AE85" s="2">
        <f t="shared" si="230"/>
        <v>2.3421576480662147</v>
      </c>
      <c r="AF85" s="2">
        <f t="shared" si="230"/>
        <v>2.3421576480662147</v>
      </c>
      <c r="AG85" s="2">
        <f t="shared" si="230"/>
        <v>2.3421576480662147</v>
      </c>
      <c r="AH85" s="2">
        <f t="shared" si="230"/>
        <v>2.3421576480662147</v>
      </c>
      <c r="AI85" s="2">
        <f t="shared" si="230"/>
        <v>2.3421576480662147</v>
      </c>
      <c r="AJ85" s="2">
        <f t="shared" si="230"/>
        <v>2.3421576480662147</v>
      </c>
      <c r="AK85" s="2">
        <f t="shared" si="230"/>
        <v>2.3421576480662147</v>
      </c>
      <c r="AL85" s="2">
        <f t="shared" si="230"/>
        <v>2.3421576480662147</v>
      </c>
      <c r="AM85" s="2">
        <f t="shared" si="230"/>
        <v>2.3421576480662147</v>
      </c>
      <c r="AN85" s="2">
        <f t="shared" si="230"/>
        <v>2.3421576480662147</v>
      </c>
      <c r="AO85" s="2">
        <f t="shared" si="230"/>
        <v>2.3421576480662147</v>
      </c>
      <c r="AP85" s="2">
        <f t="shared" si="230"/>
        <v>2.3421576480662147</v>
      </c>
      <c r="AQ85" s="2">
        <f t="shared" si="230"/>
        <v>2.3421576480662147</v>
      </c>
      <c r="AR85" s="2">
        <f t="shared" si="230"/>
        <v>2.3421576480662147</v>
      </c>
      <c r="AS85" s="2">
        <f t="shared" si="230"/>
        <v>2.3421576480662147</v>
      </c>
      <c r="AT85" s="2">
        <f t="shared" si="230"/>
        <v>2.3421576480662147</v>
      </c>
      <c r="AU85" s="2">
        <f t="shared" si="230"/>
        <v>2.3421576480662147</v>
      </c>
      <c r="AV85" s="2">
        <f t="shared" si="230"/>
        <v>2.3421576480662147</v>
      </c>
      <c r="AW85" s="2">
        <f t="shared" si="230"/>
        <v>2.3421576480662147</v>
      </c>
      <c r="AX85" s="2">
        <f t="shared" si="230"/>
        <v>2.3421576480662147</v>
      </c>
      <c r="AY85" s="2">
        <f t="shared" si="230"/>
        <v>2.3421576480662147</v>
      </c>
      <c r="AZ85" s="2">
        <f t="shared" si="230"/>
        <v>2.3421576480662147</v>
      </c>
      <c r="BA85" s="2">
        <f t="shared" si="230"/>
        <v>2.3421576480662147</v>
      </c>
      <c r="BB85" s="2">
        <f t="shared" si="230"/>
        <v>2.3421576480662147</v>
      </c>
      <c r="BC85" s="2">
        <f t="shared" si="230"/>
        <v>2.3421576480662147</v>
      </c>
      <c r="BD85" s="2">
        <f t="shared" si="230"/>
        <v>2.3421576480662147</v>
      </c>
      <c r="BE85" s="2">
        <f t="shared" si="230"/>
        <v>2.3421576480662147</v>
      </c>
      <c r="BF85" s="2">
        <f t="shared" si="230"/>
        <v>2.3421576480662147</v>
      </c>
      <c r="BG85" s="2">
        <f t="shared" si="230"/>
        <v>2.3421576480662147</v>
      </c>
      <c r="BH85" s="2">
        <f t="shared" si="230"/>
        <v>2.3421576480662147</v>
      </c>
      <c r="BI85" s="2">
        <f t="shared" si="230"/>
        <v>2.3421576480662147</v>
      </c>
      <c r="BJ85" s="2">
        <f t="shared" si="230"/>
        <v>2.3421576480662147</v>
      </c>
      <c r="BK85" s="2">
        <f t="shared" si="230"/>
        <v>2.3421576480662147</v>
      </c>
      <c r="BL85" s="2">
        <f t="shared" si="230"/>
        <v>2.3421576480662147</v>
      </c>
      <c r="BM85" s="2">
        <f t="shared" si="230"/>
        <v>2.3421576480662147</v>
      </c>
      <c r="BN85" s="2">
        <f t="shared" si="230"/>
        <v>2.3421576480662147</v>
      </c>
      <c r="BO85" s="2">
        <f t="shared" ref="BO85:CG85" si="231">2*BO$10*((BO$5+BO$11*BO$6)/BO$11)/(SQRT(2)*BO$8*SIN(BO37))</f>
        <v>2.3421576480662147</v>
      </c>
      <c r="BP85" s="2">
        <f t="shared" si="231"/>
        <v>2.3421576480662147</v>
      </c>
      <c r="BQ85" s="2">
        <f t="shared" si="231"/>
        <v>2.3421576480662147</v>
      </c>
      <c r="BR85" s="2">
        <f t="shared" si="231"/>
        <v>2.3421576480662147</v>
      </c>
      <c r="BS85" s="2">
        <f t="shared" si="231"/>
        <v>2.3421576480662147</v>
      </c>
      <c r="BT85" s="2">
        <f t="shared" si="231"/>
        <v>2.3421576480662147</v>
      </c>
      <c r="BU85" s="2">
        <f t="shared" si="231"/>
        <v>2.3421576480662147</v>
      </c>
      <c r="BV85" s="2">
        <f t="shared" si="231"/>
        <v>2.3421576480662147</v>
      </c>
      <c r="BW85" s="2">
        <f t="shared" si="231"/>
        <v>2.3421576480662147</v>
      </c>
      <c r="BX85" s="2">
        <f t="shared" si="231"/>
        <v>2.3421576480662147</v>
      </c>
      <c r="BY85" s="2">
        <f t="shared" si="231"/>
        <v>2.3421576480662147</v>
      </c>
      <c r="BZ85" s="2">
        <f t="shared" si="231"/>
        <v>2.3421576480662147</v>
      </c>
      <c r="CA85" s="2">
        <f t="shared" si="231"/>
        <v>2.3421576480662147</v>
      </c>
      <c r="CB85" s="2">
        <f t="shared" si="231"/>
        <v>2.3421576480662147</v>
      </c>
      <c r="CC85" s="2">
        <f t="shared" si="231"/>
        <v>2.3421576480662147</v>
      </c>
      <c r="CD85" s="2">
        <f t="shared" si="231"/>
        <v>2.3421576480662147</v>
      </c>
      <c r="CE85" s="2">
        <f t="shared" si="231"/>
        <v>2.3421576480662147</v>
      </c>
      <c r="CF85" s="2">
        <f t="shared" si="231"/>
        <v>2.3421576480662147</v>
      </c>
      <c r="CG85" s="2">
        <f t="shared" si="231"/>
        <v>2.3421576480662147</v>
      </c>
    </row>
    <row r="86" spans="2:86">
      <c r="B86" s="2" t="s">
        <v>748</v>
      </c>
      <c r="C86" s="2">
        <f t="shared" ref="C86:BN86" si="232">2*C$10*((C$5+C$11*C$6)/C$11)/(SQRT(2)*C$8*SIN(C38))</f>
        <v>4.5247011230152383</v>
      </c>
      <c r="D86" s="2">
        <f t="shared" si="232"/>
        <v>4.5247011230152383</v>
      </c>
      <c r="E86" s="2">
        <f t="shared" si="232"/>
        <v>4.5247011230152383</v>
      </c>
      <c r="F86" s="2">
        <f t="shared" si="232"/>
        <v>4.5247011230152383</v>
      </c>
      <c r="G86" s="2">
        <f t="shared" si="232"/>
        <v>4.5247011230152383</v>
      </c>
      <c r="H86" s="2">
        <f t="shared" si="232"/>
        <v>4.5247011230152383</v>
      </c>
      <c r="I86" s="2">
        <f t="shared" si="232"/>
        <v>4.5247011230152383</v>
      </c>
      <c r="J86" s="2">
        <f t="shared" si="232"/>
        <v>4.5247011230152383</v>
      </c>
      <c r="K86" s="2">
        <f t="shared" si="232"/>
        <v>4.5247011230152383</v>
      </c>
      <c r="L86" s="2">
        <f t="shared" si="232"/>
        <v>4.5247011230152383</v>
      </c>
      <c r="M86" s="2">
        <f t="shared" si="232"/>
        <v>4.5247011230152383</v>
      </c>
      <c r="N86" s="2">
        <f t="shared" si="232"/>
        <v>4.5247011230152383</v>
      </c>
      <c r="O86" s="2">
        <f t="shared" si="232"/>
        <v>4.5247011230152383</v>
      </c>
      <c r="P86" s="2">
        <f t="shared" si="232"/>
        <v>4.5247011230152383</v>
      </c>
      <c r="Q86" s="2">
        <f t="shared" si="232"/>
        <v>4.5247011230152383</v>
      </c>
      <c r="R86" s="2">
        <f t="shared" si="232"/>
        <v>4.5247011230152383</v>
      </c>
      <c r="S86" s="2">
        <f t="shared" si="232"/>
        <v>4.5247011230152383</v>
      </c>
      <c r="T86" s="2">
        <f t="shared" si="232"/>
        <v>4.5247011230152383</v>
      </c>
      <c r="U86" s="2">
        <f t="shared" si="232"/>
        <v>4.5247011230152383</v>
      </c>
      <c r="V86" s="2">
        <f t="shared" si="232"/>
        <v>4.5247011230152383</v>
      </c>
      <c r="W86" s="2">
        <f t="shared" si="232"/>
        <v>4.5247011230152383</v>
      </c>
      <c r="X86" s="2">
        <f t="shared" si="232"/>
        <v>4.5247011230152383</v>
      </c>
      <c r="Y86" s="2">
        <f t="shared" si="232"/>
        <v>4.5247011230152383</v>
      </c>
      <c r="Z86" s="2">
        <f t="shared" si="232"/>
        <v>4.5247011230152383</v>
      </c>
      <c r="AA86" s="2">
        <f t="shared" si="232"/>
        <v>4.5247011230152383</v>
      </c>
      <c r="AB86" s="2">
        <f t="shared" si="232"/>
        <v>4.5247011230152383</v>
      </c>
      <c r="AC86" s="2">
        <f t="shared" si="232"/>
        <v>4.5247011230152383</v>
      </c>
      <c r="AD86" s="2">
        <f t="shared" si="232"/>
        <v>4.5247011230152383</v>
      </c>
      <c r="AE86" s="2">
        <f t="shared" si="232"/>
        <v>4.5247011230152383</v>
      </c>
      <c r="AF86" s="2">
        <f t="shared" si="232"/>
        <v>4.5247011230152383</v>
      </c>
      <c r="AG86" s="2">
        <f t="shared" si="232"/>
        <v>4.5247011230152383</v>
      </c>
      <c r="AH86" s="2">
        <f t="shared" si="232"/>
        <v>4.5247011230152383</v>
      </c>
      <c r="AI86" s="2">
        <f t="shared" si="232"/>
        <v>4.5247011230152383</v>
      </c>
      <c r="AJ86" s="2">
        <f t="shared" si="232"/>
        <v>4.5247011230152383</v>
      </c>
      <c r="AK86" s="2">
        <f t="shared" si="232"/>
        <v>4.5247011230152383</v>
      </c>
      <c r="AL86" s="2">
        <f t="shared" si="232"/>
        <v>4.5247011230152383</v>
      </c>
      <c r="AM86" s="2">
        <f t="shared" si="232"/>
        <v>4.5247011230152383</v>
      </c>
      <c r="AN86" s="2">
        <f t="shared" si="232"/>
        <v>4.5247011230152383</v>
      </c>
      <c r="AO86" s="2">
        <f t="shared" si="232"/>
        <v>4.5247011230152383</v>
      </c>
      <c r="AP86" s="2">
        <f t="shared" si="232"/>
        <v>4.5247011230152383</v>
      </c>
      <c r="AQ86" s="2">
        <f t="shared" si="232"/>
        <v>4.5247011230152383</v>
      </c>
      <c r="AR86" s="2">
        <f t="shared" si="232"/>
        <v>4.5247011230152383</v>
      </c>
      <c r="AS86" s="2">
        <f t="shared" si="232"/>
        <v>4.5247011230152383</v>
      </c>
      <c r="AT86" s="2">
        <f t="shared" si="232"/>
        <v>4.5247011230152383</v>
      </c>
      <c r="AU86" s="2">
        <f t="shared" si="232"/>
        <v>4.5247011230152383</v>
      </c>
      <c r="AV86" s="2">
        <f t="shared" si="232"/>
        <v>4.5247011230152383</v>
      </c>
      <c r="AW86" s="2">
        <f t="shared" si="232"/>
        <v>4.5247011230152383</v>
      </c>
      <c r="AX86" s="2">
        <f t="shared" si="232"/>
        <v>4.5247011230152383</v>
      </c>
      <c r="AY86" s="2">
        <f t="shared" si="232"/>
        <v>4.5247011230152383</v>
      </c>
      <c r="AZ86" s="2">
        <f t="shared" si="232"/>
        <v>4.5247011230152383</v>
      </c>
      <c r="BA86" s="2">
        <f t="shared" si="232"/>
        <v>4.5247011230152383</v>
      </c>
      <c r="BB86" s="2">
        <f t="shared" si="232"/>
        <v>4.5247011230152383</v>
      </c>
      <c r="BC86" s="2">
        <f t="shared" si="232"/>
        <v>4.5247011230152383</v>
      </c>
      <c r="BD86" s="2">
        <f t="shared" si="232"/>
        <v>4.5247011230152383</v>
      </c>
      <c r="BE86" s="2">
        <f t="shared" si="232"/>
        <v>4.5247011230152383</v>
      </c>
      <c r="BF86" s="2">
        <f t="shared" si="232"/>
        <v>4.5247011230152383</v>
      </c>
      <c r="BG86" s="2">
        <f t="shared" si="232"/>
        <v>4.5247011230152383</v>
      </c>
      <c r="BH86" s="2">
        <f t="shared" si="232"/>
        <v>4.5247011230152383</v>
      </c>
      <c r="BI86" s="2">
        <f t="shared" si="232"/>
        <v>4.5247011230152383</v>
      </c>
      <c r="BJ86" s="2">
        <f t="shared" si="232"/>
        <v>4.5247011230152383</v>
      </c>
      <c r="BK86" s="2">
        <f t="shared" si="232"/>
        <v>4.5247011230152383</v>
      </c>
      <c r="BL86" s="2">
        <f t="shared" si="232"/>
        <v>4.5247011230152383</v>
      </c>
      <c r="BM86" s="2">
        <f t="shared" si="232"/>
        <v>4.5247011230152383</v>
      </c>
      <c r="BN86" s="2">
        <f t="shared" si="232"/>
        <v>4.5247011230152383</v>
      </c>
      <c r="BO86" s="2">
        <f t="shared" ref="BO86:CG86" si="233">2*BO$10*((BO$5+BO$11*BO$6)/BO$11)/(SQRT(2)*BO$8*SIN(BO38))</f>
        <v>4.5247011230152383</v>
      </c>
      <c r="BP86" s="2">
        <f t="shared" si="233"/>
        <v>4.5247011230152383</v>
      </c>
      <c r="BQ86" s="2">
        <f t="shared" si="233"/>
        <v>4.5247011230152383</v>
      </c>
      <c r="BR86" s="2">
        <f t="shared" si="233"/>
        <v>4.5247011230152383</v>
      </c>
      <c r="BS86" s="2">
        <f t="shared" si="233"/>
        <v>4.5247011230152383</v>
      </c>
      <c r="BT86" s="2">
        <f t="shared" si="233"/>
        <v>4.5247011230152383</v>
      </c>
      <c r="BU86" s="2">
        <f t="shared" si="233"/>
        <v>4.5247011230152383</v>
      </c>
      <c r="BV86" s="2">
        <f t="shared" si="233"/>
        <v>4.5247011230152383</v>
      </c>
      <c r="BW86" s="2">
        <f t="shared" si="233"/>
        <v>4.5247011230152383</v>
      </c>
      <c r="BX86" s="2">
        <f t="shared" si="233"/>
        <v>4.5247011230152383</v>
      </c>
      <c r="BY86" s="2">
        <f t="shared" si="233"/>
        <v>4.5247011230152383</v>
      </c>
      <c r="BZ86" s="2">
        <f t="shared" si="233"/>
        <v>4.5247011230152383</v>
      </c>
      <c r="CA86" s="2">
        <f t="shared" si="233"/>
        <v>4.5247011230152383</v>
      </c>
      <c r="CB86" s="2">
        <f t="shared" si="233"/>
        <v>4.5247011230152383</v>
      </c>
      <c r="CC86" s="2">
        <f t="shared" si="233"/>
        <v>4.5247011230152383</v>
      </c>
      <c r="CD86" s="2">
        <f t="shared" si="233"/>
        <v>4.5247011230152383</v>
      </c>
      <c r="CE86" s="2">
        <f t="shared" si="233"/>
        <v>4.5247011230152383</v>
      </c>
      <c r="CF86" s="2">
        <f t="shared" si="233"/>
        <v>4.5247011230152383</v>
      </c>
      <c r="CG86" s="2">
        <f t="shared" si="233"/>
        <v>4.5247011230152383</v>
      </c>
    </row>
    <row r="88" spans="2:86">
      <c r="B88" s="2" t="s">
        <v>749</v>
      </c>
      <c r="D88" s="2">
        <f t="shared" ref="D88:BO88" si="234">IF(AND(D$25&gt;D$24,IF(ISNA(D$29),TRUE,D47&gt;=D$29),(D81-D47-(-D$25*(D47-C47)/(D$25-C$25)))/((D47-C47)/(D$25-C$25))&lt;=D$25,(D81-D47-(-D$25*(D47-C47)/(D$25-C$25)))/((D47-C47)/(D$25-C$25))&gt;C$25),(D81-D47-(-D$25*(D47-C47)/(D$25-C$25)))/((D47-C47)/(D$25-C$25)),0)</f>
        <v>0</v>
      </c>
      <c r="E88" s="2">
        <f t="shared" si="234"/>
        <v>0</v>
      </c>
      <c r="F88" s="2">
        <f t="shared" si="234"/>
        <v>0</v>
      </c>
      <c r="G88" s="2">
        <f t="shared" si="234"/>
        <v>0</v>
      </c>
      <c r="H88" s="2">
        <f t="shared" si="234"/>
        <v>0</v>
      </c>
      <c r="I88" s="2">
        <f t="shared" si="234"/>
        <v>0</v>
      </c>
      <c r="J88" s="2">
        <f t="shared" si="234"/>
        <v>0</v>
      </c>
      <c r="K88" s="2">
        <f t="shared" si="234"/>
        <v>0</v>
      </c>
      <c r="L88" s="2">
        <f t="shared" si="234"/>
        <v>0</v>
      </c>
      <c r="M88" s="2">
        <f t="shared" si="234"/>
        <v>0</v>
      </c>
      <c r="N88" s="2">
        <f t="shared" si="234"/>
        <v>0</v>
      </c>
      <c r="O88" s="2">
        <f t="shared" si="234"/>
        <v>0</v>
      </c>
      <c r="P88" s="2">
        <f t="shared" si="234"/>
        <v>0</v>
      </c>
      <c r="Q88" s="2">
        <f t="shared" si="234"/>
        <v>0</v>
      </c>
      <c r="R88" s="2">
        <f t="shared" si="234"/>
        <v>0</v>
      </c>
      <c r="S88" s="2">
        <f t="shared" si="234"/>
        <v>0</v>
      </c>
      <c r="T88" s="2">
        <f t="shared" si="234"/>
        <v>0</v>
      </c>
      <c r="U88" s="2">
        <f t="shared" si="234"/>
        <v>0</v>
      </c>
      <c r="V88" s="2">
        <f t="shared" si="234"/>
        <v>0</v>
      </c>
      <c r="W88" s="2">
        <f t="shared" si="234"/>
        <v>0</v>
      </c>
      <c r="X88" s="2">
        <f t="shared" si="234"/>
        <v>0</v>
      </c>
      <c r="Y88" s="2">
        <f t="shared" si="234"/>
        <v>0</v>
      </c>
      <c r="Z88" s="2">
        <f t="shared" si="234"/>
        <v>0</v>
      </c>
      <c r="AA88" s="2">
        <f t="shared" si="234"/>
        <v>0</v>
      </c>
      <c r="AB88" s="2">
        <f t="shared" si="234"/>
        <v>0</v>
      </c>
      <c r="AC88" s="2">
        <f t="shared" si="234"/>
        <v>0</v>
      </c>
      <c r="AD88" s="2">
        <f t="shared" si="234"/>
        <v>0</v>
      </c>
      <c r="AE88" s="2">
        <f t="shared" si="234"/>
        <v>0</v>
      </c>
      <c r="AF88" s="2">
        <f t="shared" si="234"/>
        <v>0</v>
      </c>
      <c r="AG88" s="2">
        <f t="shared" si="234"/>
        <v>0</v>
      </c>
      <c r="AH88" s="2">
        <f t="shared" si="234"/>
        <v>0</v>
      </c>
      <c r="AI88" s="2">
        <f t="shared" si="234"/>
        <v>0</v>
      </c>
      <c r="AJ88" s="2">
        <f t="shared" si="234"/>
        <v>0</v>
      </c>
      <c r="AK88" s="2">
        <f t="shared" si="234"/>
        <v>0</v>
      </c>
      <c r="AL88" s="2">
        <f t="shared" si="234"/>
        <v>0</v>
      </c>
      <c r="AM88" s="2">
        <f t="shared" si="234"/>
        <v>0</v>
      </c>
      <c r="AN88" s="2">
        <f t="shared" si="234"/>
        <v>0</v>
      </c>
      <c r="AO88" s="2">
        <f t="shared" si="234"/>
        <v>0</v>
      </c>
      <c r="AP88" s="2">
        <f t="shared" si="234"/>
        <v>0</v>
      </c>
      <c r="AQ88" s="2">
        <f t="shared" si="234"/>
        <v>0</v>
      </c>
      <c r="AR88" s="2">
        <f t="shared" si="234"/>
        <v>0</v>
      </c>
      <c r="AS88" s="2">
        <f t="shared" si="234"/>
        <v>0</v>
      </c>
      <c r="AT88" s="2">
        <f t="shared" si="234"/>
        <v>0</v>
      </c>
      <c r="AU88" s="2">
        <f t="shared" si="234"/>
        <v>0</v>
      </c>
      <c r="AV88" s="2">
        <f t="shared" si="234"/>
        <v>0</v>
      </c>
      <c r="AW88" s="2">
        <f t="shared" si="234"/>
        <v>0</v>
      </c>
      <c r="AX88" s="2">
        <f t="shared" si="234"/>
        <v>0</v>
      </c>
      <c r="AY88" s="2">
        <f t="shared" si="234"/>
        <v>0</v>
      </c>
      <c r="AZ88" s="2">
        <f t="shared" si="234"/>
        <v>0</v>
      </c>
      <c r="BA88" s="2">
        <f t="shared" si="234"/>
        <v>0</v>
      </c>
      <c r="BB88" s="2">
        <f t="shared" si="234"/>
        <v>0</v>
      </c>
      <c r="BC88" s="2">
        <f t="shared" si="234"/>
        <v>0</v>
      </c>
      <c r="BD88" s="2">
        <f t="shared" si="234"/>
        <v>0</v>
      </c>
      <c r="BE88" s="2">
        <f t="shared" si="234"/>
        <v>0</v>
      </c>
      <c r="BF88" s="2">
        <f t="shared" si="234"/>
        <v>0</v>
      </c>
      <c r="BG88" s="2">
        <f t="shared" si="234"/>
        <v>0</v>
      </c>
      <c r="BH88" s="2">
        <f t="shared" si="234"/>
        <v>0</v>
      </c>
      <c r="BI88" s="2">
        <f t="shared" si="234"/>
        <v>0</v>
      </c>
      <c r="BJ88" s="2">
        <f t="shared" si="234"/>
        <v>0</v>
      </c>
      <c r="BK88" s="2">
        <f t="shared" si="234"/>
        <v>0.86154779105028179</v>
      </c>
      <c r="BL88" s="2">
        <f t="shared" si="234"/>
        <v>0</v>
      </c>
      <c r="BM88" s="2">
        <f t="shared" si="234"/>
        <v>0</v>
      </c>
      <c r="BN88" s="2">
        <f t="shared" si="234"/>
        <v>0</v>
      </c>
      <c r="BO88" s="2">
        <f t="shared" si="234"/>
        <v>0</v>
      </c>
      <c r="BP88" s="2">
        <f t="shared" ref="BP88:CG88" si="235">IF(AND(BP$25&gt;BP$24,IF(ISNA(BP$29),TRUE,BP47&gt;=BP$29),(BP81-BP47-(-BP$25*(BP47-BO47)/(BP$25-BO$25)))/((BP47-BO47)/(BP$25-BO$25))&lt;=BP$25,(BP81-BP47-(-BP$25*(BP47-BO47)/(BP$25-BO$25)))/((BP47-BO47)/(BP$25-BO$25))&gt;BO$25),(BP81-BP47-(-BP$25*(BP47-BO47)/(BP$25-BO$25)))/((BP47-BO47)/(BP$25-BO$25)),0)</f>
        <v>0</v>
      </c>
      <c r="BQ88" s="2">
        <f t="shared" si="235"/>
        <v>0</v>
      </c>
      <c r="BR88" s="2">
        <f t="shared" si="235"/>
        <v>0</v>
      </c>
      <c r="BS88" s="2">
        <f t="shared" si="235"/>
        <v>0</v>
      </c>
      <c r="BT88" s="2">
        <f t="shared" si="235"/>
        <v>0</v>
      </c>
      <c r="BU88" s="2">
        <f t="shared" si="235"/>
        <v>0</v>
      </c>
      <c r="BV88" s="2">
        <f t="shared" si="235"/>
        <v>0</v>
      </c>
      <c r="BW88" s="2">
        <f t="shared" si="235"/>
        <v>0</v>
      </c>
      <c r="BX88" s="2">
        <f t="shared" si="235"/>
        <v>0</v>
      </c>
      <c r="BY88" s="2">
        <f t="shared" si="235"/>
        <v>0</v>
      </c>
      <c r="BZ88" s="2">
        <f t="shared" si="235"/>
        <v>0</v>
      </c>
      <c r="CA88" s="2">
        <f t="shared" si="235"/>
        <v>0</v>
      </c>
      <c r="CB88" s="2">
        <f t="shared" si="235"/>
        <v>0</v>
      </c>
      <c r="CC88" s="2">
        <f t="shared" si="235"/>
        <v>0</v>
      </c>
      <c r="CD88" s="2">
        <f t="shared" si="235"/>
        <v>0</v>
      </c>
      <c r="CE88" s="2">
        <f t="shared" si="235"/>
        <v>0</v>
      </c>
      <c r="CF88" s="2">
        <f t="shared" si="235"/>
        <v>0</v>
      </c>
      <c r="CG88" s="2">
        <f t="shared" si="235"/>
        <v>0</v>
      </c>
      <c r="CH88" s="2" cm="1">
        <f t="array" aca="1" ref="CH88" ca="1">IF(MAX(D88:CG88),MAX(D88:CG88),INDIRECT(CI47))</f>
        <v>0.86154779105028179</v>
      </c>
    </row>
    <row r="89" spans="2:86">
      <c r="B89" s="2" t="s">
        <v>750</v>
      </c>
      <c r="D89" s="2">
        <f t="shared" ref="D89:BO89" si="236">IF(AND(D$25&gt;D$24,IF(ISNA(D$29),TRUE,D48&gt;=D$29),(D82-D48-(-D$25*(D48-C48)/(D$25-C$25)))/((D48-C48)/(D$25-C$25))&lt;=D$25,(D82-D48-(-D$25*(D48-C48)/(D$25-C$25)))/((D48-C48)/(D$25-C$25))&gt;C$25),(D82-D48-(-D$25*(D48-C48)/(D$25-C$25)))/((D48-C48)/(D$25-C$25)),0)</f>
        <v>0</v>
      </c>
      <c r="E89" s="2">
        <f t="shared" si="236"/>
        <v>0</v>
      </c>
      <c r="F89" s="2">
        <f t="shared" si="236"/>
        <v>0</v>
      </c>
      <c r="G89" s="2">
        <f t="shared" si="236"/>
        <v>0</v>
      </c>
      <c r="H89" s="2">
        <f t="shared" si="236"/>
        <v>0</v>
      </c>
      <c r="I89" s="2">
        <f t="shared" si="236"/>
        <v>0</v>
      </c>
      <c r="J89" s="2">
        <f t="shared" si="236"/>
        <v>0</v>
      </c>
      <c r="K89" s="2">
        <f t="shared" si="236"/>
        <v>0</v>
      </c>
      <c r="L89" s="2">
        <f t="shared" si="236"/>
        <v>0</v>
      </c>
      <c r="M89" s="2">
        <f t="shared" si="236"/>
        <v>0</v>
      </c>
      <c r="N89" s="2">
        <f t="shared" si="236"/>
        <v>0</v>
      </c>
      <c r="O89" s="2">
        <f t="shared" si="236"/>
        <v>0</v>
      </c>
      <c r="P89" s="2">
        <f t="shared" si="236"/>
        <v>0</v>
      </c>
      <c r="Q89" s="2">
        <f t="shared" si="236"/>
        <v>0</v>
      </c>
      <c r="R89" s="2">
        <f t="shared" si="236"/>
        <v>0</v>
      </c>
      <c r="S89" s="2">
        <f t="shared" si="236"/>
        <v>0</v>
      </c>
      <c r="T89" s="2">
        <f t="shared" si="236"/>
        <v>0</v>
      </c>
      <c r="U89" s="2">
        <f t="shared" si="236"/>
        <v>0</v>
      </c>
      <c r="V89" s="2">
        <f t="shared" si="236"/>
        <v>0</v>
      </c>
      <c r="W89" s="2">
        <f t="shared" si="236"/>
        <v>0</v>
      </c>
      <c r="X89" s="2">
        <f t="shared" si="236"/>
        <v>0</v>
      </c>
      <c r="Y89" s="2">
        <f t="shared" si="236"/>
        <v>0</v>
      </c>
      <c r="Z89" s="2">
        <f t="shared" si="236"/>
        <v>0</v>
      </c>
      <c r="AA89" s="2">
        <f t="shared" si="236"/>
        <v>0</v>
      </c>
      <c r="AB89" s="2">
        <f t="shared" si="236"/>
        <v>0</v>
      </c>
      <c r="AC89" s="2">
        <f t="shared" si="236"/>
        <v>0</v>
      </c>
      <c r="AD89" s="2">
        <f t="shared" si="236"/>
        <v>0</v>
      </c>
      <c r="AE89" s="2">
        <f t="shared" si="236"/>
        <v>0</v>
      </c>
      <c r="AF89" s="2">
        <f t="shared" si="236"/>
        <v>0</v>
      </c>
      <c r="AG89" s="2">
        <f t="shared" si="236"/>
        <v>0</v>
      </c>
      <c r="AH89" s="2">
        <f t="shared" si="236"/>
        <v>0</v>
      </c>
      <c r="AI89" s="2">
        <f t="shared" si="236"/>
        <v>0</v>
      </c>
      <c r="AJ89" s="2">
        <f t="shared" si="236"/>
        <v>0</v>
      </c>
      <c r="AK89" s="2">
        <f t="shared" si="236"/>
        <v>0</v>
      </c>
      <c r="AL89" s="2">
        <f t="shared" si="236"/>
        <v>0</v>
      </c>
      <c r="AM89" s="2">
        <f t="shared" si="236"/>
        <v>0</v>
      </c>
      <c r="AN89" s="2">
        <f t="shared" si="236"/>
        <v>0</v>
      </c>
      <c r="AO89" s="2">
        <f t="shared" si="236"/>
        <v>0</v>
      </c>
      <c r="AP89" s="2">
        <f t="shared" si="236"/>
        <v>0</v>
      </c>
      <c r="AQ89" s="2">
        <f t="shared" si="236"/>
        <v>0</v>
      </c>
      <c r="AR89" s="2">
        <f t="shared" si="236"/>
        <v>0</v>
      </c>
      <c r="AS89" s="2">
        <f t="shared" si="236"/>
        <v>0</v>
      </c>
      <c r="AT89" s="2">
        <f t="shared" si="236"/>
        <v>0</v>
      </c>
      <c r="AU89" s="2">
        <f t="shared" si="236"/>
        <v>0</v>
      </c>
      <c r="AV89" s="2">
        <f t="shared" si="236"/>
        <v>0</v>
      </c>
      <c r="AW89" s="2">
        <f t="shared" si="236"/>
        <v>0</v>
      </c>
      <c r="AX89" s="2">
        <f t="shared" si="236"/>
        <v>0</v>
      </c>
      <c r="AY89" s="2">
        <f t="shared" si="236"/>
        <v>0</v>
      </c>
      <c r="AZ89" s="2">
        <f t="shared" si="236"/>
        <v>0</v>
      </c>
      <c r="BA89" s="2">
        <f t="shared" si="236"/>
        <v>0</v>
      </c>
      <c r="BB89" s="2">
        <f t="shared" si="236"/>
        <v>0</v>
      </c>
      <c r="BC89" s="2">
        <f t="shared" si="236"/>
        <v>0</v>
      </c>
      <c r="BD89" s="2">
        <f t="shared" si="236"/>
        <v>0</v>
      </c>
      <c r="BE89" s="2">
        <f t="shared" si="236"/>
        <v>0</v>
      </c>
      <c r="BF89" s="2">
        <f t="shared" si="236"/>
        <v>0</v>
      </c>
      <c r="BG89" s="2">
        <f t="shared" si="236"/>
        <v>0</v>
      </c>
      <c r="BH89" s="2">
        <f t="shared" si="236"/>
        <v>0</v>
      </c>
      <c r="BI89" s="2">
        <f t="shared" si="236"/>
        <v>0.83978071736017335</v>
      </c>
      <c r="BJ89" s="2">
        <f t="shared" si="236"/>
        <v>0</v>
      </c>
      <c r="BK89" s="2">
        <f t="shared" si="236"/>
        <v>0</v>
      </c>
      <c r="BL89" s="2">
        <f t="shared" si="236"/>
        <v>0</v>
      </c>
      <c r="BM89" s="2">
        <f t="shared" si="236"/>
        <v>0</v>
      </c>
      <c r="BN89" s="2">
        <f t="shared" si="236"/>
        <v>0</v>
      </c>
      <c r="BO89" s="2">
        <f t="shared" si="236"/>
        <v>0</v>
      </c>
      <c r="BP89" s="2">
        <f t="shared" ref="BP89:CG89" si="237">IF(AND(BP$25&gt;BP$24,IF(ISNA(BP$29),TRUE,BP48&gt;=BP$29),(BP82-BP48-(-BP$25*(BP48-BO48)/(BP$25-BO$25)))/((BP48-BO48)/(BP$25-BO$25))&lt;=BP$25,(BP82-BP48-(-BP$25*(BP48-BO48)/(BP$25-BO$25)))/((BP48-BO48)/(BP$25-BO$25))&gt;BO$25),(BP82-BP48-(-BP$25*(BP48-BO48)/(BP$25-BO$25)))/((BP48-BO48)/(BP$25-BO$25)),0)</f>
        <v>0</v>
      </c>
      <c r="BQ89" s="2">
        <f t="shared" si="237"/>
        <v>0</v>
      </c>
      <c r="BR89" s="2">
        <f t="shared" si="237"/>
        <v>0</v>
      </c>
      <c r="BS89" s="2">
        <f t="shared" si="237"/>
        <v>0</v>
      </c>
      <c r="BT89" s="2">
        <f t="shared" si="237"/>
        <v>0</v>
      </c>
      <c r="BU89" s="2">
        <f t="shared" si="237"/>
        <v>0</v>
      </c>
      <c r="BV89" s="2">
        <f t="shared" si="237"/>
        <v>0</v>
      </c>
      <c r="BW89" s="2">
        <f t="shared" si="237"/>
        <v>0</v>
      </c>
      <c r="BX89" s="2">
        <f t="shared" si="237"/>
        <v>0</v>
      </c>
      <c r="BY89" s="2">
        <f t="shared" si="237"/>
        <v>0</v>
      </c>
      <c r="BZ89" s="2">
        <f t="shared" si="237"/>
        <v>0</v>
      </c>
      <c r="CA89" s="2">
        <f t="shared" si="237"/>
        <v>0</v>
      </c>
      <c r="CB89" s="2">
        <f t="shared" si="237"/>
        <v>0</v>
      </c>
      <c r="CC89" s="2">
        <f t="shared" si="237"/>
        <v>0</v>
      </c>
      <c r="CD89" s="2">
        <f t="shared" si="237"/>
        <v>0</v>
      </c>
      <c r="CE89" s="2">
        <f t="shared" si="237"/>
        <v>0</v>
      </c>
      <c r="CF89" s="2">
        <f t="shared" si="237"/>
        <v>0</v>
      </c>
      <c r="CG89" s="2">
        <f t="shared" si="237"/>
        <v>0</v>
      </c>
      <c r="CH89" s="2" cm="1">
        <f t="array" aca="1" ref="CH89" ca="1">IF(MAX(D89:CG89),MAX(D89:CG89),INDIRECT(CI48))</f>
        <v>0.83978071736017335</v>
      </c>
    </row>
    <row r="90" spans="2:86">
      <c r="B90" s="2" t="s">
        <v>751</v>
      </c>
      <c r="D90" s="2">
        <f t="shared" ref="D90:BO90" si="238">IF(AND(D$25&gt;D$24,IF(ISNA(D$29),TRUE,D49&gt;=D$29),(D83-D49-(-D$25*(D49-C49)/(D$25-C$25)))/((D49-C49)/(D$25-C$25))&lt;=D$25,(D83-D49-(-D$25*(D49-C49)/(D$25-C$25)))/((D49-C49)/(D$25-C$25))&gt;C$25),(D83-D49-(-D$25*(D49-C49)/(D$25-C$25)))/((D49-C49)/(D$25-C$25)),0)</f>
        <v>0</v>
      </c>
      <c r="E90" s="2">
        <f t="shared" si="238"/>
        <v>0</v>
      </c>
      <c r="F90" s="2">
        <f t="shared" si="238"/>
        <v>0</v>
      </c>
      <c r="G90" s="2">
        <f t="shared" si="238"/>
        <v>0</v>
      </c>
      <c r="H90" s="2">
        <f t="shared" si="238"/>
        <v>0</v>
      </c>
      <c r="I90" s="2">
        <f t="shared" si="238"/>
        <v>0</v>
      </c>
      <c r="J90" s="2">
        <f t="shared" si="238"/>
        <v>0</v>
      </c>
      <c r="K90" s="2">
        <f t="shared" si="238"/>
        <v>0</v>
      </c>
      <c r="L90" s="2">
        <f t="shared" si="238"/>
        <v>0</v>
      </c>
      <c r="M90" s="2">
        <f t="shared" si="238"/>
        <v>0</v>
      </c>
      <c r="N90" s="2">
        <f t="shared" si="238"/>
        <v>0</v>
      </c>
      <c r="O90" s="2">
        <f t="shared" si="238"/>
        <v>0</v>
      </c>
      <c r="P90" s="2">
        <f t="shared" si="238"/>
        <v>0</v>
      </c>
      <c r="Q90" s="2">
        <f t="shared" si="238"/>
        <v>0</v>
      </c>
      <c r="R90" s="2">
        <f t="shared" si="238"/>
        <v>0</v>
      </c>
      <c r="S90" s="2">
        <f t="shared" si="238"/>
        <v>0</v>
      </c>
      <c r="T90" s="2">
        <f t="shared" si="238"/>
        <v>0</v>
      </c>
      <c r="U90" s="2">
        <f t="shared" si="238"/>
        <v>0</v>
      </c>
      <c r="V90" s="2">
        <f t="shared" si="238"/>
        <v>0</v>
      </c>
      <c r="W90" s="2">
        <f t="shared" si="238"/>
        <v>0</v>
      </c>
      <c r="X90" s="2">
        <f t="shared" si="238"/>
        <v>0</v>
      </c>
      <c r="Y90" s="2">
        <f t="shared" si="238"/>
        <v>0</v>
      </c>
      <c r="Z90" s="2">
        <f t="shared" si="238"/>
        <v>0</v>
      </c>
      <c r="AA90" s="2">
        <f t="shared" si="238"/>
        <v>0</v>
      </c>
      <c r="AB90" s="2">
        <f t="shared" si="238"/>
        <v>0</v>
      </c>
      <c r="AC90" s="2">
        <f t="shared" si="238"/>
        <v>0</v>
      </c>
      <c r="AD90" s="2">
        <f t="shared" si="238"/>
        <v>0</v>
      </c>
      <c r="AE90" s="2">
        <f t="shared" si="238"/>
        <v>0</v>
      </c>
      <c r="AF90" s="2">
        <f t="shared" si="238"/>
        <v>0</v>
      </c>
      <c r="AG90" s="2">
        <f t="shared" si="238"/>
        <v>0</v>
      </c>
      <c r="AH90" s="2">
        <f t="shared" si="238"/>
        <v>0</v>
      </c>
      <c r="AI90" s="2">
        <f t="shared" si="238"/>
        <v>0</v>
      </c>
      <c r="AJ90" s="2">
        <f t="shared" si="238"/>
        <v>0</v>
      </c>
      <c r="AK90" s="2">
        <f t="shared" si="238"/>
        <v>0</v>
      </c>
      <c r="AL90" s="2">
        <f t="shared" si="238"/>
        <v>0</v>
      </c>
      <c r="AM90" s="2">
        <f t="shared" si="238"/>
        <v>0</v>
      </c>
      <c r="AN90" s="2">
        <f t="shared" si="238"/>
        <v>0</v>
      </c>
      <c r="AO90" s="2">
        <f t="shared" si="238"/>
        <v>0</v>
      </c>
      <c r="AP90" s="2">
        <f t="shared" si="238"/>
        <v>0</v>
      </c>
      <c r="AQ90" s="2">
        <f t="shared" si="238"/>
        <v>0</v>
      </c>
      <c r="AR90" s="2">
        <f t="shared" si="238"/>
        <v>0</v>
      </c>
      <c r="AS90" s="2">
        <f t="shared" si="238"/>
        <v>0</v>
      </c>
      <c r="AT90" s="2">
        <f t="shared" si="238"/>
        <v>0</v>
      </c>
      <c r="AU90" s="2">
        <f t="shared" si="238"/>
        <v>0</v>
      </c>
      <c r="AV90" s="2">
        <f t="shared" si="238"/>
        <v>0</v>
      </c>
      <c r="AW90" s="2">
        <f t="shared" si="238"/>
        <v>0</v>
      </c>
      <c r="AX90" s="2">
        <f t="shared" si="238"/>
        <v>0</v>
      </c>
      <c r="AY90" s="2">
        <f t="shared" si="238"/>
        <v>0</v>
      </c>
      <c r="AZ90" s="2">
        <f t="shared" si="238"/>
        <v>0</v>
      </c>
      <c r="BA90" s="2">
        <f t="shared" si="238"/>
        <v>0</v>
      </c>
      <c r="BB90" s="2">
        <f t="shared" si="238"/>
        <v>0</v>
      </c>
      <c r="BC90" s="2">
        <f t="shared" si="238"/>
        <v>0</v>
      </c>
      <c r="BD90" s="2">
        <f t="shared" si="238"/>
        <v>0</v>
      </c>
      <c r="BE90" s="2">
        <f t="shared" si="238"/>
        <v>0</v>
      </c>
      <c r="BF90" s="2">
        <f t="shared" si="238"/>
        <v>0.78626124054161961</v>
      </c>
      <c r="BG90" s="2">
        <f t="shared" si="238"/>
        <v>0</v>
      </c>
      <c r="BH90" s="2">
        <f t="shared" si="238"/>
        <v>0</v>
      </c>
      <c r="BI90" s="2">
        <f t="shared" si="238"/>
        <v>0</v>
      </c>
      <c r="BJ90" s="2">
        <f t="shared" si="238"/>
        <v>0</v>
      </c>
      <c r="BK90" s="2">
        <f t="shared" si="238"/>
        <v>0</v>
      </c>
      <c r="BL90" s="2">
        <f t="shared" si="238"/>
        <v>0</v>
      </c>
      <c r="BM90" s="2">
        <f t="shared" si="238"/>
        <v>0</v>
      </c>
      <c r="BN90" s="2">
        <f t="shared" si="238"/>
        <v>0</v>
      </c>
      <c r="BO90" s="2">
        <f t="shared" si="238"/>
        <v>0</v>
      </c>
      <c r="BP90" s="2">
        <f t="shared" ref="BP90:CG90" si="239">IF(AND(BP$25&gt;BP$24,IF(ISNA(BP$29),TRUE,BP49&gt;=BP$29),(BP83-BP49-(-BP$25*(BP49-BO49)/(BP$25-BO$25)))/((BP49-BO49)/(BP$25-BO$25))&lt;=BP$25,(BP83-BP49-(-BP$25*(BP49-BO49)/(BP$25-BO$25)))/((BP49-BO49)/(BP$25-BO$25))&gt;BO$25),(BP83-BP49-(-BP$25*(BP49-BO49)/(BP$25-BO$25)))/((BP49-BO49)/(BP$25-BO$25)),0)</f>
        <v>0</v>
      </c>
      <c r="BQ90" s="2">
        <f t="shared" si="239"/>
        <v>0</v>
      </c>
      <c r="BR90" s="2">
        <f t="shared" si="239"/>
        <v>0</v>
      </c>
      <c r="BS90" s="2">
        <f t="shared" si="239"/>
        <v>0</v>
      </c>
      <c r="BT90" s="2">
        <f t="shared" si="239"/>
        <v>0</v>
      </c>
      <c r="BU90" s="2">
        <f t="shared" si="239"/>
        <v>0</v>
      </c>
      <c r="BV90" s="2">
        <f t="shared" si="239"/>
        <v>0</v>
      </c>
      <c r="BW90" s="2">
        <f t="shared" si="239"/>
        <v>0</v>
      </c>
      <c r="BX90" s="2">
        <f t="shared" si="239"/>
        <v>0</v>
      </c>
      <c r="BY90" s="2">
        <f t="shared" si="239"/>
        <v>0</v>
      </c>
      <c r="BZ90" s="2">
        <f t="shared" si="239"/>
        <v>0</v>
      </c>
      <c r="CA90" s="2">
        <f t="shared" si="239"/>
        <v>0</v>
      </c>
      <c r="CB90" s="2">
        <f t="shared" si="239"/>
        <v>0</v>
      </c>
      <c r="CC90" s="2">
        <f t="shared" si="239"/>
        <v>0</v>
      </c>
      <c r="CD90" s="2">
        <f t="shared" si="239"/>
        <v>0</v>
      </c>
      <c r="CE90" s="2">
        <f t="shared" si="239"/>
        <v>0</v>
      </c>
      <c r="CF90" s="2">
        <f t="shared" si="239"/>
        <v>0</v>
      </c>
      <c r="CG90" s="2">
        <f t="shared" si="239"/>
        <v>0</v>
      </c>
      <c r="CH90" s="2" cm="1">
        <f t="array" aca="1" ref="CH90" ca="1">IF(MAX(D90:CG90),MAX(D90:CG90),INDIRECT(CI49))</f>
        <v>0.78626124054161961</v>
      </c>
    </row>
    <row r="91" spans="2:86">
      <c r="B91" s="2" t="s">
        <v>752</v>
      </c>
      <c r="D91" s="2">
        <f t="shared" ref="D91:BO91" si="240">IF(AND(D$25&gt;D$24,IF(ISNA(D$29),TRUE,D50&gt;=D$29),(D84-D50-(-D$25*(D50-C50)/(D$25-C$25)))/((D50-C50)/(D$25-C$25))&lt;=D$25,(D84-D50-(-D$25*(D50-C50)/(D$25-C$25)))/((D50-C50)/(D$25-C$25))&gt;C$25),(D84-D50-(-D$25*(D50-C50)/(D$25-C$25)))/((D50-C50)/(D$25-C$25)),0)</f>
        <v>0</v>
      </c>
      <c r="E91" s="2">
        <f t="shared" si="240"/>
        <v>0</v>
      </c>
      <c r="F91" s="2">
        <f t="shared" si="240"/>
        <v>0</v>
      </c>
      <c r="G91" s="2">
        <f t="shared" si="240"/>
        <v>0</v>
      </c>
      <c r="H91" s="2">
        <f t="shared" si="240"/>
        <v>0</v>
      </c>
      <c r="I91" s="2">
        <f t="shared" si="240"/>
        <v>0</v>
      </c>
      <c r="J91" s="2">
        <f t="shared" si="240"/>
        <v>0</v>
      </c>
      <c r="K91" s="2">
        <f t="shared" si="240"/>
        <v>0</v>
      </c>
      <c r="L91" s="2">
        <f t="shared" si="240"/>
        <v>0</v>
      </c>
      <c r="M91" s="2">
        <f t="shared" si="240"/>
        <v>0</v>
      </c>
      <c r="N91" s="2">
        <f t="shared" si="240"/>
        <v>0</v>
      </c>
      <c r="O91" s="2">
        <f t="shared" si="240"/>
        <v>0</v>
      </c>
      <c r="P91" s="2">
        <f t="shared" si="240"/>
        <v>0</v>
      </c>
      <c r="Q91" s="2">
        <f t="shared" si="240"/>
        <v>0</v>
      </c>
      <c r="R91" s="2">
        <f t="shared" si="240"/>
        <v>0</v>
      </c>
      <c r="S91" s="2">
        <f t="shared" si="240"/>
        <v>0</v>
      </c>
      <c r="T91" s="2">
        <f t="shared" si="240"/>
        <v>0</v>
      </c>
      <c r="U91" s="2">
        <f t="shared" si="240"/>
        <v>0</v>
      </c>
      <c r="V91" s="2">
        <f t="shared" si="240"/>
        <v>0</v>
      </c>
      <c r="W91" s="2">
        <f t="shared" si="240"/>
        <v>0</v>
      </c>
      <c r="X91" s="2">
        <f t="shared" si="240"/>
        <v>0</v>
      </c>
      <c r="Y91" s="2">
        <f t="shared" si="240"/>
        <v>0</v>
      </c>
      <c r="Z91" s="2">
        <f t="shared" si="240"/>
        <v>0</v>
      </c>
      <c r="AA91" s="2">
        <f t="shared" si="240"/>
        <v>0</v>
      </c>
      <c r="AB91" s="2">
        <f t="shared" si="240"/>
        <v>0</v>
      </c>
      <c r="AC91" s="2">
        <f t="shared" si="240"/>
        <v>0</v>
      </c>
      <c r="AD91" s="2">
        <f t="shared" si="240"/>
        <v>0</v>
      </c>
      <c r="AE91" s="2">
        <f t="shared" si="240"/>
        <v>0</v>
      </c>
      <c r="AF91" s="2">
        <f t="shared" si="240"/>
        <v>0</v>
      </c>
      <c r="AG91" s="2">
        <f t="shared" si="240"/>
        <v>0</v>
      </c>
      <c r="AH91" s="2">
        <f t="shared" si="240"/>
        <v>0</v>
      </c>
      <c r="AI91" s="2">
        <f t="shared" si="240"/>
        <v>0</v>
      </c>
      <c r="AJ91" s="2">
        <f t="shared" si="240"/>
        <v>0</v>
      </c>
      <c r="AK91" s="2">
        <f t="shared" si="240"/>
        <v>0</v>
      </c>
      <c r="AL91" s="2">
        <f t="shared" si="240"/>
        <v>0</v>
      </c>
      <c r="AM91" s="2">
        <f t="shared" si="240"/>
        <v>0</v>
      </c>
      <c r="AN91" s="2">
        <f t="shared" si="240"/>
        <v>0</v>
      </c>
      <c r="AO91" s="2">
        <f t="shared" si="240"/>
        <v>0</v>
      </c>
      <c r="AP91" s="2">
        <f t="shared" si="240"/>
        <v>0</v>
      </c>
      <c r="AQ91" s="2">
        <f t="shared" si="240"/>
        <v>0</v>
      </c>
      <c r="AR91" s="2">
        <f t="shared" si="240"/>
        <v>0</v>
      </c>
      <c r="AS91" s="2">
        <f t="shared" si="240"/>
        <v>0</v>
      </c>
      <c r="AT91" s="2">
        <f t="shared" si="240"/>
        <v>0</v>
      </c>
      <c r="AU91" s="2">
        <f t="shared" si="240"/>
        <v>0</v>
      </c>
      <c r="AV91" s="2">
        <f t="shared" si="240"/>
        <v>0</v>
      </c>
      <c r="AW91" s="2">
        <f t="shared" si="240"/>
        <v>0</v>
      </c>
      <c r="AX91" s="2">
        <f t="shared" si="240"/>
        <v>0</v>
      </c>
      <c r="AY91" s="2">
        <f t="shared" si="240"/>
        <v>0</v>
      </c>
      <c r="AZ91" s="2">
        <f t="shared" si="240"/>
        <v>0</v>
      </c>
      <c r="BA91" s="2">
        <f t="shared" si="240"/>
        <v>0.72279727112811287</v>
      </c>
      <c r="BB91" s="2">
        <f t="shared" si="240"/>
        <v>0</v>
      </c>
      <c r="BC91" s="2">
        <f t="shared" si="240"/>
        <v>0</v>
      </c>
      <c r="BD91" s="2">
        <f t="shared" si="240"/>
        <v>0</v>
      </c>
      <c r="BE91" s="2">
        <f t="shared" si="240"/>
        <v>0</v>
      </c>
      <c r="BF91" s="2">
        <f t="shared" si="240"/>
        <v>0</v>
      </c>
      <c r="BG91" s="2">
        <f t="shared" si="240"/>
        <v>0</v>
      </c>
      <c r="BH91" s="2">
        <f t="shared" si="240"/>
        <v>0</v>
      </c>
      <c r="BI91" s="2">
        <f t="shared" si="240"/>
        <v>0</v>
      </c>
      <c r="BJ91" s="2">
        <f t="shared" si="240"/>
        <v>0</v>
      </c>
      <c r="BK91" s="2">
        <f t="shared" si="240"/>
        <v>0</v>
      </c>
      <c r="BL91" s="2">
        <f t="shared" si="240"/>
        <v>0</v>
      </c>
      <c r="BM91" s="2">
        <f t="shared" si="240"/>
        <v>0</v>
      </c>
      <c r="BN91" s="2">
        <f t="shared" si="240"/>
        <v>0</v>
      </c>
      <c r="BO91" s="2">
        <f t="shared" si="240"/>
        <v>0</v>
      </c>
      <c r="BP91" s="2">
        <f t="shared" ref="BP91:CG91" si="241">IF(AND(BP$25&gt;BP$24,IF(ISNA(BP$29),TRUE,BP50&gt;=BP$29),(BP84-BP50-(-BP$25*(BP50-BO50)/(BP$25-BO$25)))/((BP50-BO50)/(BP$25-BO$25))&lt;=BP$25,(BP84-BP50-(-BP$25*(BP50-BO50)/(BP$25-BO$25)))/((BP50-BO50)/(BP$25-BO$25))&gt;BO$25),(BP84-BP50-(-BP$25*(BP50-BO50)/(BP$25-BO$25)))/((BP50-BO50)/(BP$25-BO$25)),0)</f>
        <v>0</v>
      </c>
      <c r="BQ91" s="2">
        <f t="shared" si="241"/>
        <v>0</v>
      </c>
      <c r="BR91" s="2">
        <f t="shared" si="241"/>
        <v>0</v>
      </c>
      <c r="BS91" s="2">
        <f t="shared" si="241"/>
        <v>0</v>
      </c>
      <c r="BT91" s="2">
        <f t="shared" si="241"/>
        <v>0</v>
      </c>
      <c r="BU91" s="2">
        <f t="shared" si="241"/>
        <v>0</v>
      </c>
      <c r="BV91" s="2">
        <f t="shared" si="241"/>
        <v>0</v>
      </c>
      <c r="BW91" s="2">
        <f t="shared" si="241"/>
        <v>0</v>
      </c>
      <c r="BX91" s="2">
        <f t="shared" si="241"/>
        <v>0</v>
      </c>
      <c r="BY91" s="2">
        <f t="shared" si="241"/>
        <v>0</v>
      </c>
      <c r="BZ91" s="2">
        <f t="shared" si="241"/>
        <v>0</v>
      </c>
      <c r="CA91" s="2">
        <f t="shared" si="241"/>
        <v>0</v>
      </c>
      <c r="CB91" s="2">
        <f t="shared" si="241"/>
        <v>0</v>
      </c>
      <c r="CC91" s="2">
        <f t="shared" si="241"/>
        <v>0</v>
      </c>
      <c r="CD91" s="2">
        <f t="shared" si="241"/>
        <v>0</v>
      </c>
      <c r="CE91" s="2">
        <f t="shared" si="241"/>
        <v>0</v>
      </c>
      <c r="CF91" s="2">
        <f t="shared" si="241"/>
        <v>0</v>
      </c>
      <c r="CG91" s="2">
        <f t="shared" si="241"/>
        <v>0</v>
      </c>
      <c r="CH91" s="2" cm="1">
        <f t="array" aca="1" ref="CH91" ca="1">IF(MAX(D91:CG91),MAX(D91:CG91),INDIRECT(CI50))</f>
        <v>0.72279727112811287</v>
      </c>
    </row>
    <row r="92" spans="2:86">
      <c r="B92" s="2" t="s">
        <v>753</v>
      </c>
      <c r="D92" s="2">
        <f t="shared" ref="D92:BO92" si="242">IF(AND(D$25&gt;D$24,IF(ISNA(D$29),TRUE,D51&gt;=D$29),(D85-D51-(-D$25*(D51-C51)/(D$25-C$25)))/((D51-C51)/(D$25-C$25))&lt;=D$25,(D85-D51-(-D$25*(D51-C51)/(D$25-C$25)))/((D51-C51)/(D$25-C$25))&gt;C$25),(D85-D51-(-D$25*(D51-C51)/(D$25-C$25)))/((D51-C51)/(D$25-C$25)),0)</f>
        <v>0</v>
      </c>
      <c r="E92" s="2">
        <f t="shared" si="242"/>
        <v>0</v>
      </c>
      <c r="F92" s="2">
        <f t="shared" si="242"/>
        <v>0</v>
      </c>
      <c r="G92" s="2">
        <f t="shared" si="242"/>
        <v>0</v>
      </c>
      <c r="H92" s="2">
        <f t="shared" si="242"/>
        <v>0</v>
      </c>
      <c r="I92" s="2">
        <f t="shared" si="242"/>
        <v>0</v>
      </c>
      <c r="J92" s="2">
        <f t="shared" si="242"/>
        <v>0</v>
      </c>
      <c r="K92" s="2">
        <f t="shared" si="242"/>
        <v>0</v>
      </c>
      <c r="L92" s="2">
        <f t="shared" si="242"/>
        <v>0</v>
      </c>
      <c r="M92" s="2">
        <f t="shared" si="242"/>
        <v>0</v>
      </c>
      <c r="N92" s="2">
        <f t="shared" si="242"/>
        <v>0</v>
      </c>
      <c r="O92" s="2">
        <f t="shared" si="242"/>
        <v>0</v>
      </c>
      <c r="P92" s="2">
        <f t="shared" si="242"/>
        <v>0</v>
      </c>
      <c r="Q92" s="2">
        <f t="shared" si="242"/>
        <v>0</v>
      </c>
      <c r="R92" s="2">
        <f t="shared" si="242"/>
        <v>0</v>
      </c>
      <c r="S92" s="2">
        <f t="shared" si="242"/>
        <v>0</v>
      </c>
      <c r="T92" s="2">
        <f t="shared" si="242"/>
        <v>0</v>
      </c>
      <c r="U92" s="2">
        <f t="shared" si="242"/>
        <v>0</v>
      </c>
      <c r="V92" s="2">
        <f t="shared" si="242"/>
        <v>0</v>
      </c>
      <c r="W92" s="2">
        <f t="shared" si="242"/>
        <v>0</v>
      </c>
      <c r="X92" s="2">
        <f t="shared" si="242"/>
        <v>0</v>
      </c>
      <c r="Y92" s="2">
        <f t="shared" si="242"/>
        <v>0</v>
      </c>
      <c r="Z92" s="2">
        <f t="shared" si="242"/>
        <v>0</v>
      </c>
      <c r="AA92" s="2">
        <f t="shared" si="242"/>
        <v>0</v>
      </c>
      <c r="AB92" s="2">
        <f t="shared" si="242"/>
        <v>0</v>
      </c>
      <c r="AC92" s="2">
        <f t="shared" si="242"/>
        <v>0</v>
      </c>
      <c r="AD92" s="2">
        <f t="shared" si="242"/>
        <v>0</v>
      </c>
      <c r="AE92" s="2">
        <f t="shared" si="242"/>
        <v>0</v>
      </c>
      <c r="AF92" s="2">
        <f t="shared" si="242"/>
        <v>0</v>
      </c>
      <c r="AG92" s="2">
        <f t="shared" si="242"/>
        <v>0</v>
      </c>
      <c r="AH92" s="2">
        <f t="shared" si="242"/>
        <v>0</v>
      </c>
      <c r="AI92" s="2">
        <f t="shared" si="242"/>
        <v>0</v>
      </c>
      <c r="AJ92" s="2">
        <f t="shared" si="242"/>
        <v>0</v>
      </c>
      <c r="AK92" s="2">
        <f t="shared" si="242"/>
        <v>0</v>
      </c>
      <c r="AL92" s="2">
        <f t="shared" si="242"/>
        <v>0</v>
      </c>
      <c r="AM92" s="2">
        <f t="shared" si="242"/>
        <v>0</v>
      </c>
      <c r="AN92" s="2">
        <f t="shared" si="242"/>
        <v>0</v>
      </c>
      <c r="AO92" s="2">
        <f t="shared" si="242"/>
        <v>0</v>
      </c>
      <c r="AP92" s="2">
        <f t="shared" si="242"/>
        <v>0</v>
      </c>
      <c r="AQ92" s="2">
        <f t="shared" si="242"/>
        <v>0</v>
      </c>
      <c r="AR92" s="2">
        <f t="shared" si="242"/>
        <v>0</v>
      </c>
      <c r="AS92" s="2">
        <f t="shared" si="242"/>
        <v>0</v>
      </c>
      <c r="AT92" s="2">
        <f t="shared" si="242"/>
        <v>0</v>
      </c>
      <c r="AU92" s="2">
        <f t="shared" si="242"/>
        <v>0</v>
      </c>
      <c r="AV92" s="2">
        <f t="shared" si="242"/>
        <v>0</v>
      </c>
      <c r="AW92" s="2">
        <f t="shared" si="242"/>
        <v>0.66273024747635012</v>
      </c>
      <c r="AX92" s="2">
        <f t="shared" si="242"/>
        <v>0</v>
      </c>
      <c r="AY92" s="2">
        <f t="shared" si="242"/>
        <v>0</v>
      </c>
      <c r="AZ92" s="2">
        <f t="shared" si="242"/>
        <v>0</v>
      </c>
      <c r="BA92" s="2">
        <f t="shared" si="242"/>
        <v>0</v>
      </c>
      <c r="BB92" s="2">
        <f t="shared" si="242"/>
        <v>0</v>
      </c>
      <c r="BC92" s="2">
        <f t="shared" si="242"/>
        <v>0</v>
      </c>
      <c r="BD92" s="2">
        <f t="shared" si="242"/>
        <v>0</v>
      </c>
      <c r="BE92" s="2">
        <f t="shared" si="242"/>
        <v>0</v>
      </c>
      <c r="BF92" s="2">
        <f t="shared" si="242"/>
        <v>0</v>
      </c>
      <c r="BG92" s="2">
        <f t="shared" si="242"/>
        <v>0</v>
      </c>
      <c r="BH92" s="2">
        <f t="shared" si="242"/>
        <v>0</v>
      </c>
      <c r="BI92" s="2">
        <f t="shared" si="242"/>
        <v>0</v>
      </c>
      <c r="BJ92" s="2">
        <f t="shared" si="242"/>
        <v>0</v>
      </c>
      <c r="BK92" s="2">
        <f t="shared" si="242"/>
        <v>0</v>
      </c>
      <c r="BL92" s="2">
        <f t="shared" si="242"/>
        <v>0</v>
      </c>
      <c r="BM92" s="2">
        <f t="shared" si="242"/>
        <v>0</v>
      </c>
      <c r="BN92" s="2">
        <f t="shared" si="242"/>
        <v>0</v>
      </c>
      <c r="BO92" s="2">
        <f t="shared" si="242"/>
        <v>0</v>
      </c>
      <c r="BP92" s="2">
        <f t="shared" ref="BP92:CG92" si="243">IF(AND(BP$25&gt;BP$24,IF(ISNA(BP$29),TRUE,BP51&gt;=BP$29),(BP85-BP51-(-BP$25*(BP51-BO51)/(BP$25-BO$25)))/((BP51-BO51)/(BP$25-BO$25))&lt;=BP$25,(BP85-BP51-(-BP$25*(BP51-BO51)/(BP$25-BO$25)))/((BP51-BO51)/(BP$25-BO$25))&gt;BO$25),(BP85-BP51-(-BP$25*(BP51-BO51)/(BP$25-BO$25)))/((BP51-BO51)/(BP$25-BO$25)),0)</f>
        <v>0</v>
      </c>
      <c r="BQ92" s="2">
        <f t="shared" si="243"/>
        <v>0</v>
      </c>
      <c r="BR92" s="2">
        <f t="shared" si="243"/>
        <v>0</v>
      </c>
      <c r="BS92" s="2">
        <f t="shared" si="243"/>
        <v>0</v>
      </c>
      <c r="BT92" s="2">
        <f t="shared" si="243"/>
        <v>0</v>
      </c>
      <c r="BU92" s="2">
        <f t="shared" si="243"/>
        <v>0</v>
      </c>
      <c r="BV92" s="2">
        <f t="shared" si="243"/>
        <v>0</v>
      </c>
      <c r="BW92" s="2">
        <f t="shared" si="243"/>
        <v>0</v>
      </c>
      <c r="BX92" s="2">
        <f t="shared" si="243"/>
        <v>0</v>
      </c>
      <c r="BY92" s="2">
        <f t="shared" si="243"/>
        <v>0</v>
      </c>
      <c r="BZ92" s="2">
        <f t="shared" si="243"/>
        <v>0</v>
      </c>
      <c r="CA92" s="2">
        <f t="shared" si="243"/>
        <v>0</v>
      </c>
      <c r="CB92" s="2">
        <f t="shared" si="243"/>
        <v>0</v>
      </c>
      <c r="CC92" s="2">
        <f t="shared" si="243"/>
        <v>0</v>
      </c>
      <c r="CD92" s="2">
        <f t="shared" si="243"/>
        <v>0</v>
      </c>
      <c r="CE92" s="2">
        <f t="shared" si="243"/>
        <v>0</v>
      </c>
      <c r="CF92" s="2">
        <f t="shared" si="243"/>
        <v>0</v>
      </c>
      <c r="CG92" s="2">
        <f t="shared" si="243"/>
        <v>0</v>
      </c>
      <c r="CH92" s="2" cm="1">
        <f t="array" aca="1" ref="CH92" ca="1">IF(MAX(D92:CG92),MAX(D92:CG92),INDIRECT(CI51))</f>
        <v>0.66273024747635012</v>
      </c>
    </row>
    <row r="93" spans="2:86">
      <c r="B93" s="2" t="s">
        <v>754</v>
      </c>
      <c r="D93" s="2">
        <f t="shared" ref="D93:BO93" si="244">IF(AND(D$25&gt;D$24,IF(ISNA(D$29),TRUE,D52&gt;=D$29),(D86-D52-(-D$25*(D52-C52)/(D$25-C$25)))/((D52-C52)/(D$25-C$25))&lt;=D$25,(D86-D52-(-D$25*(D52-C52)/(D$25-C$25)))/((D52-C52)/(D$25-C$25))&gt;C$25),(D86-D52-(-D$25*(D52-C52)/(D$25-C$25)))/((D52-C52)/(D$25-C$25)),0)</f>
        <v>0</v>
      </c>
      <c r="E93" s="2">
        <f t="shared" si="244"/>
        <v>0</v>
      </c>
      <c r="F93" s="2">
        <f t="shared" si="244"/>
        <v>0</v>
      </c>
      <c r="G93" s="2">
        <f t="shared" si="244"/>
        <v>0</v>
      </c>
      <c r="H93" s="2">
        <f t="shared" si="244"/>
        <v>0</v>
      </c>
      <c r="I93" s="2">
        <f t="shared" si="244"/>
        <v>0</v>
      </c>
      <c r="J93" s="2">
        <f t="shared" si="244"/>
        <v>0</v>
      </c>
      <c r="K93" s="2">
        <f t="shared" si="244"/>
        <v>0</v>
      </c>
      <c r="L93" s="2">
        <f t="shared" si="244"/>
        <v>0</v>
      </c>
      <c r="M93" s="2">
        <f t="shared" si="244"/>
        <v>0</v>
      </c>
      <c r="N93" s="2">
        <f t="shared" si="244"/>
        <v>0</v>
      </c>
      <c r="O93" s="2">
        <f t="shared" si="244"/>
        <v>0</v>
      </c>
      <c r="P93" s="2">
        <f t="shared" si="244"/>
        <v>0</v>
      </c>
      <c r="Q93" s="2">
        <f t="shared" si="244"/>
        <v>0</v>
      </c>
      <c r="R93" s="2">
        <f t="shared" si="244"/>
        <v>0</v>
      </c>
      <c r="S93" s="2">
        <f t="shared" si="244"/>
        <v>0</v>
      </c>
      <c r="T93" s="2">
        <f t="shared" si="244"/>
        <v>0</v>
      </c>
      <c r="U93" s="2">
        <f t="shared" si="244"/>
        <v>0</v>
      </c>
      <c r="V93" s="2">
        <f t="shared" si="244"/>
        <v>0</v>
      </c>
      <c r="W93" s="2">
        <f t="shared" si="244"/>
        <v>0</v>
      </c>
      <c r="X93" s="2">
        <f t="shared" si="244"/>
        <v>0</v>
      </c>
      <c r="Y93" s="2">
        <f t="shared" si="244"/>
        <v>0</v>
      </c>
      <c r="Z93" s="2">
        <f t="shared" si="244"/>
        <v>0</v>
      </c>
      <c r="AA93" s="2">
        <f t="shared" si="244"/>
        <v>0</v>
      </c>
      <c r="AB93" s="2">
        <f t="shared" si="244"/>
        <v>0</v>
      </c>
      <c r="AC93" s="2">
        <f t="shared" si="244"/>
        <v>0</v>
      </c>
      <c r="AD93" s="2">
        <f t="shared" si="244"/>
        <v>0</v>
      </c>
      <c r="AE93" s="2">
        <f t="shared" si="244"/>
        <v>0</v>
      </c>
      <c r="AF93" s="2">
        <f t="shared" si="244"/>
        <v>0</v>
      </c>
      <c r="AG93" s="2">
        <f t="shared" si="244"/>
        <v>0</v>
      </c>
      <c r="AH93" s="2">
        <f t="shared" si="244"/>
        <v>0</v>
      </c>
      <c r="AI93" s="2">
        <f t="shared" si="244"/>
        <v>0</v>
      </c>
      <c r="AJ93" s="2">
        <f t="shared" si="244"/>
        <v>0</v>
      </c>
      <c r="AK93" s="2">
        <f t="shared" si="244"/>
        <v>0</v>
      </c>
      <c r="AL93" s="2">
        <f t="shared" si="244"/>
        <v>0</v>
      </c>
      <c r="AM93" s="2">
        <f t="shared" si="244"/>
        <v>0</v>
      </c>
      <c r="AN93" s="2">
        <f t="shared" si="244"/>
        <v>0</v>
      </c>
      <c r="AO93" s="2">
        <f t="shared" si="244"/>
        <v>0</v>
      </c>
      <c r="AP93" s="2">
        <f t="shared" si="244"/>
        <v>0</v>
      </c>
      <c r="AQ93" s="2">
        <f t="shared" si="244"/>
        <v>0</v>
      </c>
      <c r="AR93" s="2">
        <f t="shared" si="244"/>
        <v>0</v>
      </c>
      <c r="AS93" s="2">
        <f t="shared" si="244"/>
        <v>0.60815613681824143</v>
      </c>
      <c r="AT93" s="2">
        <f t="shared" si="244"/>
        <v>0</v>
      </c>
      <c r="AU93" s="2">
        <f t="shared" si="244"/>
        <v>0</v>
      </c>
      <c r="AV93" s="2">
        <f t="shared" si="244"/>
        <v>0</v>
      </c>
      <c r="AW93" s="2">
        <f t="shared" si="244"/>
        <v>0</v>
      </c>
      <c r="AX93" s="2">
        <f t="shared" si="244"/>
        <v>0</v>
      </c>
      <c r="AY93" s="2">
        <f t="shared" si="244"/>
        <v>0</v>
      </c>
      <c r="AZ93" s="2">
        <f t="shared" si="244"/>
        <v>0</v>
      </c>
      <c r="BA93" s="2">
        <f t="shared" si="244"/>
        <v>0</v>
      </c>
      <c r="BB93" s="2">
        <f t="shared" si="244"/>
        <v>0</v>
      </c>
      <c r="BC93" s="2">
        <f t="shared" si="244"/>
        <v>0</v>
      </c>
      <c r="BD93" s="2">
        <f t="shared" si="244"/>
        <v>0</v>
      </c>
      <c r="BE93" s="2">
        <f t="shared" si="244"/>
        <v>0</v>
      </c>
      <c r="BF93" s="2">
        <f t="shared" si="244"/>
        <v>0</v>
      </c>
      <c r="BG93" s="2">
        <f t="shared" si="244"/>
        <v>0</v>
      </c>
      <c r="BH93" s="2">
        <f t="shared" si="244"/>
        <v>0</v>
      </c>
      <c r="BI93" s="2">
        <f t="shared" si="244"/>
        <v>0</v>
      </c>
      <c r="BJ93" s="2">
        <f t="shared" si="244"/>
        <v>0</v>
      </c>
      <c r="BK93" s="2">
        <f t="shared" si="244"/>
        <v>0</v>
      </c>
      <c r="BL93" s="2">
        <f t="shared" si="244"/>
        <v>0</v>
      </c>
      <c r="BM93" s="2">
        <f t="shared" si="244"/>
        <v>0</v>
      </c>
      <c r="BN93" s="2">
        <f t="shared" si="244"/>
        <v>0</v>
      </c>
      <c r="BO93" s="2">
        <f t="shared" si="244"/>
        <v>0</v>
      </c>
      <c r="BP93" s="2">
        <f t="shared" ref="BP93:CG93" si="245">IF(AND(BP$25&gt;BP$24,IF(ISNA(BP$29),TRUE,BP52&gt;=BP$29),(BP86-BP52-(-BP$25*(BP52-BO52)/(BP$25-BO$25)))/((BP52-BO52)/(BP$25-BO$25))&lt;=BP$25,(BP86-BP52-(-BP$25*(BP52-BO52)/(BP$25-BO$25)))/((BP52-BO52)/(BP$25-BO$25))&gt;BO$25),(BP86-BP52-(-BP$25*(BP52-BO52)/(BP$25-BO$25)))/((BP52-BO52)/(BP$25-BO$25)),0)</f>
        <v>0</v>
      </c>
      <c r="BQ93" s="2">
        <f t="shared" si="245"/>
        <v>0</v>
      </c>
      <c r="BR93" s="2">
        <f t="shared" si="245"/>
        <v>0</v>
      </c>
      <c r="BS93" s="2">
        <f t="shared" si="245"/>
        <v>0</v>
      </c>
      <c r="BT93" s="2">
        <f t="shared" si="245"/>
        <v>0</v>
      </c>
      <c r="BU93" s="2">
        <f t="shared" si="245"/>
        <v>0</v>
      </c>
      <c r="BV93" s="2">
        <f t="shared" si="245"/>
        <v>0</v>
      </c>
      <c r="BW93" s="2">
        <f t="shared" si="245"/>
        <v>0</v>
      </c>
      <c r="BX93" s="2">
        <f t="shared" si="245"/>
        <v>0</v>
      </c>
      <c r="BY93" s="2">
        <f t="shared" si="245"/>
        <v>0</v>
      </c>
      <c r="BZ93" s="2">
        <f t="shared" si="245"/>
        <v>0</v>
      </c>
      <c r="CA93" s="2">
        <f t="shared" si="245"/>
        <v>0</v>
      </c>
      <c r="CB93" s="2">
        <f t="shared" si="245"/>
        <v>0</v>
      </c>
      <c r="CC93" s="2">
        <f t="shared" si="245"/>
        <v>0</v>
      </c>
      <c r="CD93" s="2">
        <f t="shared" si="245"/>
        <v>0</v>
      </c>
      <c r="CE93" s="2">
        <f t="shared" si="245"/>
        <v>0</v>
      </c>
      <c r="CF93" s="2">
        <f t="shared" si="245"/>
        <v>0</v>
      </c>
      <c r="CG93" s="2">
        <f t="shared" si="245"/>
        <v>0</v>
      </c>
      <c r="CH93" s="2" cm="1">
        <f t="array" aca="1" ref="CH93" ca="1">IF(MAX(D93:CG93),MAX(D93:CG93),INDIRECT(CI52))</f>
        <v>0.60815613681824143</v>
      </c>
    </row>
    <row r="95" spans="2:86">
      <c r="B95" s="32" t="s">
        <v>755</v>
      </c>
      <c r="C95" s="32">
        <f t="shared" ref="C95:AH95" si="246">(C$40/(C$10^2))*((PI()^2)/4)*(C12*100/C$39)*(((SIN(C$33))^2)/((C$5+C$11*C$6)/C$11)^2)</f>
        <v>0.5001479368730567</v>
      </c>
      <c r="D95" s="32">
        <f t="shared" si="246"/>
        <v>0.5001479368730567</v>
      </c>
      <c r="E95" s="32">
        <f t="shared" si="246"/>
        <v>0.5001479368730567</v>
      </c>
      <c r="F95" s="32">
        <f t="shared" si="246"/>
        <v>0.5001479368730567</v>
      </c>
      <c r="G95" s="32">
        <f t="shared" si="246"/>
        <v>0.5001479368730567</v>
      </c>
      <c r="H95" s="32">
        <f t="shared" si="246"/>
        <v>0.5001479368730567</v>
      </c>
      <c r="I95" s="32">
        <f t="shared" si="246"/>
        <v>0.5001479368730567</v>
      </c>
      <c r="J95" s="32">
        <f t="shared" si="246"/>
        <v>0.5001479368730567</v>
      </c>
      <c r="K95" s="32">
        <f t="shared" si="246"/>
        <v>0.5001479368730567</v>
      </c>
      <c r="L95" s="32">
        <f t="shared" si="246"/>
        <v>0.5001479368730567</v>
      </c>
      <c r="M95" s="32">
        <f t="shared" si="246"/>
        <v>0.5001479368730567</v>
      </c>
      <c r="N95" s="32">
        <f t="shared" si="246"/>
        <v>0.5001479368730567</v>
      </c>
      <c r="O95" s="32">
        <f t="shared" si="246"/>
        <v>0.5001479368730567</v>
      </c>
      <c r="P95" s="32">
        <f t="shared" si="246"/>
        <v>0.5001479368730567</v>
      </c>
      <c r="Q95" s="32">
        <f t="shared" si="246"/>
        <v>0.5001479368730567</v>
      </c>
      <c r="R95" s="32">
        <f t="shared" si="246"/>
        <v>0.5001479368730567</v>
      </c>
      <c r="S95" s="32">
        <f t="shared" si="246"/>
        <v>0.5001479368730567</v>
      </c>
      <c r="T95" s="32">
        <f t="shared" si="246"/>
        <v>0.5001479368730567</v>
      </c>
      <c r="U95" s="32">
        <f t="shared" si="246"/>
        <v>0.5001479368730567</v>
      </c>
      <c r="V95" s="32">
        <f t="shared" si="246"/>
        <v>0.5001479368730567</v>
      </c>
      <c r="W95" s="32">
        <f t="shared" si="246"/>
        <v>0.5001479368730567</v>
      </c>
      <c r="X95" s="32">
        <f t="shared" si="246"/>
        <v>0.5001479368730567</v>
      </c>
      <c r="Y95" s="32">
        <f t="shared" si="246"/>
        <v>0.5001479368730567</v>
      </c>
      <c r="Z95" s="32">
        <f t="shared" si="246"/>
        <v>0.5001479368730567</v>
      </c>
      <c r="AA95" s="32">
        <f t="shared" si="246"/>
        <v>0.5001479368730567</v>
      </c>
      <c r="AB95" s="32">
        <f t="shared" si="246"/>
        <v>0.5001479368730567</v>
      </c>
      <c r="AC95" s="32">
        <f t="shared" si="246"/>
        <v>0.5001479368730567</v>
      </c>
      <c r="AD95" s="32">
        <f t="shared" si="246"/>
        <v>0.5001479368730567</v>
      </c>
      <c r="AE95" s="32">
        <f t="shared" si="246"/>
        <v>0.5001479368730567</v>
      </c>
      <c r="AF95" s="32">
        <f t="shared" si="246"/>
        <v>0.5001479368730567</v>
      </c>
      <c r="AG95" s="32">
        <f t="shared" si="246"/>
        <v>0.5001479368730567</v>
      </c>
      <c r="AH95" s="32">
        <f t="shared" si="246"/>
        <v>0.5001479368730567</v>
      </c>
      <c r="AI95" s="32">
        <f t="shared" ref="AI95:BN95" si="247">(AI$40/(AI$10^2))*((PI()^2)/4)*(AI12*100/AI$39)*(((SIN(AI$33))^2)/((AI$5+AI$11*AI$6)/AI$11)^2)</f>
        <v>0.5001479368730567</v>
      </c>
      <c r="AJ95" s="32">
        <f t="shared" si="247"/>
        <v>0.5001479368730567</v>
      </c>
      <c r="AK95" s="32">
        <f t="shared" si="247"/>
        <v>0.5001479368730567</v>
      </c>
      <c r="AL95" s="32">
        <f t="shared" si="247"/>
        <v>0.5001479368730567</v>
      </c>
      <c r="AM95" s="32">
        <f t="shared" si="247"/>
        <v>0.5001479368730567</v>
      </c>
      <c r="AN95" s="32">
        <f t="shared" si="247"/>
        <v>0.5001479368730567</v>
      </c>
      <c r="AO95" s="32">
        <f t="shared" si="247"/>
        <v>0.5001479368730567</v>
      </c>
      <c r="AP95" s="32">
        <f t="shared" si="247"/>
        <v>0.5001479368730567</v>
      </c>
      <c r="AQ95" s="32">
        <f t="shared" si="247"/>
        <v>0.5001479368730567</v>
      </c>
      <c r="AR95" s="32">
        <f t="shared" si="247"/>
        <v>0.5001479368730567</v>
      </c>
      <c r="AS95" s="32">
        <f t="shared" si="247"/>
        <v>0.5001479368730567</v>
      </c>
      <c r="AT95" s="32">
        <f t="shared" si="247"/>
        <v>0.5001479368730567</v>
      </c>
      <c r="AU95" s="32">
        <f t="shared" si="247"/>
        <v>0.5001479368730567</v>
      </c>
      <c r="AV95" s="32">
        <f t="shared" si="247"/>
        <v>0.5001479368730567</v>
      </c>
      <c r="AW95" s="32">
        <f t="shared" si="247"/>
        <v>0.5001479368730567</v>
      </c>
      <c r="AX95" s="32">
        <f t="shared" si="247"/>
        <v>0.5001479368730567</v>
      </c>
      <c r="AY95" s="32">
        <f t="shared" si="247"/>
        <v>0.5001479368730567</v>
      </c>
      <c r="AZ95" s="32">
        <f t="shared" si="247"/>
        <v>0.5001479368730567</v>
      </c>
      <c r="BA95" s="32">
        <f t="shared" si="247"/>
        <v>0.5001479368730567</v>
      </c>
      <c r="BB95" s="32">
        <f t="shared" si="247"/>
        <v>0.5001479368730567</v>
      </c>
      <c r="BC95" s="32">
        <f t="shared" si="247"/>
        <v>0.5001479368730567</v>
      </c>
      <c r="BD95" s="32">
        <f t="shared" si="247"/>
        <v>0.5001479368730567</v>
      </c>
      <c r="BE95" s="32">
        <f t="shared" si="247"/>
        <v>0.5001479368730567</v>
      </c>
      <c r="BF95" s="32">
        <f t="shared" si="247"/>
        <v>0.5001479368730567</v>
      </c>
      <c r="BG95" s="32">
        <f t="shared" si="247"/>
        <v>0.5001479368730567</v>
      </c>
      <c r="BH95" s="32">
        <f t="shared" si="247"/>
        <v>0.5001479368730567</v>
      </c>
      <c r="BI95" s="32">
        <f t="shared" si="247"/>
        <v>0.5001479368730567</v>
      </c>
      <c r="BJ95" s="32">
        <f t="shared" si="247"/>
        <v>0.5001479368730567</v>
      </c>
      <c r="BK95" s="32">
        <f t="shared" si="247"/>
        <v>0.5001479368730567</v>
      </c>
      <c r="BL95" s="32">
        <f t="shared" si="247"/>
        <v>0.5001479368730567</v>
      </c>
      <c r="BM95" s="32">
        <f t="shared" si="247"/>
        <v>0.5001479368730567</v>
      </c>
      <c r="BN95" s="32">
        <f t="shared" si="247"/>
        <v>0.5001479368730567</v>
      </c>
      <c r="BO95" s="32">
        <f t="shared" ref="BO95:CG95" si="248">(BO$40/(BO$10^2))*((PI()^2)/4)*(BO12*100/BO$39)*(((SIN(BO$33))^2)/((BO$5+BO$11*BO$6)/BO$11)^2)</f>
        <v>0.5001479368730567</v>
      </c>
      <c r="BP95" s="32">
        <f t="shared" si="248"/>
        <v>0.5001479368730567</v>
      </c>
      <c r="BQ95" s="32">
        <f t="shared" si="248"/>
        <v>0.5001479368730567</v>
      </c>
      <c r="BR95" s="32">
        <f t="shared" si="248"/>
        <v>0.5001479368730567</v>
      </c>
      <c r="BS95" s="32">
        <f t="shared" si="248"/>
        <v>0.5001479368730567</v>
      </c>
      <c r="BT95" s="32">
        <f t="shared" si="248"/>
        <v>0.5001479368730567</v>
      </c>
      <c r="BU95" s="32">
        <f t="shared" si="248"/>
        <v>0.5001479368730567</v>
      </c>
      <c r="BV95" s="32">
        <f t="shared" si="248"/>
        <v>0.5001479368730567</v>
      </c>
      <c r="BW95" s="32">
        <f t="shared" si="248"/>
        <v>0.5001479368730567</v>
      </c>
      <c r="BX95" s="32">
        <f t="shared" si="248"/>
        <v>0.5001479368730567</v>
      </c>
      <c r="BY95" s="32">
        <f t="shared" si="248"/>
        <v>0.5001479368730567</v>
      </c>
      <c r="BZ95" s="32">
        <f t="shared" si="248"/>
        <v>0.5001479368730567</v>
      </c>
      <c r="CA95" s="32">
        <f t="shared" si="248"/>
        <v>0.5001479368730567</v>
      </c>
      <c r="CB95" s="32">
        <f t="shared" si="248"/>
        <v>0.5001479368730567</v>
      </c>
      <c r="CC95" s="32">
        <f t="shared" si="248"/>
        <v>0.5001479368730567</v>
      </c>
      <c r="CD95" s="32">
        <f t="shared" si="248"/>
        <v>0.5001479368730567</v>
      </c>
      <c r="CE95" s="32">
        <f t="shared" si="248"/>
        <v>0.5001479368730567</v>
      </c>
      <c r="CF95" s="32">
        <f t="shared" si="248"/>
        <v>0.5001479368730567</v>
      </c>
      <c r="CG95" s="32">
        <f t="shared" si="248"/>
        <v>0.5001479368730567</v>
      </c>
    </row>
    <row r="96" spans="2:86">
      <c r="B96" s="32" t="s">
        <v>756</v>
      </c>
      <c r="C96" s="32">
        <f t="shared" ref="C96:AH96" si="249">(C$40/(C$10^2))*((PI()^2)/4)*(C13*100/C$39)*(((SIN(C$33))^2)/((C$5+C$11*C$6)/C$11)^2)</f>
        <v>0.37511095265479255</v>
      </c>
      <c r="D96" s="32">
        <f t="shared" si="249"/>
        <v>0.37511095265479255</v>
      </c>
      <c r="E96" s="32">
        <f t="shared" si="249"/>
        <v>0.37511095265479255</v>
      </c>
      <c r="F96" s="32">
        <f t="shared" si="249"/>
        <v>0.37511095265479255</v>
      </c>
      <c r="G96" s="32">
        <f t="shared" si="249"/>
        <v>0.37511095265479255</v>
      </c>
      <c r="H96" s="32">
        <f t="shared" si="249"/>
        <v>0.37511095265479255</v>
      </c>
      <c r="I96" s="32">
        <f t="shared" si="249"/>
        <v>0.37511095265479255</v>
      </c>
      <c r="J96" s="32">
        <f t="shared" si="249"/>
        <v>0.37511095265479255</v>
      </c>
      <c r="K96" s="32">
        <f t="shared" si="249"/>
        <v>0.37511095265479255</v>
      </c>
      <c r="L96" s="32">
        <f t="shared" si="249"/>
        <v>0.37511095265479255</v>
      </c>
      <c r="M96" s="32">
        <f t="shared" si="249"/>
        <v>0.37511095265479255</v>
      </c>
      <c r="N96" s="32">
        <f t="shared" si="249"/>
        <v>0.37511095265479255</v>
      </c>
      <c r="O96" s="32">
        <f t="shared" si="249"/>
        <v>0.37511095265479255</v>
      </c>
      <c r="P96" s="32">
        <f t="shared" si="249"/>
        <v>0.37511095265479255</v>
      </c>
      <c r="Q96" s="32">
        <f t="shared" si="249"/>
        <v>0.37511095265479255</v>
      </c>
      <c r="R96" s="32">
        <f t="shared" si="249"/>
        <v>0.37511095265479255</v>
      </c>
      <c r="S96" s="32">
        <f t="shared" si="249"/>
        <v>0.37511095265479255</v>
      </c>
      <c r="T96" s="32">
        <f t="shared" si="249"/>
        <v>0.37511095265479255</v>
      </c>
      <c r="U96" s="32">
        <f t="shared" si="249"/>
        <v>0.37511095265479255</v>
      </c>
      <c r="V96" s="32">
        <f t="shared" si="249"/>
        <v>0.37511095265479255</v>
      </c>
      <c r="W96" s="32">
        <f t="shared" si="249"/>
        <v>0.37511095265479255</v>
      </c>
      <c r="X96" s="32">
        <f t="shared" si="249"/>
        <v>0.37511095265479255</v>
      </c>
      <c r="Y96" s="32">
        <f t="shared" si="249"/>
        <v>0.37511095265479255</v>
      </c>
      <c r="Z96" s="32">
        <f t="shared" si="249"/>
        <v>0.37511095265479255</v>
      </c>
      <c r="AA96" s="32">
        <f t="shared" si="249"/>
        <v>0.37511095265479255</v>
      </c>
      <c r="AB96" s="32">
        <f t="shared" si="249"/>
        <v>0.37511095265479255</v>
      </c>
      <c r="AC96" s="32">
        <f t="shared" si="249"/>
        <v>0.37511095265479255</v>
      </c>
      <c r="AD96" s="32">
        <f t="shared" si="249"/>
        <v>0.37511095265479255</v>
      </c>
      <c r="AE96" s="32">
        <f t="shared" si="249"/>
        <v>0.37511095265479255</v>
      </c>
      <c r="AF96" s="32">
        <f t="shared" si="249"/>
        <v>0.37511095265479255</v>
      </c>
      <c r="AG96" s="32">
        <f t="shared" si="249"/>
        <v>0.37511095265479255</v>
      </c>
      <c r="AH96" s="32">
        <f t="shared" si="249"/>
        <v>0.37511095265479255</v>
      </c>
      <c r="AI96" s="32">
        <f t="shared" ref="AI96:BN96" si="250">(AI$40/(AI$10^2))*((PI()^2)/4)*(AI13*100/AI$39)*(((SIN(AI$33))^2)/((AI$5+AI$11*AI$6)/AI$11)^2)</f>
        <v>0.37511095265479255</v>
      </c>
      <c r="AJ96" s="32">
        <f t="shared" si="250"/>
        <v>0.37511095265479255</v>
      </c>
      <c r="AK96" s="32">
        <f t="shared" si="250"/>
        <v>0.37511095265479255</v>
      </c>
      <c r="AL96" s="32">
        <f t="shared" si="250"/>
        <v>0.37511095265479255</v>
      </c>
      <c r="AM96" s="32">
        <f t="shared" si="250"/>
        <v>0.37511095265479255</v>
      </c>
      <c r="AN96" s="32">
        <f t="shared" si="250"/>
        <v>0.37511095265479255</v>
      </c>
      <c r="AO96" s="32">
        <f t="shared" si="250"/>
        <v>0.37511095265479255</v>
      </c>
      <c r="AP96" s="32">
        <f t="shared" si="250"/>
        <v>0.37511095265479255</v>
      </c>
      <c r="AQ96" s="32">
        <f t="shared" si="250"/>
        <v>0.37511095265479255</v>
      </c>
      <c r="AR96" s="32">
        <f t="shared" si="250"/>
        <v>0.37511095265479255</v>
      </c>
      <c r="AS96" s="32">
        <f t="shared" si="250"/>
        <v>0.37511095265479255</v>
      </c>
      <c r="AT96" s="32">
        <f t="shared" si="250"/>
        <v>0.37511095265479255</v>
      </c>
      <c r="AU96" s="32">
        <f t="shared" si="250"/>
        <v>0.37511095265479255</v>
      </c>
      <c r="AV96" s="32">
        <f t="shared" si="250"/>
        <v>0.37511095265479255</v>
      </c>
      <c r="AW96" s="32">
        <f t="shared" si="250"/>
        <v>0.37511095265479255</v>
      </c>
      <c r="AX96" s="32">
        <f t="shared" si="250"/>
        <v>0.37511095265479255</v>
      </c>
      <c r="AY96" s="32">
        <f t="shared" si="250"/>
        <v>0.37511095265479255</v>
      </c>
      <c r="AZ96" s="32">
        <f t="shared" si="250"/>
        <v>0.37511095265479255</v>
      </c>
      <c r="BA96" s="32">
        <f t="shared" si="250"/>
        <v>0.37511095265479255</v>
      </c>
      <c r="BB96" s="32">
        <f t="shared" si="250"/>
        <v>0.37511095265479255</v>
      </c>
      <c r="BC96" s="32">
        <f t="shared" si="250"/>
        <v>0.37511095265479255</v>
      </c>
      <c r="BD96" s="32">
        <f t="shared" si="250"/>
        <v>0.37511095265479255</v>
      </c>
      <c r="BE96" s="32">
        <f t="shared" si="250"/>
        <v>0.37511095265479255</v>
      </c>
      <c r="BF96" s="32">
        <f t="shared" si="250"/>
        <v>0.37511095265479255</v>
      </c>
      <c r="BG96" s="32">
        <f t="shared" si="250"/>
        <v>0.37511095265479255</v>
      </c>
      <c r="BH96" s="32">
        <f t="shared" si="250"/>
        <v>0.37511095265479255</v>
      </c>
      <c r="BI96" s="32">
        <f t="shared" si="250"/>
        <v>0.37511095265479255</v>
      </c>
      <c r="BJ96" s="32">
        <f t="shared" si="250"/>
        <v>0.37511095265479255</v>
      </c>
      <c r="BK96" s="32">
        <f t="shared" si="250"/>
        <v>0.37511095265479255</v>
      </c>
      <c r="BL96" s="32">
        <f t="shared" si="250"/>
        <v>0.37511095265479255</v>
      </c>
      <c r="BM96" s="32">
        <f t="shared" si="250"/>
        <v>0.37511095265479255</v>
      </c>
      <c r="BN96" s="32">
        <f t="shared" si="250"/>
        <v>0.37511095265479255</v>
      </c>
      <c r="BO96" s="32">
        <f t="shared" ref="BO96:CG96" si="251">(BO$40/(BO$10^2))*((PI()^2)/4)*(BO13*100/BO$39)*(((SIN(BO$33))^2)/((BO$5+BO$11*BO$6)/BO$11)^2)</f>
        <v>0.37511095265479255</v>
      </c>
      <c r="BP96" s="32">
        <f t="shared" si="251"/>
        <v>0.37511095265479255</v>
      </c>
      <c r="BQ96" s="32">
        <f t="shared" si="251"/>
        <v>0.37511095265479255</v>
      </c>
      <c r="BR96" s="32">
        <f t="shared" si="251"/>
        <v>0.37511095265479255</v>
      </c>
      <c r="BS96" s="32">
        <f t="shared" si="251"/>
        <v>0.37511095265479255</v>
      </c>
      <c r="BT96" s="32">
        <f t="shared" si="251"/>
        <v>0.37511095265479255</v>
      </c>
      <c r="BU96" s="32">
        <f t="shared" si="251"/>
        <v>0.37511095265479255</v>
      </c>
      <c r="BV96" s="32">
        <f t="shared" si="251"/>
        <v>0.37511095265479255</v>
      </c>
      <c r="BW96" s="32">
        <f t="shared" si="251"/>
        <v>0.37511095265479255</v>
      </c>
      <c r="BX96" s="32">
        <f t="shared" si="251"/>
        <v>0.37511095265479255</v>
      </c>
      <c r="BY96" s="32">
        <f t="shared" si="251"/>
        <v>0.37511095265479255</v>
      </c>
      <c r="BZ96" s="32">
        <f t="shared" si="251"/>
        <v>0.37511095265479255</v>
      </c>
      <c r="CA96" s="32">
        <f t="shared" si="251"/>
        <v>0.37511095265479255</v>
      </c>
      <c r="CB96" s="32">
        <f t="shared" si="251"/>
        <v>0.37511095265479255</v>
      </c>
      <c r="CC96" s="32">
        <f t="shared" si="251"/>
        <v>0.37511095265479255</v>
      </c>
      <c r="CD96" s="32">
        <f t="shared" si="251"/>
        <v>0.37511095265479255</v>
      </c>
      <c r="CE96" s="32">
        <f t="shared" si="251"/>
        <v>0.37511095265479255</v>
      </c>
      <c r="CF96" s="32">
        <f t="shared" si="251"/>
        <v>0.37511095265479255</v>
      </c>
      <c r="CG96" s="32">
        <f t="shared" si="251"/>
        <v>0.37511095265479255</v>
      </c>
    </row>
    <row r="97" spans="1:86">
      <c r="B97" s="32" t="s">
        <v>757</v>
      </c>
      <c r="C97" s="32">
        <f t="shared" ref="C97:AH97" si="252">(C$40/(C$10^2))*((PI()^2)/4)*(C14*100/C$39)*(((SIN(C$33))^2)/((C$5+C$11*C$6)/C$11)^2)</f>
        <v>0.25007396843652835</v>
      </c>
      <c r="D97" s="32">
        <f t="shared" si="252"/>
        <v>0.25007396843652835</v>
      </c>
      <c r="E97" s="32">
        <f t="shared" si="252"/>
        <v>0.25007396843652835</v>
      </c>
      <c r="F97" s="32">
        <f t="shared" si="252"/>
        <v>0.25007396843652835</v>
      </c>
      <c r="G97" s="32">
        <f t="shared" si="252"/>
        <v>0.25007396843652835</v>
      </c>
      <c r="H97" s="32">
        <f t="shared" si="252"/>
        <v>0.25007396843652835</v>
      </c>
      <c r="I97" s="32">
        <f t="shared" si="252"/>
        <v>0.25007396843652835</v>
      </c>
      <c r="J97" s="32">
        <f t="shared" si="252"/>
        <v>0.25007396843652835</v>
      </c>
      <c r="K97" s="32">
        <f t="shared" si="252"/>
        <v>0.25007396843652835</v>
      </c>
      <c r="L97" s="32">
        <f t="shared" si="252"/>
        <v>0.25007396843652835</v>
      </c>
      <c r="M97" s="32">
        <f t="shared" si="252"/>
        <v>0.25007396843652835</v>
      </c>
      <c r="N97" s="32">
        <f t="shared" si="252"/>
        <v>0.25007396843652835</v>
      </c>
      <c r="O97" s="32">
        <f t="shared" si="252"/>
        <v>0.25007396843652835</v>
      </c>
      <c r="P97" s="32">
        <f t="shared" si="252"/>
        <v>0.25007396843652835</v>
      </c>
      <c r="Q97" s="32">
        <f t="shared" si="252"/>
        <v>0.25007396843652835</v>
      </c>
      <c r="R97" s="32">
        <f t="shared" si="252"/>
        <v>0.25007396843652835</v>
      </c>
      <c r="S97" s="32">
        <f t="shared" si="252"/>
        <v>0.25007396843652835</v>
      </c>
      <c r="T97" s="32">
        <f t="shared" si="252"/>
        <v>0.25007396843652835</v>
      </c>
      <c r="U97" s="32">
        <f t="shared" si="252"/>
        <v>0.25007396843652835</v>
      </c>
      <c r="V97" s="32">
        <f t="shared" si="252"/>
        <v>0.25007396843652835</v>
      </c>
      <c r="W97" s="32">
        <f t="shared" si="252"/>
        <v>0.25007396843652835</v>
      </c>
      <c r="X97" s="32">
        <f t="shared" si="252"/>
        <v>0.25007396843652835</v>
      </c>
      <c r="Y97" s="32">
        <f t="shared" si="252"/>
        <v>0.25007396843652835</v>
      </c>
      <c r="Z97" s="32">
        <f t="shared" si="252"/>
        <v>0.25007396843652835</v>
      </c>
      <c r="AA97" s="32">
        <f t="shared" si="252"/>
        <v>0.25007396843652835</v>
      </c>
      <c r="AB97" s="32">
        <f t="shared" si="252"/>
        <v>0.25007396843652835</v>
      </c>
      <c r="AC97" s="32">
        <f t="shared" si="252"/>
        <v>0.25007396843652835</v>
      </c>
      <c r="AD97" s="32">
        <f t="shared" si="252"/>
        <v>0.25007396843652835</v>
      </c>
      <c r="AE97" s="32">
        <f t="shared" si="252"/>
        <v>0.25007396843652835</v>
      </c>
      <c r="AF97" s="32">
        <f t="shared" si="252"/>
        <v>0.25007396843652835</v>
      </c>
      <c r="AG97" s="32">
        <f t="shared" si="252"/>
        <v>0.25007396843652835</v>
      </c>
      <c r="AH97" s="32">
        <f t="shared" si="252"/>
        <v>0.25007396843652835</v>
      </c>
      <c r="AI97" s="32">
        <f t="shared" ref="AI97:BN97" si="253">(AI$40/(AI$10^2))*((PI()^2)/4)*(AI14*100/AI$39)*(((SIN(AI$33))^2)/((AI$5+AI$11*AI$6)/AI$11)^2)</f>
        <v>0.25007396843652835</v>
      </c>
      <c r="AJ97" s="32">
        <f t="shared" si="253"/>
        <v>0.25007396843652835</v>
      </c>
      <c r="AK97" s="32">
        <f t="shared" si="253"/>
        <v>0.25007396843652835</v>
      </c>
      <c r="AL97" s="32">
        <f t="shared" si="253"/>
        <v>0.25007396843652835</v>
      </c>
      <c r="AM97" s="32">
        <f t="shared" si="253"/>
        <v>0.25007396843652835</v>
      </c>
      <c r="AN97" s="32">
        <f t="shared" si="253"/>
        <v>0.25007396843652835</v>
      </c>
      <c r="AO97" s="32">
        <f t="shared" si="253"/>
        <v>0.25007396843652835</v>
      </c>
      <c r="AP97" s="32">
        <f t="shared" si="253"/>
        <v>0.25007396843652835</v>
      </c>
      <c r="AQ97" s="32">
        <f t="shared" si="253"/>
        <v>0.25007396843652835</v>
      </c>
      <c r="AR97" s="32">
        <f t="shared" si="253"/>
        <v>0.25007396843652835</v>
      </c>
      <c r="AS97" s="32">
        <f t="shared" si="253"/>
        <v>0.25007396843652835</v>
      </c>
      <c r="AT97" s="32">
        <f t="shared" si="253"/>
        <v>0.25007396843652835</v>
      </c>
      <c r="AU97" s="32">
        <f t="shared" si="253"/>
        <v>0.25007396843652835</v>
      </c>
      <c r="AV97" s="32">
        <f t="shared" si="253"/>
        <v>0.25007396843652835</v>
      </c>
      <c r="AW97" s="32">
        <f t="shared" si="253"/>
        <v>0.25007396843652835</v>
      </c>
      <c r="AX97" s="32">
        <f t="shared" si="253"/>
        <v>0.25007396843652835</v>
      </c>
      <c r="AY97" s="32">
        <f t="shared" si="253"/>
        <v>0.25007396843652835</v>
      </c>
      <c r="AZ97" s="32">
        <f t="shared" si="253"/>
        <v>0.25007396843652835</v>
      </c>
      <c r="BA97" s="32">
        <f t="shared" si="253"/>
        <v>0.25007396843652835</v>
      </c>
      <c r="BB97" s="32">
        <f t="shared" si="253"/>
        <v>0.25007396843652835</v>
      </c>
      <c r="BC97" s="32">
        <f t="shared" si="253"/>
        <v>0.25007396843652835</v>
      </c>
      <c r="BD97" s="32">
        <f t="shared" si="253"/>
        <v>0.25007396843652835</v>
      </c>
      <c r="BE97" s="32">
        <f t="shared" si="253"/>
        <v>0.25007396843652835</v>
      </c>
      <c r="BF97" s="32">
        <f t="shared" si="253"/>
        <v>0.25007396843652835</v>
      </c>
      <c r="BG97" s="32">
        <f t="shared" si="253"/>
        <v>0.25007396843652835</v>
      </c>
      <c r="BH97" s="32">
        <f t="shared" si="253"/>
        <v>0.25007396843652835</v>
      </c>
      <c r="BI97" s="32">
        <f t="shared" si="253"/>
        <v>0.25007396843652835</v>
      </c>
      <c r="BJ97" s="32">
        <f t="shared" si="253"/>
        <v>0.25007396843652835</v>
      </c>
      <c r="BK97" s="32">
        <f t="shared" si="253"/>
        <v>0.25007396843652835</v>
      </c>
      <c r="BL97" s="32">
        <f t="shared" si="253"/>
        <v>0.25007396843652835</v>
      </c>
      <c r="BM97" s="32">
        <f t="shared" si="253"/>
        <v>0.25007396843652835</v>
      </c>
      <c r="BN97" s="32">
        <f t="shared" si="253"/>
        <v>0.25007396843652835</v>
      </c>
      <c r="BO97" s="32">
        <f t="shared" ref="BO97:CG97" si="254">(BO$40/(BO$10^2))*((PI()^2)/4)*(BO14*100/BO$39)*(((SIN(BO$33))^2)/((BO$5+BO$11*BO$6)/BO$11)^2)</f>
        <v>0.25007396843652835</v>
      </c>
      <c r="BP97" s="32">
        <f t="shared" si="254"/>
        <v>0.25007396843652835</v>
      </c>
      <c r="BQ97" s="32">
        <f t="shared" si="254"/>
        <v>0.25007396843652835</v>
      </c>
      <c r="BR97" s="32">
        <f t="shared" si="254"/>
        <v>0.25007396843652835</v>
      </c>
      <c r="BS97" s="32">
        <f t="shared" si="254"/>
        <v>0.25007396843652835</v>
      </c>
      <c r="BT97" s="32">
        <f t="shared" si="254"/>
        <v>0.25007396843652835</v>
      </c>
      <c r="BU97" s="32">
        <f t="shared" si="254"/>
        <v>0.25007396843652835</v>
      </c>
      <c r="BV97" s="32">
        <f t="shared" si="254"/>
        <v>0.25007396843652835</v>
      </c>
      <c r="BW97" s="32">
        <f t="shared" si="254"/>
        <v>0.25007396843652835</v>
      </c>
      <c r="BX97" s="32">
        <f t="shared" si="254"/>
        <v>0.25007396843652835</v>
      </c>
      <c r="BY97" s="32">
        <f t="shared" si="254"/>
        <v>0.25007396843652835</v>
      </c>
      <c r="BZ97" s="32">
        <f t="shared" si="254"/>
        <v>0.25007396843652835</v>
      </c>
      <c r="CA97" s="32">
        <f t="shared" si="254"/>
        <v>0.25007396843652835</v>
      </c>
      <c r="CB97" s="32">
        <f t="shared" si="254"/>
        <v>0.25007396843652835</v>
      </c>
      <c r="CC97" s="32">
        <f t="shared" si="254"/>
        <v>0.25007396843652835</v>
      </c>
      <c r="CD97" s="32">
        <f t="shared" si="254"/>
        <v>0.25007396843652835</v>
      </c>
      <c r="CE97" s="32">
        <f t="shared" si="254"/>
        <v>0.25007396843652835</v>
      </c>
      <c r="CF97" s="32">
        <f t="shared" si="254"/>
        <v>0.25007396843652835</v>
      </c>
      <c r="CG97" s="32">
        <f t="shared" si="254"/>
        <v>0.25007396843652835</v>
      </c>
    </row>
    <row r="98" spans="1:86">
      <c r="B98" s="32" t="s">
        <v>758</v>
      </c>
      <c r="C98" s="32">
        <f t="shared" ref="C98:AH98" si="255">(C$40/(C$10^2))*((PI()^2)/4)*(C15*100/C$39)*(((SIN(C$33))^2)/((C$5+C$11*C$6)/C$11)^2)</f>
        <v>0.12503698421826417</v>
      </c>
      <c r="D98" s="32">
        <f t="shared" si="255"/>
        <v>0.12503698421826417</v>
      </c>
      <c r="E98" s="32">
        <f t="shared" si="255"/>
        <v>0.12503698421826417</v>
      </c>
      <c r="F98" s="32">
        <f t="shared" si="255"/>
        <v>0.12503698421826417</v>
      </c>
      <c r="G98" s="32">
        <f t="shared" si="255"/>
        <v>0.12503698421826417</v>
      </c>
      <c r="H98" s="32">
        <f t="shared" si="255"/>
        <v>0.12503698421826417</v>
      </c>
      <c r="I98" s="32">
        <f t="shared" si="255"/>
        <v>0.12503698421826417</v>
      </c>
      <c r="J98" s="32">
        <f t="shared" si="255"/>
        <v>0.12503698421826417</v>
      </c>
      <c r="K98" s="32">
        <f t="shared" si="255"/>
        <v>0.12503698421826417</v>
      </c>
      <c r="L98" s="32">
        <f t="shared" si="255"/>
        <v>0.12503698421826417</v>
      </c>
      <c r="M98" s="32">
        <f t="shared" si="255"/>
        <v>0.12503698421826417</v>
      </c>
      <c r="N98" s="32">
        <f t="shared" si="255"/>
        <v>0.12503698421826417</v>
      </c>
      <c r="O98" s="32">
        <f t="shared" si="255"/>
        <v>0.12503698421826417</v>
      </c>
      <c r="P98" s="32">
        <f t="shared" si="255"/>
        <v>0.12503698421826417</v>
      </c>
      <c r="Q98" s="32">
        <f t="shared" si="255"/>
        <v>0.12503698421826417</v>
      </c>
      <c r="R98" s="32">
        <f t="shared" si="255"/>
        <v>0.12503698421826417</v>
      </c>
      <c r="S98" s="32">
        <f t="shared" si="255"/>
        <v>0.12503698421826417</v>
      </c>
      <c r="T98" s="32">
        <f t="shared" si="255"/>
        <v>0.12503698421826417</v>
      </c>
      <c r="U98" s="32">
        <f t="shared" si="255"/>
        <v>0.12503698421826417</v>
      </c>
      <c r="V98" s="32">
        <f t="shared" si="255"/>
        <v>0.12503698421826417</v>
      </c>
      <c r="W98" s="32">
        <f t="shared" si="255"/>
        <v>0.12503698421826417</v>
      </c>
      <c r="X98" s="32">
        <f t="shared" si="255"/>
        <v>0.12503698421826417</v>
      </c>
      <c r="Y98" s="32">
        <f t="shared" si="255"/>
        <v>0.12503698421826417</v>
      </c>
      <c r="Z98" s="32">
        <f t="shared" si="255"/>
        <v>0.12503698421826417</v>
      </c>
      <c r="AA98" s="32">
        <f t="shared" si="255"/>
        <v>0.12503698421826417</v>
      </c>
      <c r="AB98" s="32">
        <f t="shared" si="255"/>
        <v>0.12503698421826417</v>
      </c>
      <c r="AC98" s="32">
        <f t="shared" si="255"/>
        <v>0.12503698421826417</v>
      </c>
      <c r="AD98" s="32">
        <f t="shared" si="255"/>
        <v>0.12503698421826417</v>
      </c>
      <c r="AE98" s="32">
        <f t="shared" si="255"/>
        <v>0.12503698421826417</v>
      </c>
      <c r="AF98" s="32">
        <f t="shared" si="255"/>
        <v>0.12503698421826417</v>
      </c>
      <c r="AG98" s="32">
        <f t="shared" si="255"/>
        <v>0.12503698421826417</v>
      </c>
      <c r="AH98" s="32">
        <f t="shared" si="255"/>
        <v>0.12503698421826417</v>
      </c>
      <c r="AI98" s="32">
        <f t="shared" ref="AI98:BN98" si="256">(AI$40/(AI$10^2))*((PI()^2)/4)*(AI15*100/AI$39)*(((SIN(AI$33))^2)/((AI$5+AI$11*AI$6)/AI$11)^2)</f>
        <v>0.12503698421826417</v>
      </c>
      <c r="AJ98" s="32">
        <f t="shared" si="256"/>
        <v>0.12503698421826417</v>
      </c>
      <c r="AK98" s="32">
        <f t="shared" si="256"/>
        <v>0.12503698421826417</v>
      </c>
      <c r="AL98" s="32">
        <f t="shared" si="256"/>
        <v>0.12503698421826417</v>
      </c>
      <c r="AM98" s="32">
        <f t="shared" si="256"/>
        <v>0.12503698421826417</v>
      </c>
      <c r="AN98" s="32">
        <f t="shared" si="256"/>
        <v>0.12503698421826417</v>
      </c>
      <c r="AO98" s="32">
        <f t="shared" si="256"/>
        <v>0.12503698421826417</v>
      </c>
      <c r="AP98" s="32">
        <f t="shared" si="256"/>
        <v>0.12503698421826417</v>
      </c>
      <c r="AQ98" s="32">
        <f t="shared" si="256"/>
        <v>0.12503698421826417</v>
      </c>
      <c r="AR98" s="32">
        <f t="shared" si="256"/>
        <v>0.12503698421826417</v>
      </c>
      <c r="AS98" s="32">
        <f t="shared" si="256"/>
        <v>0.12503698421826417</v>
      </c>
      <c r="AT98" s="32">
        <f t="shared" si="256"/>
        <v>0.12503698421826417</v>
      </c>
      <c r="AU98" s="32">
        <f t="shared" si="256"/>
        <v>0.12503698421826417</v>
      </c>
      <c r="AV98" s="32">
        <f t="shared" si="256"/>
        <v>0.12503698421826417</v>
      </c>
      <c r="AW98" s="32">
        <f t="shared" si="256"/>
        <v>0.12503698421826417</v>
      </c>
      <c r="AX98" s="32">
        <f t="shared" si="256"/>
        <v>0.12503698421826417</v>
      </c>
      <c r="AY98" s="32">
        <f t="shared" si="256"/>
        <v>0.12503698421826417</v>
      </c>
      <c r="AZ98" s="32">
        <f t="shared" si="256"/>
        <v>0.12503698421826417</v>
      </c>
      <c r="BA98" s="32">
        <f t="shared" si="256"/>
        <v>0.12503698421826417</v>
      </c>
      <c r="BB98" s="32">
        <f t="shared" si="256"/>
        <v>0.12503698421826417</v>
      </c>
      <c r="BC98" s="32">
        <f t="shared" si="256"/>
        <v>0.12503698421826417</v>
      </c>
      <c r="BD98" s="32">
        <f t="shared" si="256"/>
        <v>0.12503698421826417</v>
      </c>
      <c r="BE98" s="32">
        <f t="shared" si="256"/>
        <v>0.12503698421826417</v>
      </c>
      <c r="BF98" s="32">
        <f t="shared" si="256"/>
        <v>0.12503698421826417</v>
      </c>
      <c r="BG98" s="32">
        <f t="shared" si="256"/>
        <v>0.12503698421826417</v>
      </c>
      <c r="BH98" s="32">
        <f t="shared" si="256"/>
        <v>0.12503698421826417</v>
      </c>
      <c r="BI98" s="32">
        <f t="shared" si="256"/>
        <v>0.12503698421826417</v>
      </c>
      <c r="BJ98" s="32">
        <f t="shared" si="256"/>
        <v>0.12503698421826417</v>
      </c>
      <c r="BK98" s="32">
        <f t="shared" si="256"/>
        <v>0.12503698421826417</v>
      </c>
      <c r="BL98" s="32">
        <f t="shared" si="256"/>
        <v>0.12503698421826417</v>
      </c>
      <c r="BM98" s="32">
        <f t="shared" si="256"/>
        <v>0.12503698421826417</v>
      </c>
      <c r="BN98" s="32">
        <f t="shared" si="256"/>
        <v>0.12503698421826417</v>
      </c>
      <c r="BO98" s="32">
        <f t="shared" ref="BO98:CG98" si="257">(BO$40/(BO$10^2))*((PI()^2)/4)*(BO15*100/BO$39)*(((SIN(BO$33))^2)/((BO$5+BO$11*BO$6)/BO$11)^2)</f>
        <v>0.12503698421826417</v>
      </c>
      <c r="BP98" s="32">
        <f t="shared" si="257"/>
        <v>0.12503698421826417</v>
      </c>
      <c r="BQ98" s="32">
        <f t="shared" si="257"/>
        <v>0.12503698421826417</v>
      </c>
      <c r="BR98" s="32">
        <f t="shared" si="257"/>
        <v>0.12503698421826417</v>
      </c>
      <c r="BS98" s="32">
        <f t="shared" si="257"/>
        <v>0.12503698421826417</v>
      </c>
      <c r="BT98" s="32">
        <f t="shared" si="257"/>
        <v>0.12503698421826417</v>
      </c>
      <c r="BU98" s="32">
        <f t="shared" si="257"/>
        <v>0.12503698421826417</v>
      </c>
      <c r="BV98" s="32">
        <f t="shared" si="257"/>
        <v>0.12503698421826417</v>
      </c>
      <c r="BW98" s="32">
        <f t="shared" si="257"/>
        <v>0.12503698421826417</v>
      </c>
      <c r="BX98" s="32">
        <f t="shared" si="257"/>
        <v>0.12503698421826417</v>
      </c>
      <c r="BY98" s="32">
        <f t="shared" si="257"/>
        <v>0.12503698421826417</v>
      </c>
      <c r="BZ98" s="32">
        <f t="shared" si="257"/>
        <v>0.12503698421826417</v>
      </c>
      <c r="CA98" s="32">
        <f t="shared" si="257"/>
        <v>0.12503698421826417</v>
      </c>
      <c r="CB98" s="32">
        <f t="shared" si="257"/>
        <v>0.12503698421826417</v>
      </c>
      <c r="CC98" s="32">
        <f t="shared" si="257"/>
        <v>0.12503698421826417</v>
      </c>
      <c r="CD98" s="32">
        <f t="shared" si="257"/>
        <v>0.12503698421826417</v>
      </c>
      <c r="CE98" s="32">
        <f t="shared" si="257"/>
        <v>0.12503698421826417</v>
      </c>
      <c r="CF98" s="32">
        <f t="shared" si="257"/>
        <v>0.12503698421826417</v>
      </c>
      <c r="CG98" s="32">
        <f t="shared" si="257"/>
        <v>0.12503698421826417</v>
      </c>
    </row>
    <row r="99" spans="1:86">
      <c r="B99" s="32" t="s">
        <v>759</v>
      </c>
      <c r="C99" s="32">
        <f>1/((1+(C$23*(1-(1/(C$25^2)))))^2+(C95*(C$25-(1/C$25)))^2)^0.5</f>
        <v>2.1818182382492675E-8</v>
      </c>
      <c r="D99" s="32">
        <f t="shared" ref="D99:BO99" si="258">1/((1+(D$23*(1-(1/(D$25^2)))))^2+(D95*(D$25-(1/D$25)))^2)^0.5</f>
        <v>1.2881887010930794E-3</v>
      </c>
      <c r="E99" s="32">
        <f t="shared" si="258"/>
        <v>3.2927886442313385E-3</v>
      </c>
      <c r="F99" s="32">
        <f t="shared" si="258"/>
        <v>6.2360266346062031E-3</v>
      </c>
      <c r="G99" s="32">
        <f t="shared" si="258"/>
        <v>1.0137396704165301E-2</v>
      </c>
      <c r="H99" s="32">
        <f t="shared" si="258"/>
        <v>1.5023007895528954E-2</v>
      </c>
      <c r="I99" s="32">
        <f t="shared" si="258"/>
        <v>2.0925987778792478E-2</v>
      </c>
      <c r="J99" s="32">
        <f t="shared" si="258"/>
        <v>2.7887001276361342E-2</v>
      </c>
      <c r="K99" s="32">
        <f t="shared" si="258"/>
        <v>3.5954897539339017E-2</v>
      </c>
      <c r="L99" s="32">
        <f t="shared" si="258"/>
        <v>4.5187500817546217E-2</v>
      </c>
      <c r="M99" s="32">
        <f t="shared" si="258"/>
        <v>5.5652564835327163E-2</v>
      </c>
      <c r="N99" s="32">
        <f t="shared" si="258"/>
        <v>6.7428914152122668E-2</v>
      </c>
      <c r="O99" s="32">
        <f t="shared" si="258"/>
        <v>8.0607800331455051E-2</v>
      </c>
      <c r="P99" s="32">
        <f t="shared" si="258"/>
        <v>9.5294505365001059E-2</v>
      </c>
      <c r="Q99" s="32">
        <f t="shared" si="258"/>
        <v>0.11161022945863958</v>
      </c>
      <c r="R99" s="32">
        <f t="shared" si="258"/>
        <v>0.12969430450041747</v>
      </c>
      <c r="S99" s="32">
        <f t="shared" si="258"/>
        <v>0.14970677740192706</v>
      </c>
      <c r="T99" s="32">
        <f t="shared" si="258"/>
        <v>0.17183140745740369</v>
      </c>
      <c r="U99" s="32">
        <f t="shared" si="258"/>
        <v>0.19627911619524036</v>
      </c>
      <c r="V99" s="32">
        <f t="shared" si="258"/>
        <v>0.22329191235764032</v>
      </c>
      <c r="W99" s="32">
        <f t="shared" si="258"/>
        <v>0.25314728109657647</v>
      </c>
      <c r="X99" s="32">
        <f t="shared" si="258"/>
        <v>0.28616296286546417</v>
      </c>
      <c r="Y99" s="32">
        <f t="shared" si="258"/>
        <v>0.32270193381356715</v>
      </c>
      <c r="Z99" s="32">
        <f t="shared" si="258"/>
        <v>0.36317720380577329</v>
      </c>
      <c r="AA99" s="32">
        <f t="shared" si="258"/>
        <v>0.40805572039200749</v>
      </c>
      <c r="AB99" s="32">
        <f t="shared" si="258"/>
        <v>0.45786013065995684</v>
      </c>
      <c r="AC99" s="32">
        <f t="shared" si="258"/>
        <v>0.51316629609248432</v>
      </c>
      <c r="AD99" s="32">
        <f t="shared" si="258"/>
        <v>0.57459312657902117</v>
      </c>
      <c r="AE99" s="32">
        <f t="shared" si="258"/>
        <v>0.64277932160959372</v>
      </c>
      <c r="AF99" s="32">
        <f t="shared" si="258"/>
        <v>0.71833884691119299</v>
      </c>
      <c r="AG99" s="32">
        <f t="shared" si="258"/>
        <v>0.80178354597124124</v>
      </c>
      <c r="AH99" s="32">
        <f t="shared" si="258"/>
        <v>0.89339801137383779</v>
      </c>
      <c r="AI99" s="32">
        <f t="shared" si="258"/>
        <v>0.99305115057053139</v>
      </c>
      <c r="AJ99" s="32">
        <f t="shared" si="258"/>
        <v>1.0999361156437204</v>
      </c>
      <c r="AK99" s="32">
        <f t="shared" si="258"/>
        <v>1.2122544795938535</v>
      </c>
      <c r="AL99" s="32">
        <f t="shared" si="258"/>
        <v>1.3269116345880969</v>
      </c>
      <c r="AM99" s="32">
        <f t="shared" si="258"/>
        <v>1.4393666612797296</v>
      </c>
      <c r="AN99" s="32">
        <f t="shared" si="258"/>
        <v>1.5438437181055409</v>
      </c>
      <c r="AO99" s="32">
        <f t="shared" si="258"/>
        <v>1.634075089047597</v>
      </c>
      <c r="AP99" s="32">
        <f t="shared" si="258"/>
        <v>1.6593385553953328</v>
      </c>
      <c r="AQ99" s="32">
        <f t="shared" si="258"/>
        <v>1.7224809596753172</v>
      </c>
      <c r="AR99" s="32">
        <f t="shared" si="258"/>
        <v>1.7617858065342098</v>
      </c>
      <c r="AS99" s="32">
        <f t="shared" si="258"/>
        <v>1.7775007606476596</v>
      </c>
      <c r="AT99" s="32">
        <f t="shared" si="258"/>
        <v>1.7723770936820213</v>
      </c>
      <c r="AU99" s="32">
        <f t="shared" si="258"/>
        <v>1.7506688032071991</v>
      </c>
      <c r="AV99" s="32">
        <f t="shared" si="258"/>
        <v>1.7170352094878036</v>
      </c>
      <c r="AW99" s="32">
        <f t="shared" si="258"/>
        <v>1.6757354437264311</v>
      </c>
      <c r="AX99" s="32">
        <f t="shared" si="258"/>
        <v>1.6302254633798372</v>
      </c>
      <c r="AY99" s="32">
        <f t="shared" si="258"/>
        <v>1.5830741957458498</v>
      </c>
      <c r="AZ99" s="32">
        <f t="shared" si="258"/>
        <v>1.5360596375513149</v>
      </c>
      <c r="BA99" s="32">
        <f t="shared" si="258"/>
        <v>1.4903324554146884</v>
      </c>
      <c r="BB99" s="32">
        <f t="shared" si="258"/>
        <v>1.446581713956461</v>
      </c>
      <c r="BC99" s="32">
        <f t="shared" si="258"/>
        <v>1.4051745142564538</v>
      </c>
      <c r="BD99" s="32">
        <f t="shared" si="258"/>
        <v>1.3662628198799427</v>
      </c>
      <c r="BE99" s="32">
        <f t="shared" si="258"/>
        <v>1.329860503810347</v>
      </c>
      <c r="BF99" s="32">
        <f t="shared" si="258"/>
        <v>1.2958967576600455</v>
      </c>
      <c r="BG99" s="32">
        <f t="shared" si="258"/>
        <v>1.2642520414530216</v>
      </c>
      <c r="BH99" s="32">
        <f t="shared" si="258"/>
        <v>1.2347816882910965</v>
      </c>
      <c r="BI99" s="32">
        <f t="shared" si="258"/>
        <v>1.2073310266874606</v>
      </c>
      <c r="BJ99" s="32">
        <f t="shared" si="258"/>
        <v>1.1817447922027622</v>
      </c>
      <c r="BK99" s="32">
        <f t="shared" si="258"/>
        <v>1.1578727557635651</v>
      </c>
      <c r="BL99" s="32">
        <f t="shared" si="258"/>
        <v>1.1355728820271946</v>
      </c>
      <c r="BM99" s="32">
        <f t="shared" si="258"/>
        <v>1.1147129003379874</v>
      </c>
      <c r="BN99" s="32">
        <f t="shared" si="258"/>
        <v>1.0951708751382412</v>
      </c>
      <c r="BO99" s="32">
        <f t="shared" si="258"/>
        <v>1.0768351626045636</v>
      </c>
      <c r="BP99" s="32">
        <f t="shared" ref="BP99:CG99" si="259">1/((1+(BP$23*(1-(1/(BP$25^2)))))^2+(BP95*(BP$25-(1/BP$25)))^2)^0.5</f>
        <v>1.0596040061373857</v>
      </c>
      <c r="BQ99" s="32">
        <f t="shared" si="259"/>
        <v>1.0433849339971508</v>
      </c>
      <c r="BR99" s="32">
        <f t="shared" si="259"/>
        <v>1.0280940632015909</v>
      </c>
      <c r="BS99" s="32">
        <f t="shared" si="259"/>
        <v>1.0136553747908899</v>
      </c>
      <c r="BT99" s="32">
        <f t="shared" si="259"/>
        <v>1</v>
      </c>
      <c r="BU99" s="32">
        <f t="shared" si="259"/>
        <v>0.96691322680906977</v>
      </c>
      <c r="BV99" s="32">
        <f t="shared" si="259"/>
        <v>0.93798852959219836</v>
      </c>
      <c r="BW99" s="32">
        <f t="shared" si="259"/>
        <v>0.91245116941174087</v>
      </c>
      <c r="BX99" s="32">
        <f t="shared" si="259"/>
        <v>0.88969658878492341</v>
      </c>
      <c r="BY99" s="32">
        <f t="shared" si="259"/>
        <v>0.86924871266921189</v>
      </c>
      <c r="BZ99" s="32">
        <f t="shared" si="259"/>
        <v>0.85072914348639261</v>
      </c>
      <c r="CA99" s="32">
        <f t="shared" si="259"/>
        <v>0.83383437970660179</v>
      </c>
      <c r="CB99" s="32">
        <f t="shared" si="259"/>
        <v>0.81831887609351994</v>
      </c>
      <c r="CC99" s="32">
        <f t="shared" si="259"/>
        <v>0.80398235120407913</v>
      </c>
      <c r="CD99" s="32">
        <f t="shared" si="259"/>
        <v>0.7906601946781564</v>
      </c>
      <c r="CE99" s="32">
        <f t="shared" si="259"/>
        <v>0.77821615163793834</v>
      </c>
      <c r="CF99" s="32">
        <f t="shared" si="259"/>
        <v>0.76653669311334505</v>
      </c>
      <c r="CG99" s="32">
        <f t="shared" si="259"/>
        <v>0.75552664554189064</v>
      </c>
    </row>
    <row r="100" spans="1:86">
      <c r="B100" s="32" t="s">
        <v>760</v>
      </c>
      <c r="C100" s="32">
        <f t="shared" ref="C100:BN100" si="260">1/((1+(C$23*(1-(1/(C$25^2)))))^2+(C96*(C$25-(1/C$25)))^2)^0.5</f>
        <v>2.1818182439325691E-8</v>
      </c>
      <c r="D100" s="32">
        <f t="shared" si="260"/>
        <v>1.288386932838223E-3</v>
      </c>
      <c r="E100" s="32">
        <f t="shared" si="260"/>
        <v>3.294085024357045E-3</v>
      </c>
      <c r="F100" s="32">
        <f t="shared" si="260"/>
        <v>6.2406824378399874E-3</v>
      </c>
      <c r="G100" s="32">
        <f t="shared" si="260"/>
        <v>1.0149721903320651E-2</v>
      </c>
      <c r="H100" s="32">
        <f t="shared" si="260"/>
        <v>1.5050135523851146E-2</v>
      </c>
      <c r="I100" s="32">
        <f t="shared" si="260"/>
        <v>2.0978762930202923E-2</v>
      </c>
      <c r="J100" s="32">
        <f t="shared" si="260"/>
        <v>2.7981024024538607E-2</v>
      </c>
      <c r="K100" s="32">
        <f t="shared" si="260"/>
        <v>3.6111767932241016E-2</v>
      </c>
      <c r="L100" s="32">
        <f t="shared" si="260"/>
        <v>4.5436326096875805E-2</v>
      </c>
      <c r="M100" s="32">
        <f t="shared" si="260"/>
        <v>5.6031805097773307E-2</v>
      </c>
      <c r="N100" s="32">
        <f t="shared" si="260"/>
        <v>6.7988664131966317E-2</v>
      </c>
      <c r="O100" s="32">
        <f t="shared" si="260"/>
        <v>8.1412633661487821E-2</v>
      </c>
      <c r="P100" s="32">
        <f t="shared" si="260"/>
        <v>9.6427046070027292E-2</v>
      </c>
      <c r="Q100" s="32">
        <f t="shared" si="260"/>
        <v>0.11317566700622338</v>
      </c>
      <c r="R100" s="32">
        <f t="shared" si="260"/>
        <v>0.13182613823889974</v>
      </c>
      <c r="S100" s="32">
        <f t="shared" si="260"/>
        <v>0.15257417021874703</v>
      </c>
      <c r="T100" s="32">
        <f t="shared" si="260"/>
        <v>0.17564865601082361</v>
      </c>
      <c r="U100" s="32">
        <f t="shared" si="260"/>
        <v>0.20131791842768321</v>
      </c>
      <c r="V100" s="32">
        <f t="shared" si="260"/>
        <v>0.22989734881129481</v>
      </c>
      <c r="W100" s="32">
        <f t="shared" si="260"/>
        <v>0.26175874677386279</v>
      </c>
      <c r="X100" s="32">
        <f t="shared" si="260"/>
        <v>0.29734171889440625</v>
      </c>
      <c r="Y100" s="32">
        <f t="shared" si="260"/>
        <v>0.33716752587048926</v>
      </c>
      <c r="Z100" s="32">
        <f t="shared" si="260"/>
        <v>0.38185574987982202</v>
      </c>
      <c r="AA100" s="32">
        <f t="shared" si="260"/>
        <v>0.43214402159173204</v>
      </c>
      <c r="AB100" s="32">
        <f t="shared" si="260"/>
        <v>0.48891067008148414</v>
      </c>
      <c r="AC100" s="32">
        <f t="shared" si="260"/>
        <v>0.55319928820362751</v>
      </c>
      <c r="AD100" s="32">
        <f t="shared" si="260"/>
        <v>0.62624236450510695</v>
      </c>
      <c r="AE100" s="32">
        <f t="shared" si="260"/>
        <v>0.70947743818119824</v>
      </c>
      <c r="AF100" s="32">
        <f t="shared" si="260"/>
        <v>0.80454211618310545</v>
      </c>
      <c r="AG100" s="32">
        <f t="shared" si="260"/>
        <v>0.91322115987396435</v>
      </c>
      <c r="AH100" s="32">
        <f t="shared" si="260"/>
        <v>1.0372960664446651</v>
      </c>
      <c r="AI100" s="32">
        <f t="shared" si="260"/>
        <v>1.1782121374140364</v>
      </c>
      <c r="AJ100" s="32">
        <f t="shared" si="260"/>
        <v>1.3364349780829283</v>
      </c>
      <c r="AK100" s="32">
        <f t="shared" si="260"/>
        <v>1.510352267256434</v>
      </c>
      <c r="AL100" s="32">
        <f t="shared" si="260"/>
        <v>1.6946933621753784</v>
      </c>
      <c r="AM100" s="32">
        <f t="shared" si="260"/>
        <v>1.8788872930725189</v>
      </c>
      <c r="AN100" s="32">
        <f t="shared" si="260"/>
        <v>2.0466553898913222</v>
      </c>
      <c r="AO100" s="32">
        <f t="shared" si="260"/>
        <v>2.1787661726775807</v>
      </c>
      <c r="AP100" s="32">
        <f t="shared" si="260"/>
        <v>2.2111254628172499</v>
      </c>
      <c r="AQ100" s="32">
        <f t="shared" si="260"/>
        <v>2.2733341619235312</v>
      </c>
      <c r="AR100" s="32">
        <f t="shared" si="260"/>
        <v>2.279475815657614</v>
      </c>
      <c r="AS100" s="32">
        <f t="shared" si="260"/>
        <v>2.2390917769355316</v>
      </c>
      <c r="AT100" s="32">
        <f t="shared" si="260"/>
        <v>2.1671764851446018</v>
      </c>
      <c r="AU100" s="32">
        <f t="shared" si="260"/>
        <v>2.0782664827564981</v>
      </c>
      <c r="AV100" s="32">
        <f t="shared" si="260"/>
        <v>1.9833491584035785</v>
      </c>
      <c r="AW100" s="32">
        <f t="shared" si="260"/>
        <v>1.8894370266624958</v>
      </c>
      <c r="AX100" s="32">
        <f t="shared" si="260"/>
        <v>1.8004036122547353</v>
      </c>
      <c r="AY100" s="32">
        <f t="shared" si="260"/>
        <v>1.7180362951962087</v>
      </c>
      <c r="AZ100" s="32">
        <f t="shared" si="260"/>
        <v>1.6428800535467103</v>
      </c>
      <c r="BA100" s="32">
        <f t="shared" si="260"/>
        <v>1.5748033751254673</v>
      </c>
      <c r="BB100" s="32">
        <f t="shared" si="260"/>
        <v>1.5133428875947135</v>
      </c>
      <c r="BC100" s="32">
        <f t="shared" si="260"/>
        <v>1.4579001918992971</v>
      </c>
      <c r="BD100" s="32">
        <f t="shared" si="260"/>
        <v>1.4078482374057373</v>
      </c>
      <c r="BE100" s="32">
        <f t="shared" si="260"/>
        <v>1.3625851213657623</v>
      </c>
      <c r="BF100" s="32">
        <f t="shared" si="260"/>
        <v>1.3215584444011077</v>
      </c>
      <c r="BG100" s="32">
        <f t="shared" si="260"/>
        <v>1.2842737446429706</v>
      </c>
      <c r="BH100" s="32">
        <f t="shared" si="260"/>
        <v>1.2502946995621886</v>
      </c>
      <c r="BI100" s="32">
        <f t="shared" si="260"/>
        <v>1.2192393728204127</v>
      </c>
      <c r="BJ100" s="32">
        <f t="shared" si="260"/>
        <v>1.1907748312749207</v>
      </c>
      <c r="BK100" s="32">
        <f t="shared" si="260"/>
        <v>1.1646113567059417</v>
      </c>
      <c r="BL100" s="32">
        <f t="shared" si="260"/>
        <v>1.140496864502047</v>
      </c>
      <c r="BM100" s="32">
        <f t="shared" si="260"/>
        <v>1.1182118061628268</v>
      </c>
      <c r="BN100" s="32">
        <f t="shared" si="260"/>
        <v>1.0975646529978911</v>
      </c>
      <c r="BO100" s="32">
        <f t="shared" ref="BO100:CG100" si="261">1/((1+(BO$23*(1-(1/(BO$25^2)))))^2+(BO96*(BO$25-(1/BO$25)))^2)^0.5</f>
        <v>1.0783879659759421</v>
      </c>
      <c r="BP100" s="32">
        <f t="shared" si="261"/>
        <v>1.0605350123336386</v>
      </c>
      <c r="BQ100" s="32">
        <f t="shared" si="261"/>
        <v>1.0438768713069297</v>
      </c>
      <c r="BR100" s="32">
        <f t="shared" si="261"/>
        <v>1.0282999668555644</v>
      </c>
      <c r="BS100" s="32">
        <f t="shared" si="261"/>
        <v>1.0137039676399553</v>
      </c>
      <c r="BT100" s="32">
        <f t="shared" si="261"/>
        <v>1</v>
      </c>
      <c r="BU100" s="32">
        <f t="shared" si="261"/>
        <v>0.96719882159524373</v>
      </c>
      <c r="BV100" s="32">
        <f t="shared" si="261"/>
        <v>0.93899617000083535</v>
      </c>
      <c r="BW100" s="32">
        <f t="shared" si="261"/>
        <v>0.91447253396452466</v>
      </c>
      <c r="BX100" s="32">
        <f t="shared" si="261"/>
        <v>0.89293009103359888</v>
      </c>
      <c r="BY100" s="32">
        <f t="shared" si="261"/>
        <v>0.87383107550355499</v>
      </c>
      <c r="BZ100" s="32">
        <f t="shared" si="261"/>
        <v>0.85675526471749119</v>
      </c>
      <c r="CA100" s="32">
        <f t="shared" si="261"/>
        <v>0.84137012873404282</v>
      </c>
      <c r="CB100" s="32">
        <f t="shared" si="261"/>
        <v>0.82740951576527788</v>
      </c>
      <c r="CC100" s="32">
        <f t="shared" si="261"/>
        <v>0.81465819096376568</v>
      </c>
      <c r="CD100" s="32">
        <f t="shared" si="261"/>
        <v>0.80294045572863604</v>
      </c>
      <c r="CE100" s="32">
        <f t="shared" si="261"/>
        <v>0.79211165619735791</v>
      </c>
      <c r="CF100" s="32">
        <f t="shared" si="261"/>
        <v>0.78205176741559146</v>
      </c>
      <c r="CG100" s="32">
        <f t="shared" si="261"/>
        <v>0.77266048914876062</v>
      </c>
    </row>
    <row r="101" spans="1:86">
      <c r="B101" s="32" t="s">
        <v>761</v>
      </c>
      <c r="C101" s="32">
        <f t="shared" ref="C101:BN101" si="262">1/((1+(C$23*(1-(1/(C$25^2)))))^2+(C97*(C$25-(1/C$25)))^2)^0.5</f>
        <v>2.1818182479920704E-8</v>
      </c>
      <c r="D101" s="32">
        <f t="shared" si="262"/>
        <v>1.2885285829841006E-3</v>
      </c>
      <c r="E101" s="32">
        <f t="shared" si="262"/>
        <v>3.2950119481721194E-3</v>
      </c>
      <c r="F101" s="32">
        <f t="shared" si="262"/>
        <v>6.2440144033623097E-3</v>
      </c>
      <c r="G101" s="32">
        <f t="shared" si="262"/>
        <v>1.0158553191859945E-2</v>
      </c>
      <c r="H101" s="32">
        <f t="shared" si="262"/>
        <v>1.5069602622699301E-2</v>
      </c>
      <c r="I101" s="32">
        <f t="shared" si="262"/>
        <v>2.1016704876682134E-2</v>
      </c>
      <c r="J101" s="32">
        <f t="shared" si="262"/>
        <v>2.8048768388947723E-2</v>
      </c>
      <c r="K101" s="32">
        <f t="shared" si="262"/>
        <v>3.6225083729408081E-2</v>
      </c>
      <c r="L101" s="32">
        <f t="shared" si="262"/>
        <v>4.5616596356075428E-2</v>
      </c>
      <c r="M101" s="32">
        <f t="shared" si="262"/>
        <v>5.6307487501055131E-2</v>
      </c>
      <c r="N101" s="32">
        <f t="shared" si="262"/>
        <v>6.83971296301875E-2</v>
      </c>
      <c r="O101" s="32">
        <f t="shared" si="262"/>
        <v>8.2002502564154742E-2</v>
      </c>
      <c r="P101" s="32">
        <f t="shared" si="262"/>
        <v>9.7261182059277002E-2</v>
      </c>
      <c r="Q101" s="32">
        <f t="shared" si="262"/>
        <v>0.11433504662530793</v>
      </c>
      <c r="R101" s="32">
        <f t="shared" si="262"/>
        <v>0.13341489367348136</v>
      </c>
      <c r="S101" s="32">
        <f t="shared" si="262"/>
        <v>0.15472621704054584</v>
      </c>
      <c r="T101" s="32">
        <f t="shared" si="262"/>
        <v>0.17853648058534624</v>
      </c>
      <c r="U101" s="32">
        <f t="shared" si="262"/>
        <v>0.20516433548851423</v>
      </c>
      <c r="V101" s="32">
        <f t="shared" si="262"/>
        <v>0.23499138428974772</v>
      </c>
      <c r="W101" s="32">
        <f t="shared" si="262"/>
        <v>0.26847730985236462</v>
      </c>
      <c r="X101" s="32">
        <f t="shared" si="262"/>
        <v>0.306179486691594</v>
      </c>
      <c r="Y101" s="32">
        <f t="shared" si="262"/>
        <v>0.34877860915110864</v>
      </c>
      <c r="Z101" s="32">
        <f t="shared" si="262"/>
        <v>0.39711245078414559</v>
      </c>
      <c r="AA101" s="32">
        <f t="shared" si="262"/>
        <v>0.45222066752110879</v>
      </c>
      <c r="AB101" s="32">
        <f t="shared" si="262"/>
        <v>0.51540462938092035</v>
      </c>
      <c r="AC101" s="32">
        <f t="shared" si="262"/>
        <v>0.58830762840615802</v>
      </c>
      <c r="AD101" s="32">
        <f t="shared" si="262"/>
        <v>0.67302232488870162</v>
      </c>
      <c r="AE101" s="32">
        <f t="shared" si="262"/>
        <v>0.77223333712321429</v>
      </c>
      <c r="AF101" s="32">
        <f t="shared" si="262"/>
        <v>0.88940146434470002</v>
      </c>
      <c r="AG101" s="32">
        <f t="shared" si="262"/>
        <v>1.0289864824494519</v>
      </c>
      <c r="AH101" s="32">
        <f t="shared" si="262"/>
        <v>1.1966724314094623</v>
      </c>
      <c r="AI101" s="32">
        <f t="shared" si="262"/>
        <v>1.3994632574174966</v>
      </c>
      <c r="AJ101" s="32">
        <f t="shared" si="262"/>
        <v>1.6452628496952004</v>
      </c>
      <c r="AK101" s="32">
        <f t="shared" si="262"/>
        <v>1.9409529095430127</v>
      </c>
      <c r="AL101" s="32">
        <f t="shared" si="262"/>
        <v>2.2868567113323426</v>
      </c>
      <c r="AM101" s="32">
        <f t="shared" si="262"/>
        <v>2.6646897391488631</v>
      </c>
      <c r="AN101" s="32">
        <f t="shared" si="262"/>
        <v>3.0210297534050929</v>
      </c>
      <c r="AO101" s="32">
        <f t="shared" si="262"/>
        <v>3.2681466330811508</v>
      </c>
      <c r="AP101" s="32">
        <f t="shared" si="262"/>
        <v>3.3110252196145509</v>
      </c>
      <c r="AQ101" s="32">
        <f t="shared" si="262"/>
        <v>3.3156909367168921</v>
      </c>
      <c r="AR101" s="32">
        <f t="shared" si="262"/>
        <v>3.1654851290358881</v>
      </c>
      <c r="AS101" s="32">
        <f t="shared" si="262"/>
        <v>2.9379147301897293</v>
      </c>
      <c r="AT101" s="32">
        <f t="shared" si="262"/>
        <v>2.6956469422014</v>
      </c>
      <c r="AU101" s="32">
        <f t="shared" si="262"/>
        <v>2.4705166769883409</v>
      </c>
      <c r="AV101" s="32">
        <f t="shared" si="262"/>
        <v>2.2731978578150067</v>
      </c>
      <c r="AW101" s="32">
        <f t="shared" si="262"/>
        <v>2.1043137440172504</v>
      </c>
      <c r="AX101" s="32">
        <f t="shared" si="262"/>
        <v>1.9607997258777863</v>
      </c>
      <c r="AY101" s="32">
        <f t="shared" si="262"/>
        <v>1.8387414801727384</v>
      </c>
      <c r="AZ101" s="32">
        <f t="shared" si="262"/>
        <v>1.7344475901781757</v>
      </c>
      <c r="BA101" s="32">
        <f t="shared" si="262"/>
        <v>1.6447671953798582</v>
      </c>
      <c r="BB101" s="32">
        <f t="shared" si="262"/>
        <v>1.5671176092543675</v>
      </c>
      <c r="BC101" s="32">
        <f t="shared" si="262"/>
        <v>1.4994159312519777</v>
      </c>
      <c r="BD101" s="32">
        <f t="shared" si="262"/>
        <v>1.4399901776491046</v>
      </c>
      <c r="BE101" s="32">
        <f t="shared" si="262"/>
        <v>1.3874966034904137</v>
      </c>
      <c r="BF101" s="32">
        <f t="shared" si="262"/>
        <v>1.3408506390314692</v>
      </c>
      <c r="BG101" s="32">
        <f t="shared" si="262"/>
        <v>1.2991717638123261</v>
      </c>
      <c r="BH101" s="32">
        <f t="shared" si="262"/>
        <v>1.2617403838170929</v>
      </c>
      <c r="BI101" s="32">
        <f t="shared" si="262"/>
        <v>1.2279643637936826</v>
      </c>
      <c r="BJ101" s="32">
        <f t="shared" si="262"/>
        <v>1.1973530893088902</v>
      </c>
      <c r="BK101" s="32">
        <f t="shared" si="262"/>
        <v>1.1694973196907215</v>
      </c>
      <c r="BL101" s="32">
        <f t="shared" si="262"/>
        <v>1.1440534718277999</v>
      </c>
      <c r="BM101" s="32">
        <f t="shared" si="262"/>
        <v>1.1207312935183062</v>
      </c>
      <c r="BN101" s="32">
        <f t="shared" si="262"/>
        <v>1.0992841366401696</v>
      </c>
      <c r="BO101" s="32">
        <f t="shared" ref="BO101:CG101" si="263">1/((1+(BO$23*(1-(1/(BO$25^2)))))^2+(BO97*(BO$25-(1/BO$25)))^2)^0.5</f>
        <v>1.0795012330280616</v>
      </c>
      <c r="BP101" s="32">
        <f t="shared" si="263"/>
        <v>1.0612015212514392</v>
      </c>
      <c r="BQ101" s="32">
        <f t="shared" si="263"/>
        <v>1.0442286814174895</v>
      </c>
      <c r="BR101" s="32">
        <f t="shared" si="263"/>
        <v>1.028447116660097</v>
      </c>
      <c r="BS101" s="32">
        <f t="shared" si="263"/>
        <v>1.0137386810967635</v>
      </c>
      <c r="BT101" s="32">
        <f t="shared" si="263"/>
        <v>1</v>
      </c>
      <c r="BU101" s="32">
        <f t="shared" si="263"/>
        <v>0.96740297287939647</v>
      </c>
      <c r="BV101" s="32">
        <f t="shared" si="263"/>
        <v>0.9397179046098656</v>
      </c>
      <c r="BW101" s="32">
        <f t="shared" si="263"/>
        <v>0.91592461846307416</v>
      </c>
      <c r="BX101" s="32">
        <f t="shared" si="263"/>
        <v>0.89526144065932423</v>
      </c>
      <c r="BY101" s="32">
        <f t="shared" si="263"/>
        <v>0.87714892036287673</v>
      </c>
      <c r="BZ101" s="32">
        <f t="shared" si="263"/>
        <v>0.86113889543855549</v>
      </c>
      <c r="CA101" s="32">
        <f t="shared" si="263"/>
        <v>0.84687964305359276</v>
      </c>
      <c r="CB101" s="32">
        <f t="shared" si="263"/>
        <v>0.83409151190731656</v>
      </c>
      <c r="CC101" s="32">
        <f t="shared" si="263"/>
        <v>0.82254954889244947</v>
      </c>
      <c r="CD101" s="32">
        <f t="shared" si="263"/>
        <v>0.81207089395729926</v>
      </c>
      <c r="CE101" s="32">
        <f t="shared" si="263"/>
        <v>0.80250548884949624</v>
      </c>
      <c r="CF101" s="32">
        <f t="shared" si="263"/>
        <v>0.79372912964468822</v>
      </c>
      <c r="CG101" s="32">
        <f t="shared" si="263"/>
        <v>0.78563820355372027</v>
      </c>
    </row>
    <row r="102" spans="1:86">
      <c r="B102" s="32" t="s">
        <v>762</v>
      </c>
      <c r="C102" s="32">
        <f t="shared" ref="C102:BN102" si="264">1/((1+(C$23*(1-(1/(C$25^2)))))^2+(C98*(C$25-(1/C$25)))^2)^0.5</f>
        <v>2.1818182504277716E-8</v>
      </c>
      <c r="D102" s="32">
        <f t="shared" si="264"/>
        <v>1.2886135955008332E-3</v>
      </c>
      <c r="E102" s="32">
        <f t="shared" si="264"/>
        <v>3.2955684781936466E-3</v>
      </c>
      <c r="F102" s="32">
        <f t="shared" si="264"/>
        <v>6.2460161462191653E-3</v>
      </c>
      <c r="G102" s="32">
        <f t="shared" si="264"/>
        <v>1.0163863042965088E-2</v>
      </c>
      <c r="H102" s="32">
        <f t="shared" si="264"/>
        <v>1.5081319204381372E-2</v>
      </c>
      <c r="I102" s="32">
        <f t="shared" si="264"/>
        <v>2.1039569098202388E-2</v>
      </c>
      <c r="J102" s="32">
        <f t="shared" si="264"/>
        <v>2.8089651953662267E-2</v>
      </c>
      <c r="K102" s="32">
        <f t="shared" si="264"/>
        <v>3.6293587388214997E-2</v>
      </c>
      <c r="L102" s="32">
        <f t="shared" si="264"/>
        <v>4.5725793918706494E-2</v>
      </c>
      <c r="M102" s="32">
        <f t="shared" si="264"/>
        <v>5.6474863038622196E-2</v>
      </c>
      <c r="N102" s="32">
        <f t="shared" si="264"/>
        <v>6.8645771225195648E-2</v>
      </c>
      <c r="O102" s="32">
        <f t="shared" si="264"/>
        <v>8.2362638290634962E-2</v>
      </c>
      <c r="P102" s="32">
        <f t="shared" si="264"/>
        <v>9.777217543465197E-2</v>
      </c>
      <c r="Q102" s="32">
        <f t="shared" si="264"/>
        <v>0.11504801381981522</v>
      </c>
      <c r="R102" s="32">
        <f t="shared" si="264"/>
        <v>0.1343961697659459</v>
      </c>
      <c r="S102" s="32">
        <f t="shared" si="264"/>
        <v>0.15606199356055589</v>
      </c>
      <c r="T102" s="32">
        <f t="shared" si="264"/>
        <v>0.18033907712619268</v>
      </c>
      <c r="U102" s="32">
        <f t="shared" si="264"/>
        <v>0.20758077920643064</v>
      </c>
      <c r="V102" s="32">
        <f t="shared" si="264"/>
        <v>0.23821529291505833</v>
      </c>
      <c r="W102" s="32">
        <f t="shared" si="264"/>
        <v>0.27276557284516439</v>
      </c>
      <c r="X102" s="32">
        <f t="shared" si="264"/>
        <v>0.3118760270307826</v>
      </c>
      <c r="Y102" s="32">
        <f t="shared" si="264"/>
        <v>0.35634877663150372</v>
      </c>
      <c r="Z102" s="32">
        <f t="shared" si="264"/>
        <v>0.40719368317894933</v>
      </c>
      <c r="AA102" s="32">
        <f t="shared" si="264"/>
        <v>0.46569856393000625</v>
      </c>
      <c r="AB102" s="32">
        <f t="shared" si="264"/>
        <v>0.53352962776885804</v>
      </c>
      <c r="AC102" s="32">
        <f t="shared" si="264"/>
        <v>0.61287818547722495</v>
      </c>
      <c r="AD102" s="32">
        <f t="shared" si="264"/>
        <v>0.70667999489874966</v>
      </c>
      <c r="AE102" s="32">
        <f t="shared" si="264"/>
        <v>0.81895174017762684</v>
      </c>
      <c r="AF102" s="32">
        <f t="shared" si="264"/>
        <v>0.95532197886781722</v>
      </c>
      <c r="AG102" s="32">
        <f t="shared" si="264"/>
        <v>1.1238949075668698</v>
      </c>
      <c r="AH102" s="32">
        <f t="shared" si="264"/>
        <v>1.336700784700356</v>
      </c>
      <c r="AI102" s="32">
        <f t="shared" si="264"/>
        <v>1.6122041821848843</v>
      </c>
      <c r="AJ102" s="32">
        <f t="shared" si="264"/>
        <v>1.9797167331940804</v>
      </c>
      <c r="AK102" s="32">
        <f t="shared" si="264"/>
        <v>2.4869471935964955</v>
      </c>
      <c r="AL102" s="32">
        <f t="shared" si="264"/>
        <v>3.2103200546599164</v>
      </c>
      <c r="AM102" s="32">
        <f t="shared" si="264"/>
        <v>4.2496371420859802</v>
      </c>
      <c r="AN102" s="32">
        <f t="shared" si="264"/>
        <v>5.5838781280519623</v>
      </c>
      <c r="AO102" s="32">
        <f t="shared" si="264"/>
        <v>6.536264906280671</v>
      </c>
      <c r="AP102" s="32">
        <f t="shared" si="264"/>
        <v>6.5618770904865382</v>
      </c>
      <c r="AQ102" s="32">
        <f t="shared" si="264"/>
        <v>5.8283032893166329</v>
      </c>
      <c r="AR102" s="32">
        <f t="shared" si="264"/>
        <v>4.7563696098705019</v>
      </c>
      <c r="AS102" s="32">
        <f t="shared" si="264"/>
        <v>3.9015255964034536</v>
      </c>
      <c r="AT102" s="32">
        <f t="shared" si="264"/>
        <v>3.2890887050132047</v>
      </c>
      <c r="AU102" s="32">
        <f t="shared" si="264"/>
        <v>2.8486465633840918</v>
      </c>
      <c r="AV102" s="32">
        <f t="shared" si="264"/>
        <v>2.5229481085899597</v>
      </c>
      <c r="AW102" s="32">
        <f t="shared" si="264"/>
        <v>2.274741534759305</v>
      </c>
      <c r="AX102" s="32">
        <f t="shared" si="264"/>
        <v>2.0803949878791861</v>
      </c>
      <c r="AY102" s="32">
        <f t="shared" si="264"/>
        <v>1.9246409174621322</v>
      </c>
      <c r="AZ102" s="32">
        <f t="shared" si="264"/>
        <v>1.7973280730835068</v>
      </c>
      <c r="BA102" s="32">
        <f t="shared" si="264"/>
        <v>1.6915035214697591</v>
      </c>
      <c r="BB102" s="32">
        <f t="shared" si="264"/>
        <v>1.6022709678425973</v>
      </c>
      <c r="BC102" s="32">
        <f t="shared" si="264"/>
        <v>1.5260949961030321</v>
      </c>
      <c r="BD102" s="32">
        <f t="shared" si="264"/>
        <v>1.4603652308008392</v>
      </c>
      <c r="BE102" s="32">
        <f t="shared" si="264"/>
        <v>1.4031157251568276</v>
      </c>
      <c r="BF102" s="32">
        <f t="shared" si="264"/>
        <v>1.3528395535321116</v>
      </c>
      <c r="BG102" s="32">
        <f t="shared" si="264"/>
        <v>1.3083633497339899</v>
      </c>
      <c r="BH102" s="32">
        <f t="shared" si="264"/>
        <v>1.2687605397323707</v>
      </c>
      <c r="BI102" s="32">
        <f t="shared" si="264"/>
        <v>1.2332901336794484</v>
      </c>
      <c r="BJ102" s="32">
        <f t="shared" si="264"/>
        <v>1.2013527629548135</v>
      </c>
      <c r="BK102" s="32">
        <f t="shared" si="264"/>
        <v>1.1724585811910933</v>
      </c>
      <c r="BL102" s="32">
        <f t="shared" si="264"/>
        <v>1.1462034742108889</v>
      </c>
      <c r="BM102" s="32">
        <f t="shared" si="264"/>
        <v>1.1222511850942101</v>
      </c>
      <c r="BN102" s="32">
        <f t="shared" si="264"/>
        <v>1.1003197140231982</v>
      </c>
      <c r="BO102" s="32">
        <f t="shared" ref="BO102:CG102" si="265">1/((1+(BO$23*(1-(1/(BO$25^2)))))^2+(BO98*(BO$25-(1/BO$25)))^2)^0.5</f>
        <v>1.0801708504954202</v>
      </c>
      <c r="BP102" s="32">
        <f t="shared" si="265"/>
        <v>1.0616020302914293</v>
      </c>
      <c r="BQ102" s="32">
        <f t="shared" si="265"/>
        <v>1.0444399382984499</v>
      </c>
      <c r="BR102" s="32">
        <f t="shared" si="265"/>
        <v>1.0285354368708968</v>
      </c>
      <c r="BS102" s="32">
        <f t="shared" si="265"/>
        <v>1.0137595108827029</v>
      </c>
      <c r="BT102" s="32">
        <f t="shared" si="265"/>
        <v>1</v>
      </c>
      <c r="BU102" s="32">
        <f t="shared" si="265"/>
        <v>0.96752552571866779</v>
      </c>
      <c r="BV102" s="32">
        <f t="shared" si="265"/>
        <v>0.94015174502363608</v>
      </c>
      <c r="BW102" s="32">
        <f t="shared" si="265"/>
        <v>0.91679919649383013</v>
      </c>
      <c r="BX102" s="32">
        <f t="shared" si="265"/>
        <v>0.89666904621600196</v>
      </c>
      <c r="BY102" s="32">
        <f t="shared" si="265"/>
        <v>0.87915786000048757</v>
      </c>
      <c r="BZ102" s="32">
        <f t="shared" si="265"/>
        <v>0.86380159359385156</v>
      </c>
      <c r="CA102" s="32">
        <f t="shared" si="265"/>
        <v>0.85023776125807737</v>
      </c>
      <c r="CB102" s="32">
        <f t="shared" si="265"/>
        <v>0.83817926151400113</v>
      </c>
      <c r="CC102" s="32">
        <f t="shared" si="265"/>
        <v>0.82739587966145289</v>
      </c>
      <c r="CD102" s="32">
        <f t="shared" si="265"/>
        <v>0.81770096634061051</v>
      </c>
      <c r="CE102" s="32">
        <f t="shared" si="265"/>
        <v>0.80894168016618251</v>
      </c>
      <c r="CF102" s="32">
        <f t="shared" si="265"/>
        <v>0.80099173123418488</v>
      </c>
      <c r="CG102" s="32">
        <f t="shared" si="265"/>
        <v>0.79374590961510494</v>
      </c>
    </row>
    <row r="103" spans="1:86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</row>
    <row r="104" spans="1:86">
      <c r="B104" s="32" t="s">
        <v>763</v>
      </c>
      <c r="C104" s="32">
        <f t="shared" ref="C104:AH104" si="266">(C$40/(C$10^2))*((PI()^2)/4)*(C12*100/C$39)*(((SIN(C$36))^2)/((C$5+C$11*C$6)/C$11)^2)</f>
        <v>0.25007396843652824</v>
      </c>
      <c r="D104" s="32">
        <f t="shared" si="266"/>
        <v>0.25007396843652824</v>
      </c>
      <c r="E104" s="32">
        <f t="shared" si="266"/>
        <v>0.25007396843652824</v>
      </c>
      <c r="F104" s="32">
        <f t="shared" si="266"/>
        <v>0.25007396843652824</v>
      </c>
      <c r="G104" s="32">
        <f t="shared" si="266"/>
        <v>0.25007396843652824</v>
      </c>
      <c r="H104" s="32">
        <f t="shared" si="266"/>
        <v>0.25007396843652824</v>
      </c>
      <c r="I104" s="32">
        <f t="shared" si="266"/>
        <v>0.25007396843652824</v>
      </c>
      <c r="J104" s="32">
        <f t="shared" si="266"/>
        <v>0.25007396843652824</v>
      </c>
      <c r="K104" s="32">
        <f t="shared" si="266"/>
        <v>0.25007396843652824</v>
      </c>
      <c r="L104" s="32">
        <f t="shared" si="266"/>
        <v>0.25007396843652824</v>
      </c>
      <c r="M104" s="32">
        <f t="shared" si="266"/>
        <v>0.25007396843652824</v>
      </c>
      <c r="N104" s="32">
        <f t="shared" si="266"/>
        <v>0.25007396843652824</v>
      </c>
      <c r="O104" s="32">
        <f t="shared" si="266"/>
        <v>0.25007396843652824</v>
      </c>
      <c r="P104" s="32">
        <f t="shared" si="266"/>
        <v>0.25007396843652824</v>
      </c>
      <c r="Q104" s="32">
        <f t="shared" si="266"/>
        <v>0.25007396843652824</v>
      </c>
      <c r="R104" s="32">
        <f t="shared" si="266"/>
        <v>0.25007396843652824</v>
      </c>
      <c r="S104" s="32">
        <f t="shared" si="266"/>
        <v>0.25007396843652824</v>
      </c>
      <c r="T104" s="32">
        <f t="shared" si="266"/>
        <v>0.25007396843652824</v>
      </c>
      <c r="U104" s="32">
        <f t="shared" si="266"/>
        <v>0.25007396843652824</v>
      </c>
      <c r="V104" s="32">
        <f t="shared" si="266"/>
        <v>0.25007396843652824</v>
      </c>
      <c r="W104" s="32">
        <f t="shared" si="266"/>
        <v>0.25007396843652824</v>
      </c>
      <c r="X104" s="32">
        <f t="shared" si="266"/>
        <v>0.25007396843652824</v>
      </c>
      <c r="Y104" s="32">
        <f t="shared" si="266"/>
        <v>0.25007396843652824</v>
      </c>
      <c r="Z104" s="32">
        <f t="shared" si="266"/>
        <v>0.25007396843652824</v>
      </c>
      <c r="AA104" s="32">
        <f t="shared" si="266"/>
        <v>0.25007396843652824</v>
      </c>
      <c r="AB104" s="32">
        <f t="shared" si="266"/>
        <v>0.25007396843652824</v>
      </c>
      <c r="AC104" s="32">
        <f t="shared" si="266"/>
        <v>0.25007396843652824</v>
      </c>
      <c r="AD104" s="32">
        <f t="shared" si="266"/>
        <v>0.25007396843652824</v>
      </c>
      <c r="AE104" s="32">
        <f t="shared" si="266"/>
        <v>0.25007396843652824</v>
      </c>
      <c r="AF104" s="32">
        <f t="shared" si="266"/>
        <v>0.25007396843652824</v>
      </c>
      <c r="AG104" s="32">
        <f t="shared" si="266"/>
        <v>0.25007396843652824</v>
      </c>
      <c r="AH104" s="32">
        <f t="shared" si="266"/>
        <v>0.25007396843652824</v>
      </c>
      <c r="AI104" s="32">
        <f t="shared" ref="AI104:BN104" si="267">(AI$40/(AI$10^2))*((PI()^2)/4)*(AI12*100/AI$39)*(((SIN(AI$36))^2)/((AI$5+AI$11*AI$6)/AI$11)^2)</f>
        <v>0.25007396843652824</v>
      </c>
      <c r="AJ104" s="32">
        <f t="shared" si="267"/>
        <v>0.25007396843652824</v>
      </c>
      <c r="AK104" s="32">
        <f t="shared" si="267"/>
        <v>0.25007396843652824</v>
      </c>
      <c r="AL104" s="32">
        <f t="shared" si="267"/>
        <v>0.25007396843652824</v>
      </c>
      <c r="AM104" s="32">
        <f t="shared" si="267"/>
        <v>0.25007396843652824</v>
      </c>
      <c r="AN104" s="32">
        <f t="shared" si="267"/>
        <v>0.25007396843652824</v>
      </c>
      <c r="AO104" s="32">
        <f t="shared" si="267"/>
        <v>0.25007396843652824</v>
      </c>
      <c r="AP104" s="32">
        <f t="shared" si="267"/>
        <v>0.25007396843652824</v>
      </c>
      <c r="AQ104" s="32">
        <f t="shared" si="267"/>
        <v>0.25007396843652824</v>
      </c>
      <c r="AR104" s="32">
        <f t="shared" si="267"/>
        <v>0.25007396843652824</v>
      </c>
      <c r="AS104" s="32">
        <f t="shared" si="267"/>
        <v>0.25007396843652824</v>
      </c>
      <c r="AT104" s="32">
        <f t="shared" si="267"/>
        <v>0.25007396843652824</v>
      </c>
      <c r="AU104" s="32">
        <f t="shared" si="267"/>
        <v>0.25007396843652824</v>
      </c>
      <c r="AV104" s="32">
        <f t="shared" si="267"/>
        <v>0.25007396843652824</v>
      </c>
      <c r="AW104" s="32">
        <f t="shared" si="267"/>
        <v>0.25007396843652824</v>
      </c>
      <c r="AX104" s="32">
        <f t="shared" si="267"/>
        <v>0.25007396843652824</v>
      </c>
      <c r="AY104" s="32">
        <f t="shared" si="267"/>
        <v>0.25007396843652824</v>
      </c>
      <c r="AZ104" s="32">
        <f t="shared" si="267"/>
        <v>0.25007396843652824</v>
      </c>
      <c r="BA104" s="32">
        <f t="shared" si="267"/>
        <v>0.25007396843652824</v>
      </c>
      <c r="BB104" s="32">
        <f t="shared" si="267"/>
        <v>0.25007396843652824</v>
      </c>
      <c r="BC104" s="32">
        <f t="shared" si="267"/>
        <v>0.25007396843652824</v>
      </c>
      <c r="BD104" s="32">
        <f t="shared" si="267"/>
        <v>0.25007396843652824</v>
      </c>
      <c r="BE104" s="32">
        <f t="shared" si="267"/>
        <v>0.25007396843652824</v>
      </c>
      <c r="BF104" s="32">
        <f t="shared" si="267"/>
        <v>0.25007396843652824</v>
      </c>
      <c r="BG104" s="32">
        <f t="shared" si="267"/>
        <v>0.25007396843652824</v>
      </c>
      <c r="BH104" s="32">
        <f t="shared" si="267"/>
        <v>0.25007396843652824</v>
      </c>
      <c r="BI104" s="32">
        <f t="shared" si="267"/>
        <v>0.25007396843652824</v>
      </c>
      <c r="BJ104" s="32">
        <f t="shared" si="267"/>
        <v>0.25007396843652824</v>
      </c>
      <c r="BK104" s="32">
        <f t="shared" si="267"/>
        <v>0.25007396843652824</v>
      </c>
      <c r="BL104" s="32">
        <f t="shared" si="267"/>
        <v>0.25007396843652824</v>
      </c>
      <c r="BM104" s="32">
        <f t="shared" si="267"/>
        <v>0.25007396843652824</v>
      </c>
      <c r="BN104" s="32">
        <f t="shared" si="267"/>
        <v>0.25007396843652824</v>
      </c>
      <c r="BO104" s="32">
        <f t="shared" ref="BO104:CG104" si="268">(BO$40/(BO$10^2))*((PI()^2)/4)*(BO12*100/BO$39)*(((SIN(BO$36))^2)/((BO$5+BO$11*BO$6)/BO$11)^2)</f>
        <v>0.25007396843652824</v>
      </c>
      <c r="BP104" s="32">
        <f t="shared" si="268"/>
        <v>0.25007396843652824</v>
      </c>
      <c r="BQ104" s="32">
        <f t="shared" si="268"/>
        <v>0.25007396843652824</v>
      </c>
      <c r="BR104" s="32">
        <f t="shared" si="268"/>
        <v>0.25007396843652824</v>
      </c>
      <c r="BS104" s="32">
        <f t="shared" si="268"/>
        <v>0.25007396843652824</v>
      </c>
      <c r="BT104" s="32">
        <f t="shared" si="268"/>
        <v>0.25007396843652824</v>
      </c>
      <c r="BU104" s="32">
        <f t="shared" si="268"/>
        <v>0.25007396843652824</v>
      </c>
      <c r="BV104" s="32">
        <f t="shared" si="268"/>
        <v>0.25007396843652824</v>
      </c>
      <c r="BW104" s="32">
        <f t="shared" si="268"/>
        <v>0.25007396843652824</v>
      </c>
      <c r="BX104" s="32">
        <f t="shared" si="268"/>
        <v>0.25007396843652824</v>
      </c>
      <c r="BY104" s="32">
        <f t="shared" si="268"/>
        <v>0.25007396843652824</v>
      </c>
      <c r="BZ104" s="32">
        <f t="shared" si="268"/>
        <v>0.25007396843652824</v>
      </c>
      <c r="CA104" s="32">
        <f t="shared" si="268"/>
        <v>0.25007396843652824</v>
      </c>
      <c r="CB104" s="32">
        <f t="shared" si="268"/>
        <v>0.25007396843652824</v>
      </c>
      <c r="CC104" s="32">
        <f t="shared" si="268"/>
        <v>0.25007396843652824</v>
      </c>
      <c r="CD104" s="32">
        <f t="shared" si="268"/>
        <v>0.25007396843652824</v>
      </c>
      <c r="CE104" s="32">
        <f t="shared" si="268"/>
        <v>0.25007396843652824</v>
      </c>
      <c r="CF104" s="32">
        <f t="shared" si="268"/>
        <v>0.25007396843652824</v>
      </c>
      <c r="CG104" s="32">
        <f t="shared" si="268"/>
        <v>0.25007396843652824</v>
      </c>
      <c r="CH104" s="32"/>
    </row>
    <row r="105" spans="1:86">
      <c r="B105" s="32" t="s">
        <v>764</v>
      </c>
      <c r="C105" s="32">
        <f t="shared" ref="C105:AH105" si="269">(C$40/(C$10^2))*((PI()^2)/4)*(C13*100/C$39)*(((SIN(C$36))^2)/((C$5+C$11*C$6)/C$11)^2)</f>
        <v>0.18755547632739622</v>
      </c>
      <c r="D105" s="32">
        <f t="shared" si="269"/>
        <v>0.18755547632739622</v>
      </c>
      <c r="E105" s="32">
        <f t="shared" si="269"/>
        <v>0.18755547632739622</v>
      </c>
      <c r="F105" s="32">
        <f t="shared" si="269"/>
        <v>0.18755547632739622</v>
      </c>
      <c r="G105" s="32">
        <f t="shared" si="269"/>
        <v>0.18755547632739622</v>
      </c>
      <c r="H105" s="32">
        <f t="shared" si="269"/>
        <v>0.18755547632739622</v>
      </c>
      <c r="I105" s="32">
        <f t="shared" si="269"/>
        <v>0.18755547632739622</v>
      </c>
      <c r="J105" s="32">
        <f t="shared" si="269"/>
        <v>0.18755547632739622</v>
      </c>
      <c r="K105" s="32">
        <f t="shared" si="269"/>
        <v>0.18755547632739622</v>
      </c>
      <c r="L105" s="32">
        <f t="shared" si="269"/>
        <v>0.18755547632739622</v>
      </c>
      <c r="M105" s="32">
        <f t="shared" si="269"/>
        <v>0.18755547632739622</v>
      </c>
      <c r="N105" s="32">
        <f t="shared" si="269"/>
        <v>0.18755547632739622</v>
      </c>
      <c r="O105" s="32">
        <f t="shared" si="269"/>
        <v>0.18755547632739622</v>
      </c>
      <c r="P105" s="32">
        <f t="shared" si="269"/>
        <v>0.18755547632739622</v>
      </c>
      <c r="Q105" s="32">
        <f t="shared" si="269"/>
        <v>0.18755547632739622</v>
      </c>
      <c r="R105" s="32">
        <f t="shared" si="269"/>
        <v>0.18755547632739622</v>
      </c>
      <c r="S105" s="32">
        <f t="shared" si="269"/>
        <v>0.18755547632739622</v>
      </c>
      <c r="T105" s="32">
        <f t="shared" si="269"/>
        <v>0.18755547632739622</v>
      </c>
      <c r="U105" s="32">
        <f t="shared" si="269"/>
        <v>0.18755547632739622</v>
      </c>
      <c r="V105" s="32">
        <f t="shared" si="269"/>
        <v>0.18755547632739622</v>
      </c>
      <c r="W105" s="32">
        <f t="shared" si="269"/>
        <v>0.18755547632739622</v>
      </c>
      <c r="X105" s="32">
        <f t="shared" si="269"/>
        <v>0.18755547632739622</v>
      </c>
      <c r="Y105" s="32">
        <f t="shared" si="269"/>
        <v>0.18755547632739622</v>
      </c>
      <c r="Z105" s="32">
        <f t="shared" si="269"/>
        <v>0.18755547632739622</v>
      </c>
      <c r="AA105" s="32">
        <f t="shared" si="269"/>
        <v>0.18755547632739622</v>
      </c>
      <c r="AB105" s="32">
        <f t="shared" si="269"/>
        <v>0.18755547632739622</v>
      </c>
      <c r="AC105" s="32">
        <f t="shared" si="269"/>
        <v>0.18755547632739622</v>
      </c>
      <c r="AD105" s="32">
        <f t="shared" si="269"/>
        <v>0.18755547632739622</v>
      </c>
      <c r="AE105" s="32">
        <f t="shared" si="269"/>
        <v>0.18755547632739622</v>
      </c>
      <c r="AF105" s="32">
        <f t="shared" si="269"/>
        <v>0.18755547632739622</v>
      </c>
      <c r="AG105" s="32">
        <f t="shared" si="269"/>
        <v>0.18755547632739622</v>
      </c>
      <c r="AH105" s="32">
        <f t="shared" si="269"/>
        <v>0.18755547632739622</v>
      </c>
      <c r="AI105" s="32">
        <f t="shared" ref="AI105:BN105" si="270">(AI$40/(AI$10^2))*((PI()^2)/4)*(AI13*100/AI$39)*(((SIN(AI$36))^2)/((AI$5+AI$11*AI$6)/AI$11)^2)</f>
        <v>0.18755547632739622</v>
      </c>
      <c r="AJ105" s="32">
        <f t="shared" si="270"/>
        <v>0.18755547632739622</v>
      </c>
      <c r="AK105" s="32">
        <f t="shared" si="270"/>
        <v>0.18755547632739622</v>
      </c>
      <c r="AL105" s="32">
        <f t="shared" si="270"/>
        <v>0.18755547632739622</v>
      </c>
      <c r="AM105" s="32">
        <f t="shared" si="270"/>
        <v>0.18755547632739622</v>
      </c>
      <c r="AN105" s="32">
        <f t="shared" si="270"/>
        <v>0.18755547632739622</v>
      </c>
      <c r="AO105" s="32">
        <f t="shared" si="270"/>
        <v>0.18755547632739622</v>
      </c>
      <c r="AP105" s="32">
        <f t="shared" si="270"/>
        <v>0.18755547632739622</v>
      </c>
      <c r="AQ105" s="32">
        <f t="shared" si="270"/>
        <v>0.18755547632739622</v>
      </c>
      <c r="AR105" s="32">
        <f t="shared" si="270"/>
        <v>0.18755547632739622</v>
      </c>
      <c r="AS105" s="32">
        <f t="shared" si="270"/>
        <v>0.18755547632739622</v>
      </c>
      <c r="AT105" s="32">
        <f t="shared" si="270"/>
        <v>0.18755547632739622</v>
      </c>
      <c r="AU105" s="32">
        <f t="shared" si="270"/>
        <v>0.18755547632739622</v>
      </c>
      <c r="AV105" s="32">
        <f t="shared" si="270"/>
        <v>0.18755547632739622</v>
      </c>
      <c r="AW105" s="32">
        <f t="shared" si="270"/>
        <v>0.18755547632739622</v>
      </c>
      <c r="AX105" s="32">
        <f t="shared" si="270"/>
        <v>0.18755547632739622</v>
      </c>
      <c r="AY105" s="32">
        <f t="shared" si="270"/>
        <v>0.18755547632739622</v>
      </c>
      <c r="AZ105" s="32">
        <f t="shared" si="270"/>
        <v>0.18755547632739622</v>
      </c>
      <c r="BA105" s="32">
        <f t="shared" si="270"/>
        <v>0.18755547632739622</v>
      </c>
      <c r="BB105" s="32">
        <f t="shared" si="270"/>
        <v>0.18755547632739622</v>
      </c>
      <c r="BC105" s="32">
        <f t="shared" si="270"/>
        <v>0.18755547632739622</v>
      </c>
      <c r="BD105" s="32">
        <f t="shared" si="270"/>
        <v>0.18755547632739622</v>
      </c>
      <c r="BE105" s="32">
        <f t="shared" si="270"/>
        <v>0.18755547632739622</v>
      </c>
      <c r="BF105" s="32">
        <f t="shared" si="270"/>
        <v>0.18755547632739622</v>
      </c>
      <c r="BG105" s="32">
        <f t="shared" si="270"/>
        <v>0.18755547632739622</v>
      </c>
      <c r="BH105" s="32">
        <f t="shared" si="270"/>
        <v>0.18755547632739622</v>
      </c>
      <c r="BI105" s="32">
        <f t="shared" si="270"/>
        <v>0.18755547632739622</v>
      </c>
      <c r="BJ105" s="32">
        <f t="shared" si="270"/>
        <v>0.18755547632739622</v>
      </c>
      <c r="BK105" s="32">
        <f t="shared" si="270"/>
        <v>0.18755547632739622</v>
      </c>
      <c r="BL105" s="32">
        <f t="shared" si="270"/>
        <v>0.18755547632739622</v>
      </c>
      <c r="BM105" s="32">
        <f t="shared" si="270"/>
        <v>0.18755547632739622</v>
      </c>
      <c r="BN105" s="32">
        <f t="shared" si="270"/>
        <v>0.18755547632739622</v>
      </c>
      <c r="BO105" s="32">
        <f t="shared" ref="BO105:CG105" si="271">(BO$40/(BO$10^2))*((PI()^2)/4)*(BO13*100/BO$39)*(((SIN(BO$36))^2)/((BO$5+BO$11*BO$6)/BO$11)^2)</f>
        <v>0.18755547632739622</v>
      </c>
      <c r="BP105" s="32">
        <f t="shared" si="271"/>
        <v>0.18755547632739622</v>
      </c>
      <c r="BQ105" s="32">
        <f t="shared" si="271"/>
        <v>0.18755547632739622</v>
      </c>
      <c r="BR105" s="32">
        <f t="shared" si="271"/>
        <v>0.18755547632739622</v>
      </c>
      <c r="BS105" s="32">
        <f t="shared" si="271"/>
        <v>0.18755547632739622</v>
      </c>
      <c r="BT105" s="32">
        <f t="shared" si="271"/>
        <v>0.18755547632739622</v>
      </c>
      <c r="BU105" s="32">
        <f t="shared" si="271"/>
        <v>0.18755547632739622</v>
      </c>
      <c r="BV105" s="32">
        <f t="shared" si="271"/>
        <v>0.18755547632739622</v>
      </c>
      <c r="BW105" s="32">
        <f t="shared" si="271"/>
        <v>0.18755547632739622</v>
      </c>
      <c r="BX105" s="32">
        <f t="shared" si="271"/>
        <v>0.18755547632739622</v>
      </c>
      <c r="BY105" s="32">
        <f t="shared" si="271"/>
        <v>0.18755547632739622</v>
      </c>
      <c r="BZ105" s="32">
        <f t="shared" si="271"/>
        <v>0.18755547632739622</v>
      </c>
      <c r="CA105" s="32">
        <f t="shared" si="271"/>
        <v>0.18755547632739622</v>
      </c>
      <c r="CB105" s="32">
        <f t="shared" si="271"/>
        <v>0.18755547632739622</v>
      </c>
      <c r="CC105" s="32">
        <f t="shared" si="271"/>
        <v>0.18755547632739622</v>
      </c>
      <c r="CD105" s="32">
        <f t="shared" si="271"/>
        <v>0.18755547632739622</v>
      </c>
      <c r="CE105" s="32">
        <f t="shared" si="271"/>
        <v>0.18755547632739622</v>
      </c>
      <c r="CF105" s="32">
        <f t="shared" si="271"/>
        <v>0.18755547632739622</v>
      </c>
      <c r="CG105" s="32">
        <f t="shared" si="271"/>
        <v>0.18755547632739622</v>
      </c>
      <c r="CH105" s="32"/>
    </row>
    <row r="106" spans="1:86">
      <c r="B106" s="32" t="s">
        <v>765</v>
      </c>
      <c r="C106" s="32">
        <f t="shared" ref="C106:AH106" si="272">(C$40/(C$10^2))*((PI()^2)/4)*(C14*100/C$39)*(((SIN(C$36))^2)/((C$5+C$11*C$6)/C$11)^2)</f>
        <v>0.12503698421826412</v>
      </c>
      <c r="D106" s="32">
        <f t="shared" si="272"/>
        <v>0.12503698421826412</v>
      </c>
      <c r="E106" s="32">
        <f t="shared" si="272"/>
        <v>0.12503698421826412</v>
      </c>
      <c r="F106" s="32">
        <f t="shared" si="272"/>
        <v>0.12503698421826412</v>
      </c>
      <c r="G106" s="32">
        <f t="shared" si="272"/>
        <v>0.12503698421826412</v>
      </c>
      <c r="H106" s="32">
        <f t="shared" si="272"/>
        <v>0.12503698421826412</v>
      </c>
      <c r="I106" s="32">
        <f t="shared" si="272"/>
        <v>0.12503698421826412</v>
      </c>
      <c r="J106" s="32">
        <f t="shared" si="272"/>
        <v>0.12503698421826412</v>
      </c>
      <c r="K106" s="32">
        <f t="shared" si="272"/>
        <v>0.12503698421826412</v>
      </c>
      <c r="L106" s="32">
        <f t="shared" si="272"/>
        <v>0.12503698421826412</v>
      </c>
      <c r="M106" s="32">
        <f t="shared" si="272"/>
        <v>0.12503698421826412</v>
      </c>
      <c r="N106" s="32">
        <f t="shared" si="272"/>
        <v>0.12503698421826412</v>
      </c>
      <c r="O106" s="32">
        <f t="shared" si="272"/>
        <v>0.12503698421826412</v>
      </c>
      <c r="P106" s="32">
        <f t="shared" si="272"/>
        <v>0.12503698421826412</v>
      </c>
      <c r="Q106" s="32">
        <f t="shared" si="272"/>
        <v>0.12503698421826412</v>
      </c>
      <c r="R106" s="32">
        <f t="shared" si="272"/>
        <v>0.12503698421826412</v>
      </c>
      <c r="S106" s="32">
        <f t="shared" si="272"/>
        <v>0.12503698421826412</v>
      </c>
      <c r="T106" s="32">
        <f t="shared" si="272"/>
        <v>0.12503698421826412</v>
      </c>
      <c r="U106" s="32">
        <f t="shared" si="272"/>
        <v>0.12503698421826412</v>
      </c>
      <c r="V106" s="32">
        <f t="shared" si="272"/>
        <v>0.12503698421826412</v>
      </c>
      <c r="W106" s="32">
        <f t="shared" si="272"/>
        <v>0.12503698421826412</v>
      </c>
      <c r="X106" s="32">
        <f t="shared" si="272"/>
        <v>0.12503698421826412</v>
      </c>
      <c r="Y106" s="32">
        <f t="shared" si="272"/>
        <v>0.12503698421826412</v>
      </c>
      <c r="Z106" s="32">
        <f t="shared" si="272"/>
        <v>0.12503698421826412</v>
      </c>
      <c r="AA106" s="32">
        <f t="shared" si="272"/>
        <v>0.12503698421826412</v>
      </c>
      <c r="AB106" s="32">
        <f t="shared" si="272"/>
        <v>0.12503698421826412</v>
      </c>
      <c r="AC106" s="32">
        <f t="shared" si="272"/>
        <v>0.12503698421826412</v>
      </c>
      <c r="AD106" s="32">
        <f t="shared" si="272"/>
        <v>0.12503698421826412</v>
      </c>
      <c r="AE106" s="32">
        <f t="shared" si="272"/>
        <v>0.12503698421826412</v>
      </c>
      <c r="AF106" s="32">
        <f t="shared" si="272"/>
        <v>0.12503698421826412</v>
      </c>
      <c r="AG106" s="32">
        <f t="shared" si="272"/>
        <v>0.12503698421826412</v>
      </c>
      <c r="AH106" s="32">
        <f t="shared" si="272"/>
        <v>0.12503698421826412</v>
      </c>
      <c r="AI106" s="32">
        <f t="shared" ref="AI106:BN106" si="273">(AI$40/(AI$10^2))*((PI()^2)/4)*(AI14*100/AI$39)*(((SIN(AI$36))^2)/((AI$5+AI$11*AI$6)/AI$11)^2)</f>
        <v>0.12503698421826412</v>
      </c>
      <c r="AJ106" s="32">
        <f t="shared" si="273"/>
        <v>0.12503698421826412</v>
      </c>
      <c r="AK106" s="32">
        <f t="shared" si="273"/>
        <v>0.12503698421826412</v>
      </c>
      <c r="AL106" s="32">
        <f t="shared" si="273"/>
        <v>0.12503698421826412</v>
      </c>
      <c r="AM106" s="32">
        <f t="shared" si="273"/>
        <v>0.12503698421826412</v>
      </c>
      <c r="AN106" s="32">
        <f t="shared" si="273"/>
        <v>0.12503698421826412</v>
      </c>
      <c r="AO106" s="32">
        <f t="shared" si="273"/>
        <v>0.12503698421826412</v>
      </c>
      <c r="AP106" s="32">
        <f t="shared" si="273"/>
        <v>0.12503698421826412</v>
      </c>
      <c r="AQ106" s="32">
        <f t="shared" si="273"/>
        <v>0.12503698421826412</v>
      </c>
      <c r="AR106" s="32">
        <f t="shared" si="273"/>
        <v>0.12503698421826412</v>
      </c>
      <c r="AS106" s="32">
        <f t="shared" si="273"/>
        <v>0.12503698421826412</v>
      </c>
      <c r="AT106" s="32">
        <f t="shared" si="273"/>
        <v>0.12503698421826412</v>
      </c>
      <c r="AU106" s="32">
        <f t="shared" si="273"/>
        <v>0.12503698421826412</v>
      </c>
      <c r="AV106" s="32">
        <f t="shared" si="273"/>
        <v>0.12503698421826412</v>
      </c>
      <c r="AW106" s="32">
        <f t="shared" si="273"/>
        <v>0.12503698421826412</v>
      </c>
      <c r="AX106" s="32">
        <f t="shared" si="273"/>
        <v>0.12503698421826412</v>
      </c>
      <c r="AY106" s="32">
        <f t="shared" si="273"/>
        <v>0.12503698421826412</v>
      </c>
      <c r="AZ106" s="32">
        <f t="shared" si="273"/>
        <v>0.12503698421826412</v>
      </c>
      <c r="BA106" s="32">
        <f t="shared" si="273"/>
        <v>0.12503698421826412</v>
      </c>
      <c r="BB106" s="32">
        <f t="shared" si="273"/>
        <v>0.12503698421826412</v>
      </c>
      <c r="BC106" s="32">
        <f t="shared" si="273"/>
        <v>0.12503698421826412</v>
      </c>
      <c r="BD106" s="32">
        <f t="shared" si="273"/>
        <v>0.12503698421826412</v>
      </c>
      <c r="BE106" s="32">
        <f t="shared" si="273"/>
        <v>0.12503698421826412</v>
      </c>
      <c r="BF106" s="32">
        <f t="shared" si="273"/>
        <v>0.12503698421826412</v>
      </c>
      <c r="BG106" s="32">
        <f t="shared" si="273"/>
        <v>0.12503698421826412</v>
      </c>
      <c r="BH106" s="32">
        <f t="shared" si="273"/>
        <v>0.12503698421826412</v>
      </c>
      <c r="BI106" s="32">
        <f t="shared" si="273"/>
        <v>0.12503698421826412</v>
      </c>
      <c r="BJ106" s="32">
        <f t="shared" si="273"/>
        <v>0.12503698421826412</v>
      </c>
      <c r="BK106" s="32">
        <f t="shared" si="273"/>
        <v>0.12503698421826412</v>
      </c>
      <c r="BL106" s="32">
        <f t="shared" si="273"/>
        <v>0.12503698421826412</v>
      </c>
      <c r="BM106" s="32">
        <f t="shared" si="273"/>
        <v>0.12503698421826412</v>
      </c>
      <c r="BN106" s="32">
        <f t="shared" si="273"/>
        <v>0.12503698421826412</v>
      </c>
      <c r="BO106" s="32">
        <f t="shared" ref="BO106:CG106" si="274">(BO$40/(BO$10^2))*((PI()^2)/4)*(BO14*100/BO$39)*(((SIN(BO$36))^2)/((BO$5+BO$11*BO$6)/BO$11)^2)</f>
        <v>0.12503698421826412</v>
      </c>
      <c r="BP106" s="32">
        <f t="shared" si="274"/>
        <v>0.12503698421826412</v>
      </c>
      <c r="BQ106" s="32">
        <f t="shared" si="274"/>
        <v>0.12503698421826412</v>
      </c>
      <c r="BR106" s="32">
        <f t="shared" si="274"/>
        <v>0.12503698421826412</v>
      </c>
      <c r="BS106" s="32">
        <f t="shared" si="274"/>
        <v>0.12503698421826412</v>
      </c>
      <c r="BT106" s="32">
        <f t="shared" si="274"/>
        <v>0.12503698421826412</v>
      </c>
      <c r="BU106" s="32">
        <f t="shared" si="274"/>
        <v>0.12503698421826412</v>
      </c>
      <c r="BV106" s="32">
        <f t="shared" si="274"/>
        <v>0.12503698421826412</v>
      </c>
      <c r="BW106" s="32">
        <f t="shared" si="274"/>
        <v>0.12503698421826412</v>
      </c>
      <c r="BX106" s="32">
        <f t="shared" si="274"/>
        <v>0.12503698421826412</v>
      </c>
      <c r="BY106" s="32">
        <f t="shared" si="274"/>
        <v>0.12503698421826412</v>
      </c>
      <c r="BZ106" s="32">
        <f t="shared" si="274"/>
        <v>0.12503698421826412</v>
      </c>
      <c r="CA106" s="32">
        <f t="shared" si="274"/>
        <v>0.12503698421826412</v>
      </c>
      <c r="CB106" s="32">
        <f t="shared" si="274"/>
        <v>0.12503698421826412</v>
      </c>
      <c r="CC106" s="32">
        <f t="shared" si="274"/>
        <v>0.12503698421826412</v>
      </c>
      <c r="CD106" s="32">
        <f t="shared" si="274"/>
        <v>0.12503698421826412</v>
      </c>
      <c r="CE106" s="32">
        <f t="shared" si="274"/>
        <v>0.12503698421826412</v>
      </c>
      <c r="CF106" s="32">
        <f t="shared" si="274"/>
        <v>0.12503698421826412</v>
      </c>
      <c r="CG106" s="32">
        <f t="shared" si="274"/>
        <v>0.12503698421826412</v>
      </c>
      <c r="CH106" s="32"/>
    </row>
    <row r="107" spans="1:86">
      <c r="B107" s="32" t="s">
        <v>766</v>
      </c>
      <c r="C107" s="32">
        <f t="shared" ref="C107:AH107" si="275">(C$40/(C$10^2))*((PI()^2)/4)*(C15*100/C$39)*(((SIN(C$36))^2)/((C$5+C$11*C$6)/C$11)^2)</f>
        <v>6.2518492109132059E-2</v>
      </c>
      <c r="D107" s="32">
        <f t="shared" si="275"/>
        <v>6.2518492109132059E-2</v>
      </c>
      <c r="E107" s="32">
        <f t="shared" si="275"/>
        <v>6.2518492109132059E-2</v>
      </c>
      <c r="F107" s="32">
        <f t="shared" si="275"/>
        <v>6.2518492109132059E-2</v>
      </c>
      <c r="G107" s="32">
        <f t="shared" si="275"/>
        <v>6.2518492109132059E-2</v>
      </c>
      <c r="H107" s="32">
        <f t="shared" si="275"/>
        <v>6.2518492109132059E-2</v>
      </c>
      <c r="I107" s="32">
        <f t="shared" si="275"/>
        <v>6.2518492109132059E-2</v>
      </c>
      <c r="J107" s="32">
        <f t="shared" si="275"/>
        <v>6.2518492109132059E-2</v>
      </c>
      <c r="K107" s="32">
        <f t="shared" si="275"/>
        <v>6.2518492109132059E-2</v>
      </c>
      <c r="L107" s="32">
        <f t="shared" si="275"/>
        <v>6.2518492109132059E-2</v>
      </c>
      <c r="M107" s="32">
        <f t="shared" si="275"/>
        <v>6.2518492109132059E-2</v>
      </c>
      <c r="N107" s="32">
        <f t="shared" si="275"/>
        <v>6.2518492109132059E-2</v>
      </c>
      <c r="O107" s="32">
        <f t="shared" si="275"/>
        <v>6.2518492109132059E-2</v>
      </c>
      <c r="P107" s="32">
        <f t="shared" si="275"/>
        <v>6.2518492109132059E-2</v>
      </c>
      <c r="Q107" s="32">
        <f t="shared" si="275"/>
        <v>6.2518492109132059E-2</v>
      </c>
      <c r="R107" s="32">
        <f t="shared" si="275"/>
        <v>6.2518492109132059E-2</v>
      </c>
      <c r="S107" s="32">
        <f t="shared" si="275"/>
        <v>6.2518492109132059E-2</v>
      </c>
      <c r="T107" s="32">
        <f t="shared" si="275"/>
        <v>6.2518492109132059E-2</v>
      </c>
      <c r="U107" s="32">
        <f t="shared" si="275"/>
        <v>6.2518492109132059E-2</v>
      </c>
      <c r="V107" s="32">
        <f t="shared" si="275"/>
        <v>6.2518492109132059E-2</v>
      </c>
      <c r="W107" s="32">
        <f t="shared" si="275"/>
        <v>6.2518492109132059E-2</v>
      </c>
      <c r="X107" s="32">
        <f t="shared" si="275"/>
        <v>6.2518492109132059E-2</v>
      </c>
      <c r="Y107" s="32">
        <f t="shared" si="275"/>
        <v>6.2518492109132059E-2</v>
      </c>
      <c r="Z107" s="32">
        <f t="shared" si="275"/>
        <v>6.2518492109132059E-2</v>
      </c>
      <c r="AA107" s="32">
        <f t="shared" si="275"/>
        <v>6.2518492109132059E-2</v>
      </c>
      <c r="AB107" s="32">
        <f t="shared" si="275"/>
        <v>6.2518492109132059E-2</v>
      </c>
      <c r="AC107" s="32">
        <f t="shared" si="275"/>
        <v>6.2518492109132059E-2</v>
      </c>
      <c r="AD107" s="32">
        <f t="shared" si="275"/>
        <v>6.2518492109132059E-2</v>
      </c>
      <c r="AE107" s="32">
        <f t="shared" si="275"/>
        <v>6.2518492109132059E-2</v>
      </c>
      <c r="AF107" s="32">
        <f t="shared" si="275"/>
        <v>6.2518492109132059E-2</v>
      </c>
      <c r="AG107" s="32">
        <f t="shared" si="275"/>
        <v>6.2518492109132059E-2</v>
      </c>
      <c r="AH107" s="32">
        <f t="shared" si="275"/>
        <v>6.2518492109132059E-2</v>
      </c>
      <c r="AI107" s="32">
        <f t="shared" ref="AI107:BN107" si="276">(AI$40/(AI$10^2))*((PI()^2)/4)*(AI15*100/AI$39)*(((SIN(AI$36))^2)/((AI$5+AI$11*AI$6)/AI$11)^2)</f>
        <v>6.2518492109132059E-2</v>
      </c>
      <c r="AJ107" s="32">
        <f t="shared" si="276"/>
        <v>6.2518492109132059E-2</v>
      </c>
      <c r="AK107" s="32">
        <f t="shared" si="276"/>
        <v>6.2518492109132059E-2</v>
      </c>
      <c r="AL107" s="32">
        <f t="shared" si="276"/>
        <v>6.2518492109132059E-2</v>
      </c>
      <c r="AM107" s="32">
        <f t="shared" si="276"/>
        <v>6.2518492109132059E-2</v>
      </c>
      <c r="AN107" s="32">
        <f t="shared" si="276"/>
        <v>6.2518492109132059E-2</v>
      </c>
      <c r="AO107" s="32">
        <f t="shared" si="276"/>
        <v>6.2518492109132059E-2</v>
      </c>
      <c r="AP107" s="32">
        <f t="shared" si="276"/>
        <v>6.2518492109132059E-2</v>
      </c>
      <c r="AQ107" s="32">
        <f t="shared" si="276"/>
        <v>6.2518492109132059E-2</v>
      </c>
      <c r="AR107" s="32">
        <f t="shared" si="276"/>
        <v>6.2518492109132059E-2</v>
      </c>
      <c r="AS107" s="32">
        <f t="shared" si="276"/>
        <v>6.2518492109132059E-2</v>
      </c>
      <c r="AT107" s="32">
        <f t="shared" si="276"/>
        <v>6.2518492109132059E-2</v>
      </c>
      <c r="AU107" s="32">
        <f t="shared" si="276"/>
        <v>6.2518492109132059E-2</v>
      </c>
      <c r="AV107" s="32">
        <f t="shared" si="276"/>
        <v>6.2518492109132059E-2</v>
      </c>
      <c r="AW107" s="32">
        <f t="shared" si="276"/>
        <v>6.2518492109132059E-2</v>
      </c>
      <c r="AX107" s="32">
        <f t="shared" si="276"/>
        <v>6.2518492109132059E-2</v>
      </c>
      <c r="AY107" s="32">
        <f t="shared" si="276"/>
        <v>6.2518492109132059E-2</v>
      </c>
      <c r="AZ107" s="32">
        <f t="shared" si="276"/>
        <v>6.2518492109132059E-2</v>
      </c>
      <c r="BA107" s="32">
        <f t="shared" si="276"/>
        <v>6.2518492109132059E-2</v>
      </c>
      <c r="BB107" s="32">
        <f t="shared" si="276"/>
        <v>6.2518492109132059E-2</v>
      </c>
      <c r="BC107" s="32">
        <f t="shared" si="276"/>
        <v>6.2518492109132059E-2</v>
      </c>
      <c r="BD107" s="32">
        <f t="shared" si="276"/>
        <v>6.2518492109132059E-2</v>
      </c>
      <c r="BE107" s="32">
        <f t="shared" si="276"/>
        <v>6.2518492109132059E-2</v>
      </c>
      <c r="BF107" s="32">
        <f t="shared" si="276"/>
        <v>6.2518492109132059E-2</v>
      </c>
      <c r="BG107" s="32">
        <f t="shared" si="276"/>
        <v>6.2518492109132059E-2</v>
      </c>
      <c r="BH107" s="32">
        <f t="shared" si="276"/>
        <v>6.2518492109132059E-2</v>
      </c>
      <c r="BI107" s="32">
        <f t="shared" si="276"/>
        <v>6.2518492109132059E-2</v>
      </c>
      <c r="BJ107" s="32">
        <f t="shared" si="276"/>
        <v>6.2518492109132059E-2</v>
      </c>
      <c r="BK107" s="32">
        <f t="shared" si="276"/>
        <v>6.2518492109132059E-2</v>
      </c>
      <c r="BL107" s="32">
        <f t="shared" si="276"/>
        <v>6.2518492109132059E-2</v>
      </c>
      <c r="BM107" s="32">
        <f t="shared" si="276"/>
        <v>6.2518492109132059E-2</v>
      </c>
      <c r="BN107" s="32">
        <f t="shared" si="276"/>
        <v>6.2518492109132059E-2</v>
      </c>
      <c r="BO107" s="32">
        <f t="shared" ref="BO107:CG107" si="277">(BO$40/(BO$10^2))*((PI()^2)/4)*(BO15*100/BO$39)*(((SIN(BO$36))^2)/((BO$5+BO$11*BO$6)/BO$11)^2)</f>
        <v>6.2518492109132059E-2</v>
      </c>
      <c r="BP107" s="32">
        <f t="shared" si="277"/>
        <v>6.2518492109132059E-2</v>
      </c>
      <c r="BQ107" s="32">
        <f t="shared" si="277"/>
        <v>6.2518492109132059E-2</v>
      </c>
      <c r="BR107" s="32">
        <f t="shared" si="277"/>
        <v>6.2518492109132059E-2</v>
      </c>
      <c r="BS107" s="32">
        <f t="shared" si="277"/>
        <v>6.2518492109132059E-2</v>
      </c>
      <c r="BT107" s="32">
        <f t="shared" si="277"/>
        <v>6.2518492109132059E-2</v>
      </c>
      <c r="BU107" s="32">
        <f t="shared" si="277"/>
        <v>6.2518492109132059E-2</v>
      </c>
      <c r="BV107" s="32">
        <f t="shared" si="277"/>
        <v>6.2518492109132059E-2</v>
      </c>
      <c r="BW107" s="32">
        <f t="shared" si="277"/>
        <v>6.2518492109132059E-2</v>
      </c>
      <c r="BX107" s="32">
        <f t="shared" si="277"/>
        <v>6.2518492109132059E-2</v>
      </c>
      <c r="BY107" s="32">
        <f t="shared" si="277"/>
        <v>6.2518492109132059E-2</v>
      </c>
      <c r="BZ107" s="32">
        <f t="shared" si="277"/>
        <v>6.2518492109132059E-2</v>
      </c>
      <c r="CA107" s="32">
        <f t="shared" si="277"/>
        <v>6.2518492109132059E-2</v>
      </c>
      <c r="CB107" s="32">
        <f t="shared" si="277"/>
        <v>6.2518492109132059E-2</v>
      </c>
      <c r="CC107" s="32">
        <f t="shared" si="277"/>
        <v>6.2518492109132059E-2</v>
      </c>
      <c r="CD107" s="32">
        <f t="shared" si="277"/>
        <v>6.2518492109132059E-2</v>
      </c>
      <c r="CE107" s="32">
        <f t="shared" si="277"/>
        <v>6.2518492109132059E-2</v>
      </c>
      <c r="CF107" s="32">
        <f t="shared" si="277"/>
        <v>6.2518492109132059E-2</v>
      </c>
      <c r="CG107" s="32">
        <f t="shared" si="277"/>
        <v>6.2518492109132059E-2</v>
      </c>
      <c r="CH107" s="32"/>
    </row>
    <row r="108" spans="1:86">
      <c r="B108" s="32" t="s">
        <v>767</v>
      </c>
      <c r="C108" s="32">
        <f>1/((1+(C$23*(1-(1/(C$25^2)))))^2+(C104*(C$25-(1/C$25)))^2)^0.5</f>
        <v>2.1818182479920704E-8</v>
      </c>
      <c r="D108" s="32">
        <f t="shared" ref="D108:BO108" si="278">1/((1+(D$23*(1-(1/(D$25^2)))))^2+(D104*(D$25-(1/D$25)))^2)^0.5</f>
        <v>1.2885285829841006E-3</v>
      </c>
      <c r="E108" s="32">
        <f t="shared" si="278"/>
        <v>3.2950119481721194E-3</v>
      </c>
      <c r="F108" s="32">
        <f t="shared" si="278"/>
        <v>6.2440144033623097E-3</v>
      </c>
      <c r="G108" s="32">
        <f t="shared" si="278"/>
        <v>1.0158553191859945E-2</v>
      </c>
      <c r="H108" s="32">
        <f t="shared" si="278"/>
        <v>1.5069602622699301E-2</v>
      </c>
      <c r="I108" s="32">
        <f t="shared" si="278"/>
        <v>2.1016704876682134E-2</v>
      </c>
      <c r="J108" s="32">
        <f t="shared" si="278"/>
        <v>2.8048768388947723E-2</v>
      </c>
      <c r="K108" s="32">
        <f t="shared" si="278"/>
        <v>3.6225083729408088E-2</v>
      </c>
      <c r="L108" s="32">
        <f t="shared" si="278"/>
        <v>4.5616596356075428E-2</v>
      </c>
      <c r="M108" s="32">
        <f t="shared" si="278"/>
        <v>5.6307487501055131E-2</v>
      </c>
      <c r="N108" s="32">
        <f t="shared" si="278"/>
        <v>6.83971296301875E-2</v>
      </c>
      <c r="O108" s="32">
        <f t="shared" si="278"/>
        <v>8.2002502564154742E-2</v>
      </c>
      <c r="P108" s="32">
        <f t="shared" si="278"/>
        <v>9.7261182059277002E-2</v>
      </c>
      <c r="Q108" s="32">
        <f t="shared" si="278"/>
        <v>0.11433504662530793</v>
      </c>
      <c r="R108" s="32">
        <f t="shared" si="278"/>
        <v>0.13341489367348136</v>
      </c>
      <c r="S108" s="32">
        <f t="shared" si="278"/>
        <v>0.15472621704054584</v>
      </c>
      <c r="T108" s="32">
        <f t="shared" si="278"/>
        <v>0.17853648058534624</v>
      </c>
      <c r="U108" s="32">
        <f t="shared" si="278"/>
        <v>0.20516433548851423</v>
      </c>
      <c r="V108" s="32">
        <f t="shared" si="278"/>
        <v>0.23499138428974772</v>
      </c>
      <c r="W108" s="32">
        <f t="shared" si="278"/>
        <v>0.26847730985236462</v>
      </c>
      <c r="X108" s="32">
        <f t="shared" si="278"/>
        <v>0.30617948669159406</v>
      </c>
      <c r="Y108" s="32">
        <f t="shared" si="278"/>
        <v>0.34877860915110864</v>
      </c>
      <c r="Z108" s="32">
        <f t="shared" si="278"/>
        <v>0.39711245078414564</v>
      </c>
      <c r="AA108" s="32">
        <f t="shared" si="278"/>
        <v>0.45222066752110879</v>
      </c>
      <c r="AB108" s="32">
        <f t="shared" si="278"/>
        <v>0.51540462938092035</v>
      </c>
      <c r="AC108" s="32">
        <f t="shared" si="278"/>
        <v>0.58830762840615813</v>
      </c>
      <c r="AD108" s="32">
        <f t="shared" si="278"/>
        <v>0.67302232488870162</v>
      </c>
      <c r="AE108" s="32">
        <f t="shared" si="278"/>
        <v>0.77223333712321429</v>
      </c>
      <c r="AF108" s="32">
        <f t="shared" si="278"/>
        <v>0.88940146434470002</v>
      </c>
      <c r="AG108" s="32">
        <f t="shared" si="278"/>
        <v>1.0289864824494521</v>
      </c>
      <c r="AH108" s="32">
        <f t="shared" si="278"/>
        <v>1.1966724314094623</v>
      </c>
      <c r="AI108" s="32">
        <f t="shared" si="278"/>
        <v>1.3994632574174968</v>
      </c>
      <c r="AJ108" s="32">
        <f t="shared" si="278"/>
        <v>1.6452628496952006</v>
      </c>
      <c r="AK108" s="32">
        <f t="shared" si="278"/>
        <v>1.9409529095430136</v>
      </c>
      <c r="AL108" s="32">
        <f t="shared" si="278"/>
        <v>2.286856711332343</v>
      </c>
      <c r="AM108" s="32">
        <f t="shared" si="278"/>
        <v>2.664689739148864</v>
      </c>
      <c r="AN108" s="32">
        <f t="shared" si="278"/>
        <v>3.0210297534050943</v>
      </c>
      <c r="AO108" s="32">
        <f t="shared" si="278"/>
        <v>3.2681466330811526</v>
      </c>
      <c r="AP108" s="32">
        <f t="shared" si="278"/>
        <v>3.3110252196145522</v>
      </c>
      <c r="AQ108" s="32">
        <f t="shared" si="278"/>
        <v>3.3156909367168934</v>
      </c>
      <c r="AR108" s="32">
        <f t="shared" si="278"/>
        <v>3.165485129035889</v>
      </c>
      <c r="AS108" s="32">
        <f t="shared" si="278"/>
        <v>2.9379147301897302</v>
      </c>
      <c r="AT108" s="32">
        <f t="shared" si="278"/>
        <v>2.6956469422014004</v>
      </c>
      <c r="AU108" s="32">
        <f t="shared" si="278"/>
        <v>2.4705166769883413</v>
      </c>
      <c r="AV108" s="32">
        <f t="shared" si="278"/>
        <v>2.2731978578150067</v>
      </c>
      <c r="AW108" s="32">
        <f t="shared" si="278"/>
        <v>2.1043137440172504</v>
      </c>
      <c r="AX108" s="32">
        <f t="shared" si="278"/>
        <v>1.9607997258777867</v>
      </c>
      <c r="AY108" s="32">
        <f t="shared" si="278"/>
        <v>1.8387414801727384</v>
      </c>
      <c r="AZ108" s="32">
        <f t="shared" si="278"/>
        <v>1.7344475901781762</v>
      </c>
      <c r="BA108" s="32">
        <f t="shared" si="278"/>
        <v>1.6447671953798582</v>
      </c>
      <c r="BB108" s="32">
        <f t="shared" si="278"/>
        <v>1.5671176092543677</v>
      </c>
      <c r="BC108" s="32">
        <f t="shared" si="278"/>
        <v>1.4994159312519777</v>
      </c>
      <c r="BD108" s="32">
        <f t="shared" si="278"/>
        <v>1.4399901776491046</v>
      </c>
      <c r="BE108" s="32">
        <f t="shared" si="278"/>
        <v>1.3874966034904137</v>
      </c>
      <c r="BF108" s="32">
        <f t="shared" si="278"/>
        <v>1.3408506390314692</v>
      </c>
      <c r="BG108" s="32">
        <f t="shared" si="278"/>
        <v>1.2991717638123261</v>
      </c>
      <c r="BH108" s="32">
        <f t="shared" si="278"/>
        <v>1.2617403838170929</v>
      </c>
      <c r="BI108" s="32">
        <f t="shared" si="278"/>
        <v>1.2279643637936826</v>
      </c>
      <c r="BJ108" s="32">
        <f t="shared" si="278"/>
        <v>1.1973530893088902</v>
      </c>
      <c r="BK108" s="32">
        <f t="shared" si="278"/>
        <v>1.1694973196907215</v>
      </c>
      <c r="BL108" s="32">
        <f t="shared" si="278"/>
        <v>1.1440534718277999</v>
      </c>
      <c r="BM108" s="32">
        <f t="shared" si="278"/>
        <v>1.1207312935183062</v>
      </c>
      <c r="BN108" s="32">
        <f t="shared" si="278"/>
        <v>1.0992841366401696</v>
      </c>
      <c r="BO108" s="32">
        <f t="shared" si="278"/>
        <v>1.0795012330280616</v>
      </c>
      <c r="BP108" s="32">
        <f t="shared" ref="BP108:CG108" si="279">1/((1+(BP$23*(1-(1/(BP$25^2)))))^2+(BP104*(BP$25-(1/BP$25)))^2)^0.5</f>
        <v>1.0612015212514392</v>
      </c>
      <c r="BQ108" s="32">
        <f t="shared" si="279"/>
        <v>1.0442286814174895</v>
      </c>
      <c r="BR108" s="32">
        <f t="shared" si="279"/>
        <v>1.028447116660097</v>
      </c>
      <c r="BS108" s="32">
        <f t="shared" si="279"/>
        <v>1.0137386810967635</v>
      </c>
      <c r="BT108" s="32">
        <f t="shared" si="279"/>
        <v>1</v>
      </c>
      <c r="BU108" s="32">
        <f t="shared" si="279"/>
        <v>0.96740297287939647</v>
      </c>
      <c r="BV108" s="32">
        <f t="shared" si="279"/>
        <v>0.9397179046098656</v>
      </c>
      <c r="BW108" s="32">
        <f t="shared" si="279"/>
        <v>0.91592461846307416</v>
      </c>
      <c r="BX108" s="32">
        <f t="shared" si="279"/>
        <v>0.89526144065932423</v>
      </c>
      <c r="BY108" s="32">
        <f t="shared" si="279"/>
        <v>0.87714892036287673</v>
      </c>
      <c r="BZ108" s="32">
        <f t="shared" si="279"/>
        <v>0.86113889543855549</v>
      </c>
      <c r="CA108" s="32">
        <f t="shared" si="279"/>
        <v>0.84687964305359276</v>
      </c>
      <c r="CB108" s="32">
        <f t="shared" si="279"/>
        <v>0.83409151190731656</v>
      </c>
      <c r="CC108" s="32">
        <f t="shared" si="279"/>
        <v>0.82254954889244947</v>
      </c>
      <c r="CD108" s="32">
        <f t="shared" si="279"/>
        <v>0.81207089395729926</v>
      </c>
      <c r="CE108" s="32">
        <f t="shared" si="279"/>
        <v>0.80250548884949624</v>
      </c>
      <c r="CF108" s="32">
        <f t="shared" si="279"/>
        <v>0.79372912964468822</v>
      </c>
      <c r="CG108" s="32">
        <f t="shared" si="279"/>
        <v>0.78563820355372038</v>
      </c>
      <c r="CH108" s="32"/>
    </row>
    <row r="109" spans="1:86">
      <c r="B109" s="32" t="s">
        <v>768</v>
      </c>
      <c r="C109" s="32">
        <f t="shared" ref="C109:BN109" si="280">1/((1+(C$23*(1-(1/(C$25^2)))))^2+(C105*(C$25-(1/C$25)))^2)^0.5</f>
        <v>2.1818182494128961E-8</v>
      </c>
      <c r="D109" s="32">
        <f t="shared" si="280"/>
        <v>1.288578171574027E-3</v>
      </c>
      <c r="E109" s="32">
        <f t="shared" si="280"/>
        <v>3.2953365564165381E-3</v>
      </c>
      <c r="F109" s="32">
        <f t="shared" si="280"/>
        <v>6.2451818527583169E-3</v>
      </c>
      <c r="G109" s="32">
        <f t="shared" si="280"/>
        <v>1.0161649593314151E-2</v>
      </c>
      <c r="H109" s="32">
        <f t="shared" si="280"/>
        <v>1.5076433975065679E-2</v>
      </c>
      <c r="I109" s="32">
        <f t="shared" si="280"/>
        <v>2.1030033274098695E-2</v>
      </c>
      <c r="J109" s="32">
        <f t="shared" si="280"/>
        <v>2.8072595420429815E-2</v>
      </c>
      <c r="K109" s="32">
        <f t="shared" si="280"/>
        <v>3.6264996999625973E-2</v>
      </c>
      <c r="L109" s="32">
        <f t="shared" si="280"/>
        <v>4.5680199715147266E-2</v>
      </c>
      <c r="M109" s="32">
        <f t="shared" si="280"/>
        <v>5.640494203549281E-2</v>
      </c>
      <c r="N109" s="32">
        <f t="shared" si="280"/>
        <v>6.854184145450834E-2</v>
      </c>
      <c r="O109" s="32">
        <f t="shared" si="280"/>
        <v>8.2212006016100361E-2</v>
      </c>
      <c r="P109" s="32">
        <f t="shared" si="280"/>
        <v>9.7558284599454398E-2</v>
      </c>
      <c r="Q109" s="32">
        <f t="shared" si="280"/>
        <v>0.11474932690509751</v>
      </c>
      <c r="R109" s="32">
        <f t="shared" si="280"/>
        <v>0.13398468039047992</v>
      </c>
      <c r="S109" s="32">
        <f t="shared" si="280"/>
        <v>0.15550122875600239</v>
      </c>
      <c r="T109" s="32">
        <f t="shared" si="280"/>
        <v>0.17958138403859605</v>
      </c>
      <c r="U109" s="32">
        <f t="shared" si="280"/>
        <v>0.20656359537070312</v>
      </c>
      <c r="V109" s="32">
        <f t="shared" si="280"/>
        <v>0.23685595218794511</v>
      </c>
      <c r="W109" s="32">
        <f t="shared" si="280"/>
        <v>0.27095396878595501</v>
      </c>
      <c r="X109" s="32">
        <f t="shared" si="280"/>
        <v>0.30946408779780116</v>
      </c>
      <c r="Y109" s="32">
        <f t="shared" si="280"/>
        <v>0.35313510574261586</v>
      </c>
      <c r="Z109" s="32">
        <f t="shared" si="280"/>
        <v>0.40290071951848322</v>
      </c>
      <c r="AA109" s="32">
        <f t="shared" si="280"/>
        <v>0.45993790091907139</v>
      </c>
      <c r="AB109" s="32">
        <f t="shared" si="280"/>
        <v>0.52574811603441041</v>
      </c>
      <c r="AC109" s="32">
        <f t="shared" si="280"/>
        <v>0.60227197223209405</v>
      </c>
      <c r="AD109" s="32">
        <f t="shared" si="280"/>
        <v>0.69205339033255242</v>
      </c>
      <c r="AE109" s="32">
        <f t="shared" si="280"/>
        <v>0.79847783432444808</v>
      </c>
      <c r="AF109" s="32">
        <f t="shared" si="280"/>
        <v>0.92612151818432153</v>
      </c>
      <c r="AG109" s="32">
        <f t="shared" si="280"/>
        <v>1.0812646200199973</v>
      </c>
      <c r="AH109" s="32">
        <f t="shared" si="280"/>
        <v>1.2726343216532146</v>
      </c>
      <c r="AI109" s="32">
        <f t="shared" si="280"/>
        <v>1.5124180898398729</v>
      </c>
      <c r="AJ109" s="32">
        <f t="shared" si="280"/>
        <v>1.8173855912326224</v>
      </c>
      <c r="AK109" s="32">
        <f t="shared" si="280"/>
        <v>2.2090801713925834</v>
      </c>
      <c r="AL109" s="32">
        <f t="shared" si="280"/>
        <v>2.7089090039799784</v>
      </c>
      <c r="AM109" s="32">
        <f t="shared" si="280"/>
        <v>3.3153045546675202</v>
      </c>
      <c r="AN109" s="32">
        <f t="shared" si="280"/>
        <v>3.9416922154280147</v>
      </c>
      <c r="AO109" s="32">
        <f t="shared" si="280"/>
        <v>4.357523942376635</v>
      </c>
      <c r="AP109" s="32">
        <f t="shared" si="280"/>
        <v>4.4041940885742372</v>
      </c>
      <c r="AQ109" s="32">
        <f t="shared" si="280"/>
        <v>4.2612033432527046</v>
      </c>
      <c r="AR109" s="32">
        <f t="shared" si="280"/>
        <v>3.8527942441394005</v>
      </c>
      <c r="AS109" s="32">
        <f t="shared" si="280"/>
        <v>3.3982236476184218</v>
      </c>
      <c r="AT109" s="32">
        <f t="shared" si="280"/>
        <v>2.9979567124083721</v>
      </c>
      <c r="AU109" s="32">
        <f t="shared" si="280"/>
        <v>2.6711570417583141</v>
      </c>
      <c r="AV109" s="32">
        <f t="shared" si="280"/>
        <v>2.4092786879197372</v>
      </c>
      <c r="AW109" s="32">
        <f t="shared" si="280"/>
        <v>2.1988449901644733</v>
      </c>
      <c r="AX109" s="32">
        <f t="shared" si="280"/>
        <v>2.0279628274312711</v>
      </c>
      <c r="AY109" s="32">
        <f t="shared" si="280"/>
        <v>1.8874111529356545</v>
      </c>
      <c r="AZ109" s="32">
        <f t="shared" si="280"/>
        <v>1.7703076368044173</v>
      </c>
      <c r="BA109" s="32">
        <f t="shared" si="280"/>
        <v>1.671550850643214</v>
      </c>
      <c r="BB109" s="32">
        <f t="shared" si="280"/>
        <v>1.5873385715548483</v>
      </c>
      <c r="BC109" s="32">
        <f t="shared" si="280"/>
        <v>1.5148067641068692</v>
      </c>
      <c r="BD109" s="32">
        <f t="shared" si="280"/>
        <v>1.4517710548787346</v>
      </c>
      <c r="BE109" s="32">
        <f t="shared" si="280"/>
        <v>1.396543915521502</v>
      </c>
      <c r="BF109" s="32">
        <f t="shared" si="280"/>
        <v>1.3478052167776442</v>
      </c>
      <c r="BG109" s="32">
        <f t="shared" si="280"/>
        <v>1.3045098739697338</v>
      </c>
      <c r="BH109" s="32">
        <f t="shared" si="280"/>
        <v>1.2658212630462244</v>
      </c>
      <c r="BI109" s="32">
        <f t="shared" si="280"/>
        <v>1.2310626548488726</v>
      </c>
      <c r="BJ109" s="32">
        <f t="shared" si="280"/>
        <v>1.1996813670832631</v>
      </c>
      <c r="BK109" s="32">
        <f t="shared" si="280"/>
        <v>1.1712219910308832</v>
      </c>
      <c r="BL109" s="32">
        <f t="shared" si="280"/>
        <v>1.1453061677974472</v>
      </c>
      <c r="BM109" s="32">
        <f t="shared" si="280"/>
        <v>1.1216171458202568</v>
      </c>
      <c r="BN109" s="32">
        <f t="shared" si="280"/>
        <v>1.099887867894062</v>
      </c>
      <c r="BO109" s="32">
        <f t="shared" ref="BO109:CG109" si="281">1/((1+(BO$23*(1-(1/(BO$25^2)))))^2+(BO105*(BO$25-(1/BO$25)))^2)^0.5</f>
        <v>1.0798916918159434</v>
      </c>
      <c r="BP109" s="32">
        <f t="shared" si="281"/>
        <v>1.0614350964231427</v>
      </c>
      <c r="BQ109" s="32">
        <f t="shared" si="281"/>
        <v>1.044351899017198</v>
      </c>
      <c r="BR109" s="32">
        <f t="shared" si="281"/>
        <v>1.0284986340178952</v>
      </c>
      <c r="BS109" s="32">
        <f t="shared" si="281"/>
        <v>1.0137508316491879</v>
      </c>
      <c r="BT109" s="32">
        <f t="shared" si="281"/>
        <v>1</v>
      </c>
      <c r="BU109" s="32">
        <f t="shared" si="281"/>
        <v>0.96747445637564</v>
      </c>
      <c r="BV109" s="32">
        <f t="shared" si="281"/>
        <v>0.93997090517379822</v>
      </c>
      <c r="BW109" s="32">
        <f t="shared" si="281"/>
        <v>0.91643448462322241</v>
      </c>
      <c r="BX109" s="32">
        <f t="shared" si="281"/>
        <v>0.89608173747900699</v>
      </c>
      <c r="BY109" s="32">
        <f t="shared" si="281"/>
        <v>0.87831912572601833</v>
      </c>
      <c r="BZ109" s="32">
        <f t="shared" si="281"/>
        <v>0.86268913767983724</v>
      </c>
      <c r="CA109" s="32">
        <f t="shared" si="281"/>
        <v>0.84883369753987159</v>
      </c>
      <c r="CB109" s="32">
        <f t="shared" si="281"/>
        <v>0.83646874159239104</v>
      </c>
      <c r="CC109" s="32">
        <f t="shared" si="281"/>
        <v>0.82536618708574605</v>
      </c>
      <c r="CD109" s="32">
        <f t="shared" si="281"/>
        <v>0.81534090763548017</v>
      </c>
      <c r="CE109" s="32">
        <f t="shared" si="281"/>
        <v>0.8062411688648321</v>
      </c>
      <c r="CF109" s="32">
        <f t="shared" si="281"/>
        <v>0.79794149979871642</v>
      </c>
      <c r="CG109" s="32">
        <f t="shared" si="281"/>
        <v>0.79033730753739839</v>
      </c>
      <c r="CH109" s="32"/>
    </row>
    <row r="110" spans="1:86">
      <c r="B110" s="32" t="s">
        <v>769</v>
      </c>
      <c r="C110" s="32">
        <f t="shared" ref="C110:BN110" si="282">1/((1+(C$23*(1-(1/(C$25^2)))))^2+(C106*(C$25-(1/C$25)))^2)^0.5</f>
        <v>2.1818182504277716E-8</v>
      </c>
      <c r="D110" s="32">
        <f t="shared" si="282"/>
        <v>1.2886135955008332E-3</v>
      </c>
      <c r="E110" s="32">
        <f t="shared" si="282"/>
        <v>3.2955684781936466E-3</v>
      </c>
      <c r="F110" s="32">
        <f t="shared" si="282"/>
        <v>6.2460161462191653E-3</v>
      </c>
      <c r="G110" s="32">
        <f t="shared" si="282"/>
        <v>1.0163863042965088E-2</v>
      </c>
      <c r="H110" s="32">
        <f t="shared" si="282"/>
        <v>1.5081319204381372E-2</v>
      </c>
      <c r="I110" s="32">
        <f t="shared" si="282"/>
        <v>2.1039569098202388E-2</v>
      </c>
      <c r="J110" s="32">
        <f t="shared" si="282"/>
        <v>2.8089651953662267E-2</v>
      </c>
      <c r="K110" s="32">
        <f t="shared" si="282"/>
        <v>3.6293587388214997E-2</v>
      </c>
      <c r="L110" s="32">
        <f t="shared" si="282"/>
        <v>4.5725793918706494E-2</v>
      </c>
      <c r="M110" s="32">
        <f t="shared" si="282"/>
        <v>5.647486303862221E-2</v>
      </c>
      <c r="N110" s="32">
        <f t="shared" si="282"/>
        <v>6.8645771225195648E-2</v>
      </c>
      <c r="O110" s="32">
        <f t="shared" si="282"/>
        <v>8.2362638290634962E-2</v>
      </c>
      <c r="P110" s="32">
        <f t="shared" si="282"/>
        <v>9.777217543465197E-2</v>
      </c>
      <c r="Q110" s="32">
        <f t="shared" si="282"/>
        <v>0.11504801381981522</v>
      </c>
      <c r="R110" s="32">
        <f t="shared" si="282"/>
        <v>0.1343961697659459</v>
      </c>
      <c r="S110" s="32">
        <f t="shared" si="282"/>
        <v>0.15606199356055589</v>
      </c>
      <c r="T110" s="32">
        <f t="shared" si="282"/>
        <v>0.18033907712619268</v>
      </c>
      <c r="U110" s="32">
        <f t="shared" si="282"/>
        <v>0.20758077920643064</v>
      </c>
      <c r="V110" s="32">
        <f t="shared" si="282"/>
        <v>0.23821529291505833</v>
      </c>
      <c r="W110" s="32">
        <f t="shared" si="282"/>
        <v>0.27276557284516439</v>
      </c>
      <c r="X110" s="32">
        <f t="shared" si="282"/>
        <v>0.3118760270307826</v>
      </c>
      <c r="Y110" s="32">
        <f t="shared" si="282"/>
        <v>0.35634877663150372</v>
      </c>
      <c r="Z110" s="32">
        <f t="shared" si="282"/>
        <v>0.40719368317894933</v>
      </c>
      <c r="AA110" s="32">
        <f t="shared" si="282"/>
        <v>0.46569856393000625</v>
      </c>
      <c r="AB110" s="32">
        <f t="shared" si="282"/>
        <v>0.53352962776885804</v>
      </c>
      <c r="AC110" s="32">
        <f t="shared" si="282"/>
        <v>0.61287818547722495</v>
      </c>
      <c r="AD110" s="32">
        <f t="shared" si="282"/>
        <v>0.70667999489874977</v>
      </c>
      <c r="AE110" s="32">
        <f t="shared" si="282"/>
        <v>0.81895174017762684</v>
      </c>
      <c r="AF110" s="32">
        <f t="shared" si="282"/>
        <v>0.95532197886781722</v>
      </c>
      <c r="AG110" s="32">
        <f t="shared" si="282"/>
        <v>1.1238949075668698</v>
      </c>
      <c r="AH110" s="32">
        <f t="shared" si="282"/>
        <v>1.336700784700356</v>
      </c>
      <c r="AI110" s="32">
        <f t="shared" si="282"/>
        <v>1.6122041821848843</v>
      </c>
      <c r="AJ110" s="32">
        <f t="shared" si="282"/>
        <v>1.9797167331940804</v>
      </c>
      <c r="AK110" s="32">
        <f t="shared" si="282"/>
        <v>2.4869471935964955</v>
      </c>
      <c r="AL110" s="32">
        <f t="shared" si="282"/>
        <v>3.2103200546599169</v>
      </c>
      <c r="AM110" s="32">
        <f t="shared" si="282"/>
        <v>4.2496371420859811</v>
      </c>
      <c r="AN110" s="32">
        <f t="shared" si="282"/>
        <v>5.5838781280519632</v>
      </c>
      <c r="AO110" s="32">
        <f t="shared" si="282"/>
        <v>6.5362649062806746</v>
      </c>
      <c r="AP110" s="32">
        <f t="shared" si="282"/>
        <v>6.56187709048654</v>
      </c>
      <c r="AQ110" s="32">
        <f t="shared" si="282"/>
        <v>5.8283032893166347</v>
      </c>
      <c r="AR110" s="32">
        <f t="shared" si="282"/>
        <v>4.7563696098705019</v>
      </c>
      <c r="AS110" s="32">
        <f t="shared" si="282"/>
        <v>3.9015255964034536</v>
      </c>
      <c r="AT110" s="32">
        <f t="shared" si="282"/>
        <v>3.2890887050132047</v>
      </c>
      <c r="AU110" s="32">
        <f t="shared" si="282"/>
        <v>2.8486465633840918</v>
      </c>
      <c r="AV110" s="32">
        <f t="shared" si="282"/>
        <v>2.5229481085899601</v>
      </c>
      <c r="AW110" s="32">
        <f t="shared" si="282"/>
        <v>2.274741534759305</v>
      </c>
      <c r="AX110" s="32">
        <f t="shared" si="282"/>
        <v>2.0803949878791861</v>
      </c>
      <c r="AY110" s="32">
        <f t="shared" si="282"/>
        <v>1.9246409174621322</v>
      </c>
      <c r="AZ110" s="32">
        <f t="shared" si="282"/>
        <v>1.7973280730835068</v>
      </c>
      <c r="BA110" s="32">
        <f t="shared" si="282"/>
        <v>1.6915035214697591</v>
      </c>
      <c r="BB110" s="32">
        <f t="shared" si="282"/>
        <v>1.6022709678425973</v>
      </c>
      <c r="BC110" s="32">
        <f t="shared" si="282"/>
        <v>1.5260949961030321</v>
      </c>
      <c r="BD110" s="32">
        <f t="shared" si="282"/>
        <v>1.4603652308008392</v>
      </c>
      <c r="BE110" s="32">
        <f t="shared" si="282"/>
        <v>1.4031157251568276</v>
      </c>
      <c r="BF110" s="32">
        <f t="shared" si="282"/>
        <v>1.3528395535321116</v>
      </c>
      <c r="BG110" s="32">
        <f t="shared" si="282"/>
        <v>1.3083633497339899</v>
      </c>
      <c r="BH110" s="32">
        <f t="shared" si="282"/>
        <v>1.2687605397323707</v>
      </c>
      <c r="BI110" s="32">
        <f t="shared" si="282"/>
        <v>1.2332901336794484</v>
      </c>
      <c r="BJ110" s="32">
        <f t="shared" si="282"/>
        <v>1.2013527629548135</v>
      </c>
      <c r="BK110" s="32">
        <f t="shared" si="282"/>
        <v>1.1724585811910933</v>
      </c>
      <c r="BL110" s="32">
        <f t="shared" si="282"/>
        <v>1.1462034742108889</v>
      </c>
      <c r="BM110" s="32">
        <f t="shared" si="282"/>
        <v>1.1222511850942101</v>
      </c>
      <c r="BN110" s="32">
        <f t="shared" si="282"/>
        <v>1.1003197140231982</v>
      </c>
      <c r="BO110" s="32">
        <f t="shared" ref="BO110:CG110" si="283">1/((1+(BO$23*(1-(1/(BO$25^2)))))^2+(BO106*(BO$25-(1/BO$25)))^2)^0.5</f>
        <v>1.0801708504954202</v>
      </c>
      <c r="BP110" s="32">
        <f t="shared" si="283"/>
        <v>1.0616020302914293</v>
      </c>
      <c r="BQ110" s="32">
        <f t="shared" si="283"/>
        <v>1.0444399382984499</v>
      </c>
      <c r="BR110" s="32">
        <f t="shared" si="283"/>
        <v>1.0285354368708968</v>
      </c>
      <c r="BS110" s="32">
        <f t="shared" si="283"/>
        <v>1.0137595108827029</v>
      </c>
      <c r="BT110" s="32">
        <f t="shared" si="283"/>
        <v>1</v>
      </c>
      <c r="BU110" s="32">
        <f t="shared" si="283"/>
        <v>0.96752552571866779</v>
      </c>
      <c r="BV110" s="32">
        <f t="shared" si="283"/>
        <v>0.94015174502363608</v>
      </c>
      <c r="BW110" s="32">
        <f t="shared" si="283"/>
        <v>0.91679919649383013</v>
      </c>
      <c r="BX110" s="32">
        <f t="shared" si="283"/>
        <v>0.89666904621600196</v>
      </c>
      <c r="BY110" s="32">
        <f t="shared" si="283"/>
        <v>0.87915786000048757</v>
      </c>
      <c r="BZ110" s="32">
        <f t="shared" si="283"/>
        <v>0.86380159359385156</v>
      </c>
      <c r="CA110" s="32">
        <f t="shared" si="283"/>
        <v>0.85023776125807737</v>
      </c>
      <c r="CB110" s="32">
        <f t="shared" si="283"/>
        <v>0.83817926151400113</v>
      </c>
      <c r="CC110" s="32">
        <f t="shared" si="283"/>
        <v>0.82739587966145289</v>
      </c>
      <c r="CD110" s="32">
        <f t="shared" si="283"/>
        <v>0.81770096634061051</v>
      </c>
      <c r="CE110" s="32">
        <f t="shared" si="283"/>
        <v>0.80894168016618251</v>
      </c>
      <c r="CF110" s="32">
        <f t="shared" si="283"/>
        <v>0.80099173123418488</v>
      </c>
      <c r="CG110" s="32">
        <f t="shared" si="283"/>
        <v>0.79374590961510494</v>
      </c>
      <c r="CH110" s="32"/>
    </row>
    <row r="111" spans="1:86">
      <c r="B111" s="32" t="s">
        <v>770</v>
      </c>
      <c r="C111" s="32">
        <f t="shared" ref="C111:BN111" si="284">1/((1+(C$23*(1-(1/(C$25^2)))))^2+(C107*(C$25-(1/C$25)))^2)^0.5</f>
        <v>2.1818182510366966E-8</v>
      </c>
      <c r="D111" s="32">
        <f t="shared" si="284"/>
        <v>1.2886348512592819E-3</v>
      </c>
      <c r="E111" s="32">
        <f t="shared" si="284"/>
        <v>3.2957076547663338E-3</v>
      </c>
      <c r="F111" s="32">
        <f t="shared" si="284"/>
        <v>6.2465168828168913E-3</v>
      </c>
      <c r="G111" s="32">
        <f t="shared" si="284"/>
        <v>1.0165191807242017E-2</v>
      </c>
      <c r="H111" s="32">
        <f t="shared" si="284"/>
        <v>1.5084252622425465E-2</v>
      </c>
      <c r="I111" s="32">
        <f t="shared" si="284"/>
        <v>2.1045296822859667E-2</v>
      </c>
      <c r="J111" s="32">
        <f t="shared" si="284"/>
        <v>2.8099900808883832E-2</v>
      </c>
      <c r="K111" s="32">
        <f t="shared" si="284"/>
        <v>3.6310774113015254E-2</v>
      </c>
      <c r="L111" s="32">
        <f t="shared" si="284"/>
        <v>4.5753216060223069E-2</v>
      </c>
      <c r="M111" s="32">
        <f t="shared" si="284"/>
        <v>5.651694066037502E-2</v>
      </c>
      <c r="N111" s="32">
        <f t="shared" si="284"/>
        <v>6.8708356474590837E-2</v>
      </c>
      <c r="O111" s="32">
        <f t="shared" si="284"/>
        <v>8.245341606112816E-2</v>
      </c>
      <c r="P111" s="32">
        <f t="shared" si="284"/>
        <v>9.7901187193779174E-2</v>
      </c>
      <c r="Q111" s="32">
        <f t="shared" si="284"/>
        <v>0.11522834942108219</v>
      </c>
      <c r="R111" s="32">
        <f t="shared" si="284"/>
        <v>0.13464489067808946</v>
      </c>
      <c r="S111" s="32">
        <f t="shared" si="284"/>
        <v>0.15640137850524516</v>
      </c>
      <c r="T111" s="32">
        <f t="shared" si="284"/>
        <v>0.18079832252130565</v>
      </c>
      <c r="U111" s="32">
        <f t="shared" si="284"/>
        <v>0.2081983500445049</v>
      </c>
      <c r="V111" s="32">
        <f t="shared" si="284"/>
        <v>0.23904221799806005</v>
      </c>
      <c r="W111" s="32">
        <f t="shared" si="284"/>
        <v>0.2738701340767794</v>
      </c>
      <c r="X111" s="32">
        <f t="shared" si="284"/>
        <v>0.31335054466435652</v>
      </c>
      <c r="Y111" s="32">
        <f t="shared" si="284"/>
        <v>0.35831961032449089</v>
      </c>
      <c r="Z111" s="32">
        <f t="shared" si="284"/>
        <v>0.40983627949521473</v>
      </c>
      <c r="AA111" s="32">
        <f t="shared" si="284"/>
        <v>0.46926062493655119</v>
      </c>
      <c r="AB111" s="32">
        <f t="shared" si="284"/>
        <v>0.53836772348952122</v>
      </c>
      <c r="AC111" s="32">
        <f t="shared" si="284"/>
        <v>0.61951734450923646</v>
      </c>
      <c r="AD111" s="32">
        <f t="shared" si="284"/>
        <v>0.71591402471029431</v>
      </c>
      <c r="AE111" s="32">
        <f t="shared" si="284"/>
        <v>0.83201882091516144</v>
      </c>
      <c r="AF111" s="32">
        <f t="shared" si="284"/>
        <v>0.97422626176868343</v>
      </c>
      <c r="AG111" s="32">
        <f t="shared" si="284"/>
        <v>1.1520277706949573</v>
      </c>
      <c r="AH111" s="32">
        <f t="shared" si="284"/>
        <v>1.3801195101761581</v>
      </c>
      <c r="AI111" s="32">
        <f t="shared" si="284"/>
        <v>1.6824722676826387</v>
      </c>
      <c r="AJ111" s="32">
        <f t="shared" si="284"/>
        <v>2.1008248093461006</v>
      </c>
      <c r="AK111" s="32">
        <f t="shared" si="284"/>
        <v>2.7141828103905814</v>
      </c>
      <c r="AL111" s="32">
        <f t="shared" si="284"/>
        <v>3.688982648204016</v>
      </c>
      <c r="AM111" s="32">
        <f t="shared" si="284"/>
        <v>5.4226604572562698</v>
      </c>
      <c r="AN111" s="32">
        <f t="shared" si="284"/>
        <v>8.874334292070964</v>
      </c>
      <c r="AO111" s="32">
        <f t="shared" si="284"/>
        <v>13.072302940891014</v>
      </c>
      <c r="AP111" s="32">
        <f t="shared" si="284"/>
        <v>12.673218577658734</v>
      </c>
      <c r="AQ111" s="32">
        <f t="shared" si="284"/>
        <v>8.4340745660325585</v>
      </c>
      <c r="AR111" s="32">
        <f t="shared" si="284"/>
        <v>5.7444694203075599</v>
      </c>
      <c r="AS111" s="32">
        <f t="shared" si="284"/>
        <v>4.3374128318841692</v>
      </c>
      <c r="AT111" s="32">
        <f t="shared" si="284"/>
        <v>3.5105520922385378</v>
      </c>
      <c r="AU111" s="32">
        <f t="shared" si="284"/>
        <v>2.9737766287718053</v>
      </c>
      <c r="AV111" s="32">
        <f t="shared" si="284"/>
        <v>2.5993913032860352</v>
      </c>
      <c r="AW111" s="32">
        <f t="shared" si="284"/>
        <v>2.3242339271319574</v>
      </c>
      <c r="AX111" s="32">
        <f t="shared" si="284"/>
        <v>2.1138760975918665</v>
      </c>
      <c r="AY111" s="32">
        <f t="shared" si="284"/>
        <v>1.9480648411822659</v>
      </c>
      <c r="AZ111" s="32">
        <f t="shared" si="284"/>
        <v>1.8141465550045413</v>
      </c>
      <c r="BA111" s="32">
        <f t="shared" si="284"/>
        <v>1.7038236330198682</v>
      </c>
      <c r="BB111" s="32">
        <f t="shared" si="284"/>
        <v>1.6114352549773965</v>
      </c>
      <c r="BC111" s="32">
        <f t="shared" si="284"/>
        <v>1.5329902825925217</v>
      </c>
      <c r="BD111" s="32">
        <f t="shared" si="284"/>
        <v>1.4655955802662384</v>
      </c>
      <c r="BE111" s="32">
        <f t="shared" si="284"/>
        <v>1.4071036247169475</v>
      </c>
      <c r="BF111" s="32">
        <f t="shared" si="284"/>
        <v>1.3558873693313063</v>
      </c>
      <c r="BG111" s="32">
        <f t="shared" si="284"/>
        <v>1.3106918915748877</v>
      </c>
      <c r="BH111" s="32">
        <f t="shared" si="284"/>
        <v>1.2705339644015305</v>
      </c>
      <c r="BI111" s="32">
        <f t="shared" si="284"/>
        <v>1.2346324387746255</v>
      </c>
      <c r="BJ111" s="32">
        <f t="shared" si="284"/>
        <v>1.2023589598856741</v>
      </c>
      <c r="BK111" s="32">
        <f t="shared" si="284"/>
        <v>1.1732024180112508</v>
      </c>
      <c r="BL111" s="32">
        <f t="shared" si="284"/>
        <v>1.1467428714483408</v>
      </c>
      <c r="BM111" s="32">
        <f t="shared" si="284"/>
        <v>1.1226321251672753</v>
      </c>
      <c r="BN111" s="32">
        <f t="shared" si="284"/>
        <v>1.100579065987231</v>
      </c>
      <c r="BO111" s="32">
        <f t="shared" ref="BO111:CG111" si="285">1/((1+(BO$23*(1-(1/(BO$25^2)))))^2+(BO107*(BO$25-(1/BO$25)))^2)^0.5</f>
        <v>1.0803384496554489</v>
      </c>
      <c r="BP111" s="32">
        <f t="shared" si="285"/>
        <v>1.0617022284260897</v>
      </c>
      <c r="BQ111" s="32">
        <f t="shared" si="285"/>
        <v>1.0444927725557174</v>
      </c>
      <c r="BR111" s="32">
        <f t="shared" si="285"/>
        <v>1.0285575204791526</v>
      </c>
      <c r="BS111" s="32">
        <f t="shared" si="285"/>
        <v>1.013764718529816</v>
      </c>
      <c r="BT111" s="32">
        <f t="shared" si="285"/>
        <v>1</v>
      </c>
      <c r="BU111" s="32">
        <f t="shared" si="285"/>
        <v>0.96755617120665038</v>
      </c>
      <c r="BV111" s="32">
        <f t="shared" si="285"/>
        <v>0.94026029904623565</v>
      </c>
      <c r="BW111" s="32">
        <f t="shared" si="285"/>
        <v>0.91701823273417582</v>
      </c>
      <c r="BX111" s="32">
        <f t="shared" si="285"/>
        <v>0.8970219862467439</v>
      </c>
      <c r="BY111" s="32">
        <f t="shared" si="285"/>
        <v>0.87966225537974407</v>
      </c>
      <c r="BZ111" s="32">
        <f t="shared" si="285"/>
        <v>0.86447113643125828</v>
      </c>
      <c r="CA111" s="32">
        <f t="shared" si="285"/>
        <v>0.85108355124523627</v>
      </c>
      <c r="CB111" s="32">
        <f t="shared" si="285"/>
        <v>0.83921062420499215</v>
      </c>
      <c r="CC111" s="32">
        <f t="shared" si="285"/>
        <v>0.8286209063270521</v>
      </c>
      <c r="CD111" s="32">
        <f t="shared" si="285"/>
        <v>0.81912687681877172</v>
      </c>
      <c r="CE111" s="32">
        <f t="shared" si="285"/>
        <v>0.8105750707361854</v>
      </c>
      <c r="CF111" s="32">
        <f t="shared" si="285"/>
        <v>0.80283874636123731</v>
      </c>
      <c r="CG111" s="32">
        <f t="shared" si="285"/>
        <v>0.7958123624178427</v>
      </c>
      <c r="CH111" s="32"/>
    </row>
    <row r="113" spans="2:90" ht="15.75" thickBot="1"/>
    <row r="114" spans="2:90">
      <c r="B114" s="36" t="s">
        <v>771</v>
      </c>
      <c r="C114" s="36">
        <f t="shared" ref="C114:AH114" si="286">ABS(C99-C53)</f>
        <v>1.5209591617736744</v>
      </c>
      <c r="D114" s="36">
        <f t="shared" si="286"/>
        <v>1.5196709948907636</v>
      </c>
      <c r="E114" s="36">
        <f t="shared" si="286"/>
        <v>1.5176663949476255</v>
      </c>
      <c r="F114" s="36">
        <f t="shared" si="286"/>
        <v>1.5147231569572506</v>
      </c>
      <c r="G114" s="36">
        <f t="shared" si="286"/>
        <v>1.5108217868876914</v>
      </c>
      <c r="H114" s="36">
        <f t="shared" si="286"/>
        <v>1.5059361756963279</v>
      </c>
      <c r="I114" s="36">
        <f t="shared" si="286"/>
        <v>1.5000331958130644</v>
      </c>
      <c r="J114" s="36">
        <f t="shared" si="286"/>
        <v>1.4930721823154955</v>
      </c>
      <c r="K114" s="36">
        <f t="shared" si="286"/>
        <v>1.4850042860525177</v>
      </c>
      <c r="L114" s="36">
        <f t="shared" si="286"/>
        <v>1.4757716827743106</v>
      </c>
      <c r="M114" s="36">
        <f t="shared" si="286"/>
        <v>1.4653066187565296</v>
      </c>
      <c r="N114" s="36">
        <f t="shared" si="286"/>
        <v>1.4535302694397341</v>
      </c>
      <c r="O114" s="36">
        <f t="shared" si="286"/>
        <v>1.4403513832604018</v>
      </c>
      <c r="P114" s="36">
        <f t="shared" si="286"/>
        <v>1.4256646782268558</v>
      </c>
      <c r="Q114" s="36">
        <f t="shared" si="286"/>
        <v>1.4093489541332171</v>
      </c>
      <c r="R114" s="36">
        <f t="shared" si="286"/>
        <v>1.3912648790914393</v>
      </c>
      <c r="S114" s="36">
        <f t="shared" si="286"/>
        <v>1.3712524061899298</v>
      </c>
      <c r="T114" s="36">
        <f t="shared" si="286"/>
        <v>1.3491277761344531</v>
      </c>
      <c r="U114" s="36">
        <f t="shared" si="286"/>
        <v>1.3246800673966164</v>
      </c>
      <c r="V114" s="36">
        <f t="shared" si="286"/>
        <v>1.2976672712342165</v>
      </c>
      <c r="W114" s="36">
        <f t="shared" si="286"/>
        <v>1.2678119024952803</v>
      </c>
      <c r="X114" s="36">
        <f t="shared" si="286"/>
        <v>1.2347962207263925</v>
      </c>
      <c r="Y114" s="36">
        <f t="shared" si="286"/>
        <v>1.1982572497782895</v>
      </c>
      <c r="Z114" s="36">
        <f t="shared" si="286"/>
        <v>1.1577819797860835</v>
      </c>
      <c r="AA114" s="36">
        <f t="shared" si="286"/>
        <v>1.1129034631998493</v>
      </c>
      <c r="AB114" s="36">
        <f t="shared" si="286"/>
        <v>1.0630990529319</v>
      </c>
      <c r="AC114" s="36">
        <f t="shared" si="286"/>
        <v>1.0077928874993725</v>
      </c>
      <c r="AD114" s="36">
        <f t="shared" si="286"/>
        <v>0.9463660570128356</v>
      </c>
      <c r="AE114" s="36">
        <f t="shared" si="286"/>
        <v>0.87817986198226305</v>
      </c>
      <c r="AF114" s="36">
        <f t="shared" si="286"/>
        <v>0.80262033668066379</v>
      </c>
      <c r="AG114" s="36">
        <f t="shared" si="286"/>
        <v>0.71917563762061554</v>
      </c>
      <c r="AH114" s="36">
        <f t="shared" si="286"/>
        <v>0.62756117221801899</v>
      </c>
      <c r="AI114" s="36">
        <f t="shared" ref="AI114:BN114" si="287">ABS(AI99-AI53)</f>
        <v>0.52790803302132538</v>
      </c>
      <c r="AJ114" s="36">
        <f t="shared" si="287"/>
        <v>0.42102306794813638</v>
      </c>
      <c r="AK114" s="36">
        <f t="shared" si="287"/>
        <v>0.30870470399800332</v>
      </c>
      <c r="AL114" s="36">
        <f t="shared" si="287"/>
        <v>0.19404754900375987</v>
      </c>
      <c r="AM114" s="36">
        <f t="shared" si="287"/>
        <v>8.1592522312127214E-2</v>
      </c>
      <c r="AN114" s="36">
        <f t="shared" si="287"/>
        <v>2.2884534513684107E-2</v>
      </c>
      <c r="AO114" s="36">
        <f t="shared" si="287"/>
        <v>0.11311590545574024</v>
      </c>
      <c r="AP114" s="36">
        <f t="shared" si="287"/>
        <v>0.13837937180347604</v>
      </c>
      <c r="AQ114" s="36">
        <f t="shared" si="287"/>
        <v>0.20152177608346045</v>
      </c>
      <c r="AR114" s="36">
        <f t="shared" si="287"/>
        <v>0.24082662294235302</v>
      </c>
      <c r="AS114" s="36">
        <f t="shared" si="287"/>
        <v>0.25654157705580283</v>
      </c>
      <c r="AT114" s="36">
        <f t="shared" si="287"/>
        <v>0.25141791009016456</v>
      </c>
      <c r="AU114" s="36">
        <f t="shared" si="287"/>
        <v>0.22970961961534231</v>
      </c>
      <c r="AV114" s="36">
        <f t="shared" si="287"/>
        <v>0.19607602589594686</v>
      </c>
      <c r="AW114" s="36">
        <f t="shared" si="287"/>
        <v>0.15477626013457435</v>
      </c>
      <c r="AX114" s="36">
        <f t="shared" si="287"/>
        <v>0.10926627978798042</v>
      </c>
      <c r="AY114" s="36">
        <f t="shared" si="287"/>
        <v>6.2115012153993066E-2</v>
      </c>
      <c r="AZ114" s="36">
        <f t="shared" si="287"/>
        <v>1.5100453959458138E-2</v>
      </c>
      <c r="BA114" s="36">
        <f t="shared" si="287"/>
        <v>3.0626728177168383E-2</v>
      </c>
      <c r="BB114" s="36">
        <f t="shared" si="287"/>
        <v>7.4377469635395821E-2</v>
      </c>
      <c r="BC114" s="36">
        <f t="shared" si="287"/>
        <v>0.11578466933540299</v>
      </c>
      <c r="BD114" s="36">
        <f t="shared" si="287"/>
        <v>0.15469636371191409</v>
      </c>
      <c r="BE114" s="36">
        <f t="shared" si="287"/>
        <v>0.19109867978150974</v>
      </c>
      <c r="BF114" s="36">
        <f t="shared" si="287"/>
        <v>0.22506242593181125</v>
      </c>
      <c r="BG114" s="36">
        <f t="shared" si="287"/>
        <v>0.25670714213883516</v>
      </c>
      <c r="BH114" s="36">
        <f t="shared" si="287"/>
        <v>0.28617749530076031</v>
      </c>
      <c r="BI114" s="36">
        <f t="shared" si="287"/>
        <v>0.31362815690439616</v>
      </c>
      <c r="BJ114" s="36">
        <f t="shared" si="287"/>
        <v>0.33921439138909459</v>
      </c>
      <c r="BK114" s="36">
        <f t="shared" si="287"/>
        <v>0.3630864278282917</v>
      </c>
      <c r="BL114" s="36">
        <f t="shared" si="287"/>
        <v>0.38538630156466214</v>
      </c>
      <c r="BM114" s="36">
        <f t="shared" si="287"/>
        <v>0.40624628325386936</v>
      </c>
      <c r="BN114" s="36">
        <f t="shared" si="287"/>
        <v>0.42578830845361559</v>
      </c>
      <c r="BO114" s="36">
        <f t="shared" ref="BO114:CG114" si="288">ABS(BO99-BO53)</f>
        <v>0.4441240209872932</v>
      </c>
      <c r="BP114" s="36">
        <f t="shared" si="288"/>
        <v>0.46135517745447108</v>
      </c>
      <c r="BQ114" s="36">
        <f t="shared" si="288"/>
        <v>0.47757424959470596</v>
      </c>
      <c r="BR114" s="36">
        <f t="shared" si="288"/>
        <v>0.49286512039026587</v>
      </c>
      <c r="BS114" s="36">
        <f t="shared" si="288"/>
        <v>0.50730380880096693</v>
      </c>
      <c r="BT114" s="36">
        <f t="shared" si="288"/>
        <v>0.52095918359185678</v>
      </c>
      <c r="BU114" s="36">
        <f t="shared" si="288"/>
        <v>0.55404595678278701</v>
      </c>
      <c r="BV114" s="36">
        <f t="shared" si="288"/>
        <v>0.58297065399965842</v>
      </c>
      <c r="BW114" s="36">
        <f t="shared" si="288"/>
        <v>0.60850801418011591</v>
      </c>
      <c r="BX114" s="36">
        <f t="shared" si="288"/>
        <v>0.63126259480693336</v>
      </c>
      <c r="BY114" s="36">
        <f t="shared" si="288"/>
        <v>0.65171047092264489</v>
      </c>
      <c r="BZ114" s="36">
        <f t="shared" si="288"/>
        <v>0.67023004010546416</v>
      </c>
      <c r="CA114" s="36">
        <f t="shared" si="288"/>
        <v>0.68712480388525499</v>
      </c>
      <c r="CB114" s="36">
        <f t="shared" si="288"/>
        <v>0.70264030749833684</v>
      </c>
      <c r="CC114" s="36">
        <f t="shared" si="288"/>
        <v>0.71697683238777765</v>
      </c>
      <c r="CD114" s="36">
        <f t="shared" si="288"/>
        <v>0.73029898891370038</v>
      </c>
      <c r="CE114" s="36">
        <f t="shared" si="288"/>
        <v>0.74274303195391844</v>
      </c>
      <c r="CF114" s="36">
        <f t="shared" si="288"/>
        <v>0.75442249047851173</v>
      </c>
      <c r="CG114" s="36">
        <f t="shared" si="288"/>
        <v>0.76543253804996614</v>
      </c>
      <c r="CH114" s="36"/>
      <c r="CI114" s="37" t="s">
        <v>592</v>
      </c>
      <c r="CJ114" s="38" t="s">
        <v>772</v>
      </c>
      <c r="CK114" s="9" t="s">
        <v>773</v>
      </c>
      <c r="CL114" s="10"/>
    </row>
    <row r="115" spans="2:90">
      <c r="B115" s="36" t="s">
        <v>774</v>
      </c>
      <c r="C115" s="36">
        <f t="shared" ref="C115:AH115" si="289">IF(C114&lt;0.05,C25,0)</f>
        <v>0</v>
      </c>
      <c r="D115" s="36">
        <f t="shared" si="289"/>
        <v>0</v>
      </c>
      <c r="E115" s="36">
        <f t="shared" si="289"/>
        <v>0</v>
      </c>
      <c r="F115" s="36">
        <f t="shared" si="289"/>
        <v>0</v>
      </c>
      <c r="G115" s="36">
        <f t="shared" si="289"/>
        <v>0</v>
      </c>
      <c r="H115" s="36">
        <f t="shared" si="289"/>
        <v>0</v>
      </c>
      <c r="I115" s="36">
        <f t="shared" si="289"/>
        <v>0</v>
      </c>
      <c r="J115" s="36">
        <f t="shared" si="289"/>
        <v>0</v>
      </c>
      <c r="K115" s="36">
        <f t="shared" si="289"/>
        <v>0</v>
      </c>
      <c r="L115" s="36">
        <f t="shared" si="289"/>
        <v>0</v>
      </c>
      <c r="M115" s="36">
        <f t="shared" si="289"/>
        <v>0</v>
      </c>
      <c r="N115" s="36">
        <f t="shared" si="289"/>
        <v>0</v>
      </c>
      <c r="O115" s="36">
        <f t="shared" si="289"/>
        <v>0</v>
      </c>
      <c r="P115" s="36">
        <f t="shared" si="289"/>
        <v>0</v>
      </c>
      <c r="Q115" s="36">
        <f t="shared" si="289"/>
        <v>0</v>
      </c>
      <c r="R115" s="36">
        <f t="shared" si="289"/>
        <v>0</v>
      </c>
      <c r="S115" s="36">
        <f t="shared" si="289"/>
        <v>0</v>
      </c>
      <c r="T115" s="36">
        <f t="shared" si="289"/>
        <v>0</v>
      </c>
      <c r="U115" s="36">
        <f t="shared" si="289"/>
        <v>0</v>
      </c>
      <c r="V115" s="36">
        <f t="shared" si="289"/>
        <v>0</v>
      </c>
      <c r="W115" s="36">
        <f t="shared" si="289"/>
        <v>0</v>
      </c>
      <c r="X115" s="36">
        <f t="shared" si="289"/>
        <v>0</v>
      </c>
      <c r="Y115" s="36">
        <f t="shared" si="289"/>
        <v>0</v>
      </c>
      <c r="Z115" s="36">
        <f t="shared" si="289"/>
        <v>0</v>
      </c>
      <c r="AA115" s="36">
        <f t="shared" si="289"/>
        <v>0</v>
      </c>
      <c r="AB115" s="36">
        <f t="shared" si="289"/>
        <v>0</v>
      </c>
      <c r="AC115" s="36">
        <f t="shared" si="289"/>
        <v>0</v>
      </c>
      <c r="AD115" s="36">
        <f t="shared" si="289"/>
        <v>0</v>
      </c>
      <c r="AE115" s="36">
        <f t="shared" si="289"/>
        <v>0</v>
      </c>
      <c r="AF115" s="36">
        <f t="shared" si="289"/>
        <v>0</v>
      </c>
      <c r="AG115" s="36">
        <f t="shared" si="289"/>
        <v>0</v>
      </c>
      <c r="AH115" s="36">
        <f t="shared" si="289"/>
        <v>0</v>
      </c>
      <c r="AI115" s="36">
        <f t="shared" ref="AI115:BN115" si="290">IF(AI114&lt;0.05,AI25,0)</f>
        <v>0</v>
      </c>
      <c r="AJ115" s="36">
        <f t="shared" si="290"/>
        <v>0</v>
      </c>
      <c r="AK115" s="36">
        <f t="shared" si="290"/>
        <v>0</v>
      </c>
      <c r="AL115" s="36">
        <f t="shared" si="290"/>
        <v>0</v>
      </c>
      <c r="AM115" s="36">
        <f t="shared" si="290"/>
        <v>0</v>
      </c>
      <c r="AN115" s="36">
        <f t="shared" si="290"/>
        <v>0.54601915695819969</v>
      </c>
      <c r="AO115" s="36">
        <f t="shared" si="290"/>
        <v>0</v>
      </c>
      <c r="AP115" s="36">
        <f t="shared" si="290"/>
        <v>0</v>
      </c>
      <c r="AQ115" s="36">
        <f t="shared" si="290"/>
        <v>0</v>
      </c>
      <c r="AR115" s="36">
        <f t="shared" si="290"/>
        <v>0</v>
      </c>
      <c r="AS115" s="36">
        <f t="shared" si="290"/>
        <v>0</v>
      </c>
      <c r="AT115" s="36">
        <f t="shared" si="290"/>
        <v>0</v>
      </c>
      <c r="AU115" s="36">
        <f t="shared" si="290"/>
        <v>0</v>
      </c>
      <c r="AV115" s="36">
        <f t="shared" si="290"/>
        <v>0</v>
      </c>
      <c r="AW115" s="36">
        <f t="shared" si="290"/>
        <v>0</v>
      </c>
      <c r="AX115" s="36">
        <f t="shared" si="290"/>
        <v>0</v>
      </c>
      <c r="AY115" s="36">
        <f t="shared" si="290"/>
        <v>0</v>
      </c>
      <c r="AZ115" s="36">
        <f t="shared" si="290"/>
        <v>0.71014492753623282</v>
      </c>
      <c r="BA115" s="36">
        <f t="shared" si="290"/>
        <v>0.72463768115942118</v>
      </c>
      <c r="BB115" s="36">
        <f t="shared" si="290"/>
        <v>0</v>
      </c>
      <c r="BC115" s="36">
        <f t="shared" si="290"/>
        <v>0</v>
      </c>
      <c r="BD115" s="36">
        <f t="shared" si="290"/>
        <v>0</v>
      </c>
      <c r="BE115" s="36">
        <f t="shared" si="290"/>
        <v>0</v>
      </c>
      <c r="BF115" s="36">
        <f t="shared" si="290"/>
        <v>0</v>
      </c>
      <c r="BG115" s="36">
        <f t="shared" si="290"/>
        <v>0</v>
      </c>
      <c r="BH115" s="36">
        <f t="shared" si="290"/>
        <v>0</v>
      </c>
      <c r="BI115" s="36">
        <f t="shared" si="290"/>
        <v>0</v>
      </c>
      <c r="BJ115" s="36">
        <f t="shared" si="290"/>
        <v>0</v>
      </c>
      <c r="BK115" s="36">
        <f t="shared" si="290"/>
        <v>0</v>
      </c>
      <c r="BL115" s="36">
        <f t="shared" si="290"/>
        <v>0</v>
      </c>
      <c r="BM115" s="36">
        <f t="shared" si="290"/>
        <v>0</v>
      </c>
      <c r="BN115" s="36">
        <f t="shared" si="290"/>
        <v>0</v>
      </c>
      <c r="BO115" s="36">
        <f t="shared" ref="BO115:CG115" si="291">IF(BO114&lt;0.05,BO25,0)</f>
        <v>0</v>
      </c>
      <c r="BP115" s="36">
        <f t="shared" si="291"/>
        <v>0</v>
      </c>
      <c r="BQ115" s="36">
        <f t="shared" si="291"/>
        <v>0</v>
      </c>
      <c r="BR115" s="36">
        <f t="shared" si="291"/>
        <v>0</v>
      </c>
      <c r="BS115" s="36">
        <f t="shared" si="291"/>
        <v>0</v>
      </c>
      <c r="BT115" s="36">
        <f t="shared" si="291"/>
        <v>0</v>
      </c>
      <c r="BU115" s="36">
        <f t="shared" si="291"/>
        <v>0</v>
      </c>
      <c r="BV115" s="36">
        <f t="shared" si="291"/>
        <v>0</v>
      </c>
      <c r="BW115" s="36">
        <f t="shared" si="291"/>
        <v>0</v>
      </c>
      <c r="BX115" s="36">
        <f t="shared" si="291"/>
        <v>0</v>
      </c>
      <c r="BY115" s="36">
        <f t="shared" si="291"/>
        <v>0</v>
      </c>
      <c r="BZ115" s="36">
        <f t="shared" si="291"/>
        <v>0</v>
      </c>
      <c r="CA115" s="36">
        <f t="shared" si="291"/>
        <v>0</v>
      </c>
      <c r="CB115" s="36">
        <f t="shared" si="291"/>
        <v>0</v>
      </c>
      <c r="CC115" s="36">
        <f t="shared" si="291"/>
        <v>0</v>
      </c>
      <c r="CD115" s="36">
        <f t="shared" si="291"/>
        <v>0</v>
      </c>
      <c r="CE115" s="36">
        <f t="shared" si="291"/>
        <v>0</v>
      </c>
      <c r="CF115" s="36">
        <f t="shared" si="291"/>
        <v>0</v>
      </c>
      <c r="CG115" s="36">
        <f t="shared" si="291"/>
        <v>0</v>
      </c>
      <c r="CH115" s="36"/>
      <c r="CI115" s="37">
        <f>MAX(C115:CG115)</f>
        <v>0.72463768115942118</v>
      </c>
      <c r="CJ115" s="39">
        <f>SUM(CI115:CI121)/4</f>
        <v>0.74275362318840654</v>
      </c>
      <c r="CK115" s="20">
        <f>CJ115*'Design Spec'!D102</f>
        <v>111.41304347826099</v>
      </c>
      <c r="CL115" s="12" t="s">
        <v>58</v>
      </c>
    </row>
    <row r="116" spans="2:90">
      <c r="B116" s="36" t="s">
        <v>775</v>
      </c>
      <c r="C116" s="36">
        <f t="shared" ref="C116:AH116" si="292">ABS(C100-C53)</f>
        <v>1.5209591617736744</v>
      </c>
      <c r="D116" s="36">
        <f t="shared" si="292"/>
        <v>1.5196707966590186</v>
      </c>
      <c r="E116" s="36">
        <f t="shared" si="292"/>
        <v>1.5176650985674998</v>
      </c>
      <c r="F116" s="36">
        <f t="shared" si="292"/>
        <v>1.5147185011540167</v>
      </c>
      <c r="G116" s="36">
        <f t="shared" si="292"/>
        <v>1.5108094616885361</v>
      </c>
      <c r="H116" s="36">
        <f t="shared" si="292"/>
        <v>1.5059090480680057</v>
      </c>
      <c r="I116" s="36">
        <f t="shared" si="292"/>
        <v>1.4999804206616538</v>
      </c>
      <c r="J116" s="36">
        <f t="shared" si="292"/>
        <v>1.4929781595673182</v>
      </c>
      <c r="K116" s="36">
        <f t="shared" si="292"/>
        <v>1.4848474156596159</v>
      </c>
      <c r="L116" s="36">
        <f t="shared" si="292"/>
        <v>1.475522857494981</v>
      </c>
      <c r="M116" s="36">
        <f t="shared" si="292"/>
        <v>1.4649273784940835</v>
      </c>
      <c r="N116" s="36">
        <f t="shared" si="292"/>
        <v>1.4529705194598905</v>
      </c>
      <c r="O116" s="36">
        <f t="shared" si="292"/>
        <v>1.439546549930369</v>
      </c>
      <c r="P116" s="36">
        <f t="shared" si="292"/>
        <v>1.4245321375218294</v>
      </c>
      <c r="Q116" s="36">
        <f t="shared" si="292"/>
        <v>1.4077835165856334</v>
      </c>
      <c r="R116" s="36">
        <f t="shared" si="292"/>
        <v>1.3891330453529571</v>
      </c>
      <c r="S116" s="36">
        <f t="shared" si="292"/>
        <v>1.3683850133731097</v>
      </c>
      <c r="T116" s="36">
        <f t="shared" si="292"/>
        <v>1.3453105275810331</v>
      </c>
      <c r="U116" s="36">
        <f t="shared" si="292"/>
        <v>1.3196412651641736</v>
      </c>
      <c r="V116" s="36">
        <f t="shared" si="292"/>
        <v>1.291061834780562</v>
      </c>
      <c r="W116" s="36">
        <f t="shared" si="292"/>
        <v>1.2592004368179941</v>
      </c>
      <c r="X116" s="36">
        <f t="shared" si="292"/>
        <v>1.2236174646974505</v>
      </c>
      <c r="Y116" s="36">
        <f t="shared" si="292"/>
        <v>1.1837916577213674</v>
      </c>
      <c r="Z116" s="36">
        <f t="shared" si="292"/>
        <v>1.1391034337120347</v>
      </c>
      <c r="AA116" s="36">
        <f t="shared" si="292"/>
        <v>1.0888151620001247</v>
      </c>
      <c r="AB116" s="36">
        <f t="shared" si="292"/>
        <v>1.0320485135103725</v>
      </c>
      <c r="AC116" s="36">
        <f t="shared" si="292"/>
        <v>0.96775989538822926</v>
      </c>
      <c r="AD116" s="36">
        <f t="shared" si="292"/>
        <v>0.89471681908674983</v>
      </c>
      <c r="AE116" s="36">
        <f t="shared" si="292"/>
        <v>0.81148174541065854</v>
      </c>
      <c r="AF116" s="36">
        <f t="shared" si="292"/>
        <v>0.71641706740875133</v>
      </c>
      <c r="AG116" s="36">
        <f t="shared" si="292"/>
        <v>0.60773802371789243</v>
      </c>
      <c r="AH116" s="36">
        <f t="shared" si="292"/>
        <v>0.48366311714719168</v>
      </c>
      <c r="AI116" s="36">
        <f t="shared" ref="AI116:BN116" si="293">ABS(AI100-AI53)</f>
        <v>0.34274704617782037</v>
      </c>
      <c r="AJ116" s="36">
        <f t="shared" si="293"/>
        <v>0.18452420550892845</v>
      </c>
      <c r="AK116" s="36">
        <f t="shared" si="293"/>
        <v>1.0606916335422767E-2</v>
      </c>
      <c r="AL116" s="36">
        <f t="shared" si="293"/>
        <v>0.17373417858352158</v>
      </c>
      <c r="AM116" s="36">
        <f t="shared" si="293"/>
        <v>0.35792810948066212</v>
      </c>
      <c r="AN116" s="36">
        <f t="shared" si="293"/>
        <v>0.52569620629946545</v>
      </c>
      <c r="AO116" s="36">
        <f t="shared" si="293"/>
        <v>0.65780698908572388</v>
      </c>
      <c r="AP116" s="36">
        <f t="shared" si="293"/>
        <v>0.69016627922539309</v>
      </c>
      <c r="AQ116" s="36">
        <f t="shared" si="293"/>
        <v>0.75237497833167444</v>
      </c>
      <c r="AR116" s="36">
        <f t="shared" si="293"/>
        <v>0.75851663206575726</v>
      </c>
      <c r="AS116" s="36">
        <f t="shared" si="293"/>
        <v>0.71813259334367485</v>
      </c>
      <c r="AT116" s="36">
        <f t="shared" si="293"/>
        <v>0.64621730155274504</v>
      </c>
      <c r="AU116" s="36">
        <f t="shared" si="293"/>
        <v>0.55730729916464128</v>
      </c>
      <c r="AV116" s="36">
        <f t="shared" si="293"/>
        <v>0.46238997481172173</v>
      </c>
      <c r="AW116" s="36">
        <f t="shared" si="293"/>
        <v>0.36847784307063902</v>
      </c>
      <c r="AX116" s="36">
        <f t="shared" si="293"/>
        <v>0.27944442866287855</v>
      </c>
      <c r="AY116" s="36">
        <f t="shared" si="293"/>
        <v>0.19707711160435193</v>
      </c>
      <c r="AZ116" s="36">
        <f t="shared" si="293"/>
        <v>0.12192086995485352</v>
      </c>
      <c r="BA116" s="36">
        <f t="shared" si="293"/>
        <v>5.384419153361053E-2</v>
      </c>
      <c r="BB116" s="36">
        <f t="shared" si="293"/>
        <v>7.6162959971433075E-3</v>
      </c>
      <c r="BC116" s="36">
        <f t="shared" si="293"/>
        <v>6.3058991692559685E-2</v>
      </c>
      <c r="BD116" s="36">
        <f t="shared" si="293"/>
        <v>0.1131109461861195</v>
      </c>
      <c r="BE116" s="36">
        <f t="shared" si="293"/>
        <v>0.15837406222609451</v>
      </c>
      <c r="BF116" s="36">
        <f t="shared" si="293"/>
        <v>0.19940073919074908</v>
      </c>
      <c r="BG116" s="36">
        <f t="shared" si="293"/>
        <v>0.23668543894888616</v>
      </c>
      <c r="BH116" s="36">
        <f t="shared" si="293"/>
        <v>0.27066448402966814</v>
      </c>
      <c r="BI116" s="36">
        <f t="shared" si="293"/>
        <v>0.30171981077144405</v>
      </c>
      <c r="BJ116" s="36">
        <f t="shared" si="293"/>
        <v>0.3301843523169361</v>
      </c>
      <c r="BK116" s="36">
        <f t="shared" si="293"/>
        <v>0.35634782688591504</v>
      </c>
      <c r="BL116" s="36">
        <f t="shared" si="293"/>
        <v>0.38046231908980976</v>
      </c>
      <c r="BM116" s="36">
        <f t="shared" si="293"/>
        <v>0.40274737742903</v>
      </c>
      <c r="BN116" s="36">
        <f t="shared" si="293"/>
        <v>0.4233945305939657</v>
      </c>
      <c r="BO116" s="36">
        <f t="shared" ref="BO116:CG116" si="294">ABS(BO100-BO53)</f>
        <v>0.44257121761591467</v>
      </c>
      <c r="BP116" s="36">
        <f t="shared" si="294"/>
        <v>0.46042417125821822</v>
      </c>
      <c r="BQ116" s="36">
        <f t="shared" si="294"/>
        <v>0.47708231228492703</v>
      </c>
      <c r="BR116" s="36">
        <f t="shared" si="294"/>
        <v>0.49265921673629243</v>
      </c>
      <c r="BS116" s="36">
        <f t="shared" si="294"/>
        <v>0.50725521595190148</v>
      </c>
      <c r="BT116" s="36">
        <f t="shared" si="294"/>
        <v>0.52095918359185678</v>
      </c>
      <c r="BU116" s="36">
        <f t="shared" si="294"/>
        <v>0.55376036199661305</v>
      </c>
      <c r="BV116" s="36">
        <f t="shared" si="294"/>
        <v>0.58196301359102143</v>
      </c>
      <c r="BW116" s="36">
        <f t="shared" si="294"/>
        <v>0.60648664962733212</v>
      </c>
      <c r="BX116" s="36">
        <f t="shared" si="294"/>
        <v>0.6280290925582579</v>
      </c>
      <c r="BY116" s="36">
        <f t="shared" si="294"/>
        <v>0.64712810808830179</v>
      </c>
      <c r="BZ116" s="36">
        <f t="shared" si="294"/>
        <v>0.66420391887436558</v>
      </c>
      <c r="CA116" s="36">
        <f t="shared" si="294"/>
        <v>0.67958905485781396</v>
      </c>
      <c r="CB116" s="36">
        <f t="shared" si="294"/>
        <v>0.6935496678265789</v>
      </c>
      <c r="CC116" s="36">
        <f t="shared" si="294"/>
        <v>0.7063009926280911</v>
      </c>
      <c r="CD116" s="36">
        <f t="shared" si="294"/>
        <v>0.71801872786322074</v>
      </c>
      <c r="CE116" s="36">
        <f t="shared" si="294"/>
        <v>0.72884752739449887</v>
      </c>
      <c r="CF116" s="36">
        <f t="shared" si="294"/>
        <v>0.73890741617626532</v>
      </c>
      <c r="CG116" s="36">
        <f t="shared" si="294"/>
        <v>0.74829869444309616</v>
      </c>
      <c r="CH116" s="36"/>
      <c r="CI116" s="37"/>
      <c r="CJ116" s="39"/>
      <c r="CL116" s="12"/>
    </row>
    <row r="117" spans="2:90">
      <c r="B117" s="36" t="s">
        <v>774</v>
      </c>
      <c r="C117" s="36">
        <f t="shared" ref="C117:AH117" si="295">IF(C116&lt;0.05,C25,0)</f>
        <v>0</v>
      </c>
      <c r="D117" s="36">
        <f t="shared" si="295"/>
        <v>0</v>
      </c>
      <c r="E117" s="36">
        <f t="shared" si="295"/>
        <v>0</v>
      </c>
      <c r="F117" s="36">
        <f t="shared" si="295"/>
        <v>0</v>
      </c>
      <c r="G117" s="36">
        <f t="shared" si="295"/>
        <v>0</v>
      </c>
      <c r="H117" s="36">
        <f t="shared" si="295"/>
        <v>0</v>
      </c>
      <c r="I117" s="36">
        <f t="shared" si="295"/>
        <v>0</v>
      </c>
      <c r="J117" s="36">
        <f t="shared" si="295"/>
        <v>0</v>
      </c>
      <c r="K117" s="36">
        <f t="shared" si="295"/>
        <v>0</v>
      </c>
      <c r="L117" s="36">
        <f t="shared" si="295"/>
        <v>0</v>
      </c>
      <c r="M117" s="36">
        <f t="shared" si="295"/>
        <v>0</v>
      </c>
      <c r="N117" s="36">
        <f t="shared" si="295"/>
        <v>0</v>
      </c>
      <c r="O117" s="36">
        <f t="shared" si="295"/>
        <v>0</v>
      </c>
      <c r="P117" s="36">
        <f t="shared" si="295"/>
        <v>0</v>
      </c>
      <c r="Q117" s="36">
        <f t="shared" si="295"/>
        <v>0</v>
      </c>
      <c r="R117" s="36">
        <f t="shared" si="295"/>
        <v>0</v>
      </c>
      <c r="S117" s="36">
        <f t="shared" si="295"/>
        <v>0</v>
      </c>
      <c r="T117" s="36">
        <f t="shared" si="295"/>
        <v>0</v>
      </c>
      <c r="U117" s="36">
        <f t="shared" si="295"/>
        <v>0</v>
      </c>
      <c r="V117" s="36">
        <f t="shared" si="295"/>
        <v>0</v>
      </c>
      <c r="W117" s="36">
        <f t="shared" si="295"/>
        <v>0</v>
      </c>
      <c r="X117" s="36">
        <f t="shared" si="295"/>
        <v>0</v>
      </c>
      <c r="Y117" s="36">
        <f t="shared" si="295"/>
        <v>0</v>
      </c>
      <c r="Z117" s="36">
        <f t="shared" si="295"/>
        <v>0</v>
      </c>
      <c r="AA117" s="36">
        <f t="shared" si="295"/>
        <v>0</v>
      </c>
      <c r="AB117" s="36">
        <f t="shared" si="295"/>
        <v>0</v>
      </c>
      <c r="AC117" s="36">
        <f t="shared" si="295"/>
        <v>0</v>
      </c>
      <c r="AD117" s="36">
        <f t="shared" si="295"/>
        <v>0</v>
      </c>
      <c r="AE117" s="36">
        <f t="shared" si="295"/>
        <v>0</v>
      </c>
      <c r="AF117" s="36">
        <f t="shared" si="295"/>
        <v>0</v>
      </c>
      <c r="AG117" s="36">
        <f t="shared" si="295"/>
        <v>0</v>
      </c>
      <c r="AH117" s="36">
        <f t="shared" si="295"/>
        <v>0</v>
      </c>
      <c r="AI117" s="36">
        <f t="shared" ref="AI117:BN117" si="296">IF(AI116&lt;0.05,AI25,0)</f>
        <v>0</v>
      </c>
      <c r="AJ117" s="36">
        <f t="shared" si="296"/>
        <v>0</v>
      </c>
      <c r="AK117" s="36">
        <f t="shared" si="296"/>
        <v>0.50254089608863461</v>
      </c>
      <c r="AL117" s="36">
        <f t="shared" si="296"/>
        <v>0</v>
      </c>
      <c r="AM117" s="36">
        <f t="shared" si="296"/>
        <v>0</v>
      </c>
      <c r="AN117" s="36">
        <f t="shared" si="296"/>
        <v>0</v>
      </c>
      <c r="AO117" s="36">
        <f t="shared" si="296"/>
        <v>0</v>
      </c>
      <c r="AP117" s="36">
        <f t="shared" si="296"/>
        <v>0</v>
      </c>
      <c r="AQ117" s="36">
        <f t="shared" si="296"/>
        <v>0</v>
      </c>
      <c r="AR117" s="36">
        <f t="shared" si="296"/>
        <v>0</v>
      </c>
      <c r="AS117" s="36">
        <f t="shared" si="296"/>
        <v>0</v>
      </c>
      <c r="AT117" s="36">
        <f t="shared" si="296"/>
        <v>0</v>
      </c>
      <c r="AU117" s="36">
        <f t="shared" si="296"/>
        <v>0</v>
      </c>
      <c r="AV117" s="36">
        <f t="shared" si="296"/>
        <v>0</v>
      </c>
      <c r="AW117" s="36">
        <f t="shared" si="296"/>
        <v>0</v>
      </c>
      <c r="AX117" s="36">
        <f t="shared" si="296"/>
        <v>0</v>
      </c>
      <c r="AY117" s="36">
        <f t="shared" si="296"/>
        <v>0</v>
      </c>
      <c r="AZ117" s="36">
        <f t="shared" si="296"/>
        <v>0</v>
      </c>
      <c r="BA117" s="36">
        <f t="shared" si="296"/>
        <v>0</v>
      </c>
      <c r="BB117" s="36">
        <f t="shared" si="296"/>
        <v>0.73913043478260954</v>
      </c>
      <c r="BC117" s="36">
        <f t="shared" si="296"/>
        <v>0</v>
      </c>
      <c r="BD117" s="36">
        <f t="shared" si="296"/>
        <v>0</v>
      </c>
      <c r="BE117" s="36">
        <f t="shared" si="296"/>
        <v>0</v>
      </c>
      <c r="BF117" s="36">
        <f t="shared" si="296"/>
        <v>0</v>
      </c>
      <c r="BG117" s="36">
        <f t="shared" si="296"/>
        <v>0</v>
      </c>
      <c r="BH117" s="36">
        <f t="shared" si="296"/>
        <v>0</v>
      </c>
      <c r="BI117" s="36">
        <f t="shared" si="296"/>
        <v>0</v>
      </c>
      <c r="BJ117" s="36">
        <f t="shared" si="296"/>
        <v>0</v>
      </c>
      <c r="BK117" s="36">
        <f t="shared" si="296"/>
        <v>0</v>
      </c>
      <c r="BL117" s="36">
        <f t="shared" si="296"/>
        <v>0</v>
      </c>
      <c r="BM117" s="36">
        <f t="shared" si="296"/>
        <v>0</v>
      </c>
      <c r="BN117" s="36">
        <f t="shared" si="296"/>
        <v>0</v>
      </c>
      <c r="BO117" s="36">
        <f t="shared" ref="BO117:CG117" si="297">IF(BO116&lt;0.05,BO25,0)</f>
        <v>0</v>
      </c>
      <c r="BP117" s="36">
        <f t="shared" si="297"/>
        <v>0</v>
      </c>
      <c r="BQ117" s="36">
        <f t="shared" si="297"/>
        <v>0</v>
      </c>
      <c r="BR117" s="36">
        <f t="shared" si="297"/>
        <v>0</v>
      </c>
      <c r="BS117" s="36">
        <f t="shared" si="297"/>
        <v>0</v>
      </c>
      <c r="BT117" s="36">
        <f t="shared" si="297"/>
        <v>0</v>
      </c>
      <c r="BU117" s="36">
        <f t="shared" si="297"/>
        <v>0</v>
      </c>
      <c r="BV117" s="36">
        <f t="shared" si="297"/>
        <v>0</v>
      </c>
      <c r="BW117" s="36">
        <f t="shared" si="297"/>
        <v>0</v>
      </c>
      <c r="BX117" s="36">
        <f t="shared" si="297"/>
        <v>0</v>
      </c>
      <c r="BY117" s="36">
        <f t="shared" si="297"/>
        <v>0</v>
      </c>
      <c r="BZ117" s="36">
        <f t="shared" si="297"/>
        <v>0</v>
      </c>
      <c r="CA117" s="36">
        <f t="shared" si="297"/>
        <v>0</v>
      </c>
      <c r="CB117" s="36">
        <f t="shared" si="297"/>
        <v>0</v>
      </c>
      <c r="CC117" s="36">
        <f t="shared" si="297"/>
        <v>0</v>
      </c>
      <c r="CD117" s="36">
        <f t="shared" si="297"/>
        <v>0</v>
      </c>
      <c r="CE117" s="36">
        <f t="shared" si="297"/>
        <v>0</v>
      </c>
      <c r="CF117" s="36">
        <f t="shared" si="297"/>
        <v>0</v>
      </c>
      <c r="CG117" s="36">
        <f t="shared" si="297"/>
        <v>0</v>
      </c>
      <c r="CH117" s="36"/>
      <c r="CI117" s="37">
        <f t="shared" ref="CI117:CI121" si="298">MAX(C117:CG117)</f>
        <v>0.73913043478260954</v>
      </c>
      <c r="CJ117" s="39"/>
      <c r="CL117" s="12"/>
    </row>
    <row r="118" spans="2:90">
      <c r="B118" s="36" t="s">
        <v>776</v>
      </c>
      <c r="C118" s="36">
        <f t="shared" ref="C118:AH118" si="299">ABS(C101-C53)</f>
        <v>1.5209591617736744</v>
      </c>
      <c r="D118" s="36">
        <f t="shared" si="299"/>
        <v>1.5196706550088728</v>
      </c>
      <c r="E118" s="36">
        <f t="shared" si="299"/>
        <v>1.5176641716436847</v>
      </c>
      <c r="F118" s="36">
        <f t="shared" si="299"/>
        <v>1.5147151691884944</v>
      </c>
      <c r="G118" s="36">
        <f t="shared" si="299"/>
        <v>1.5108006303999968</v>
      </c>
      <c r="H118" s="36">
        <f t="shared" si="299"/>
        <v>1.5058895809691575</v>
      </c>
      <c r="I118" s="36">
        <f t="shared" si="299"/>
        <v>1.4999424787151747</v>
      </c>
      <c r="J118" s="36">
        <f t="shared" si="299"/>
        <v>1.4929104152029091</v>
      </c>
      <c r="K118" s="36">
        <f t="shared" si="299"/>
        <v>1.4847340998624488</v>
      </c>
      <c r="L118" s="36">
        <f t="shared" si="299"/>
        <v>1.4753425872357813</v>
      </c>
      <c r="M118" s="36">
        <f t="shared" si="299"/>
        <v>1.4646516960908016</v>
      </c>
      <c r="N118" s="36">
        <f t="shared" si="299"/>
        <v>1.4525620539616693</v>
      </c>
      <c r="O118" s="36">
        <f t="shared" si="299"/>
        <v>1.4389566810277021</v>
      </c>
      <c r="P118" s="36">
        <f t="shared" si="299"/>
        <v>1.4236980015325797</v>
      </c>
      <c r="Q118" s="36">
        <f t="shared" si="299"/>
        <v>1.4066241369665489</v>
      </c>
      <c r="R118" s="36">
        <f t="shared" si="299"/>
        <v>1.3875442899183754</v>
      </c>
      <c r="S118" s="36">
        <f t="shared" si="299"/>
        <v>1.3662329665513109</v>
      </c>
      <c r="T118" s="36">
        <f t="shared" si="299"/>
        <v>1.3424227030065106</v>
      </c>
      <c r="U118" s="36">
        <f t="shared" si="299"/>
        <v>1.3157948481033426</v>
      </c>
      <c r="V118" s="36">
        <f t="shared" si="299"/>
        <v>1.285967799302109</v>
      </c>
      <c r="W118" s="36">
        <f t="shared" si="299"/>
        <v>1.2524818737394923</v>
      </c>
      <c r="X118" s="36">
        <f t="shared" si="299"/>
        <v>1.2147796969002629</v>
      </c>
      <c r="Y118" s="36">
        <f t="shared" si="299"/>
        <v>1.1721805744407481</v>
      </c>
      <c r="Z118" s="36">
        <f t="shared" si="299"/>
        <v>1.1238467328077113</v>
      </c>
      <c r="AA118" s="36">
        <f t="shared" si="299"/>
        <v>1.0687385160707481</v>
      </c>
      <c r="AB118" s="36">
        <f t="shared" si="299"/>
        <v>1.0055545542109363</v>
      </c>
      <c r="AC118" s="36">
        <f t="shared" si="299"/>
        <v>0.93265155518569876</v>
      </c>
      <c r="AD118" s="36">
        <f t="shared" si="299"/>
        <v>0.84793685870315516</v>
      </c>
      <c r="AE118" s="36">
        <f t="shared" si="299"/>
        <v>0.74872584646864249</v>
      </c>
      <c r="AF118" s="36">
        <f t="shared" si="299"/>
        <v>0.63155771924715676</v>
      </c>
      <c r="AG118" s="36">
        <f t="shared" si="299"/>
        <v>0.49197270114240488</v>
      </c>
      <c r="AH118" s="36">
        <f t="shared" si="299"/>
        <v>0.32428675218239444</v>
      </c>
      <c r="AI118" s="36">
        <f t="shared" ref="AI118:BN118" si="300">ABS(AI101-AI53)</f>
        <v>0.12149592617436022</v>
      </c>
      <c r="AJ118" s="36">
        <f t="shared" si="300"/>
        <v>0.12430366610334365</v>
      </c>
      <c r="AK118" s="36">
        <f t="shared" si="300"/>
        <v>0.41999372595115592</v>
      </c>
      <c r="AL118" s="36">
        <f t="shared" si="300"/>
        <v>0.76589752774048581</v>
      </c>
      <c r="AM118" s="36">
        <f t="shared" si="300"/>
        <v>1.1437305555570063</v>
      </c>
      <c r="AN118" s="36">
        <f t="shared" si="300"/>
        <v>1.5000705698132362</v>
      </c>
      <c r="AO118" s="36">
        <f t="shared" si="300"/>
        <v>1.7471874494892941</v>
      </c>
      <c r="AP118" s="36">
        <f t="shared" si="300"/>
        <v>1.7900660360226941</v>
      </c>
      <c r="AQ118" s="36">
        <f t="shared" si="300"/>
        <v>1.7947317531250353</v>
      </c>
      <c r="AR118" s="36">
        <f t="shared" si="300"/>
        <v>1.6445259454440313</v>
      </c>
      <c r="AS118" s="36">
        <f t="shared" si="300"/>
        <v>1.4169555465978725</v>
      </c>
      <c r="AT118" s="36">
        <f t="shared" si="300"/>
        <v>1.1746877586095432</v>
      </c>
      <c r="AU118" s="36">
        <f t="shared" si="300"/>
        <v>0.9495574933964841</v>
      </c>
      <c r="AV118" s="36">
        <f t="shared" si="300"/>
        <v>0.75223867422314994</v>
      </c>
      <c r="AW118" s="36">
        <f t="shared" si="300"/>
        <v>0.58335456042539358</v>
      </c>
      <c r="AX118" s="36">
        <f t="shared" si="300"/>
        <v>0.4398405422859295</v>
      </c>
      <c r="AY118" s="36">
        <f t="shared" si="300"/>
        <v>0.31778229658088164</v>
      </c>
      <c r="AZ118" s="36">
        <f t="shared" si="300"/>
        <v>0.21348840658631896</v>
      </c>
      <c r="BA118" s="36">
        <f t="shared" si="300"/>
        <v>0.12380801178800138</v>
      </c>
      <c r="BB118" s="36">
        <f t="shared" si="300"/>
        <v>4.6158425662510716E-2</v>
      </c>
      <c r="BC118" s="36">
        <f t="shared" si="300"/>
        <v>2.1543252339879082E-2</v>
      </c>
      <c r="BD118" s="36">
        <f t="shared" si="300"/>
        <v>8.0969005942752137E-2</v>
      </c>
      <c r="BE118" s="36">
        <f t="shared" si="300"/>
        <v>0.13346258010144307</v>
      </c>
      <c r="BF118" s="36">
        <f t="shared" si="300"/>
        <v>0.18010854456038761</v>
      </c>
      <c r="BG118" s="36">
        <f t="shared" si="300"/>
        <v>0.22178741977953065</v>
      </c>
      <c r="BH118" s="36">
        <f t="shared" si="300"/>
        <v>0.25921879977476392</v>
      </c>
      <c r="BI118" s="36">
        <f t="shared" si="300"/>
        <v>0.29299481979817421</v>
      </c>
      <c r="BJ118" s="36">
        <f t="shared" si="300"/>
        <v>0.32360609428296661</v>
      </c>
      <c r="BK118" s="36">
        <f t="shared" si="300"/>
        <v>0.35146186390113532</v>
      </c>
      <c r="BL118" s="36">
        <f t="shared" si="300"/>
        <v>0.37690571176405685</v>
      </c>
      <c r="BM118" s="36">
        <f t="shared" si="300"/>
        <v>0.40022789007355053</v>
      </c>
      <c r="BN118" s="36">
        <f t="shared" si="300"/>
        <v>0.42167504695168723</v>
      </c>
      <c r="BO118" s="36">
        <f t="shared" ref="BO118:CG118" si="301">ABS(BO101-BO53)</f>
        <v>0.44145795056379522</v>
      </c>
      <c r="BP118" s="36">
        <f t="shared" si="301"/>
        <v>0.45975766234041759</v>
      </c>
      <c r="BQ118" s="36">
        <f t="shared" si="301"/>
        <v>0.4767305021743673</v>
      </c>
      <c r="BR118" s="36">
        <f t="shared" si="301"/>
        <v>0.49251206693175975</v>
      </c>
      <c r="BS118" s="36">
        <f t="shared" si="301"/>
        <v>0.50722050249509332</v>
      </c>
      <c r="BT118" s="36">
        <f t="shared" si="301"/>
        <v>0.52095918359185678</v>
      </c>
      <c r="BU118" s="36">
        <f t="shared" si="301"/>
        <v>0.55355621071246031</v>
      </c>
      <c r="BV118" s="36">
        <f t="shared" si="301"/>
        <v>0.58124127898199118</v>
      </c>
      <c r="BW118" s="36">
        <f t="shared" si="301"/>
        <v>0.60503456512878262</v>
      </c>
      <c r="BX118" s="36">
        <f t="shared" si="301"/>
        <v>0.62569774293253255</v>
      </c>
      <c r="BY118" s="36">
        <f t="shared" si="301"/>
        <v>0.64381026322898005</v>
      </c>
      <c r="BZ118" s="36">
        <f t="shared" si="301"/>
        <v>0.65982028815330129</v>
      </c>
      <c r="CA118" s="36">
        <f t="shared" si="301"/>
        <v>0.67407954053826402</v>
      </c>
      <c r="CB118" s="36">
        <f t="shared" si="301"/>
        <v>0.68686767168454022</v>
      </c>
      <c r="CC118" s="36">
        <f t="shared" si="301"/>
        <v>0.69840963469940731</v>
      </c>
      <c r="CD118" s="36">
        <f t="shared" si="301"/>
        <v>0.70888828963455752</v>
      </c>
      <c r="CE118" s="36">
        <f t="shared" si="301"/>
        <v>0.71845369474236054</v>
      </c>
      <c r="CF118" s="36">
        <f t="shared" si="301"/>
        <v>0.72723005394716855</v>
      </c>
      <c r="CG118" s="36">
        <f t="shared" si="301"/>
        <v>0.73532098003813651</v>
      </c>
      <c r="CH118" s="36"/>
      <c r="CI118" s="37"/>
      <c r="CJ118" s="39"/>
      <c r="CL118" s="12"/>
    </row>
    <row r="119" spans="2:90">
      <c r="B119" s="36" t="s">
        <v>774</v>
      </c>
      <c r="C119" s="36">
        <f t="shared" ref="C119:AH119" si="302">IF(C118&lt;0.05,C25,0)</f>
        <v>0</v>
      </c>
      <c r="D119" s="36">
        <f t="shared" si="302"/>
        <v>0</v>
      </c>
      <c r="E119" s="36">
        <f t="shared" si="302"/>
        <v>0</v>
      </c>
      <c r="F119" s="36">
        <f t="shared" si="302"/>
        <v>0</v>
      </c>
      <c r="G119" s="36">
        <f t="shared" si="302"/>
        <v>0</v>
      </c>
      <c r="H119" s="36">
        <f t="shared" si="302"/>
        <v>0</v>
      </c>
      <c r="I119" s="36">
        <f t="shared" si="302"/>
        <v>0</v>
      </c>
      <c r="J119" s="36">
        <f t="shared" si="302"/>
        <v>0</v>
      </c>
      <c r="K119" s="36">
        <f t="shared" si="302"/>
        <v>0</v>
      </c>
      <c r="L119" s="36">
        <f t="shared" si="302"/>
        <v>0</v>
      </c>
      <c r="M119" s="36">
        <f t="shared" si="302"/>
        <v>0</v>
      </c>
      <c r="N119" s="36">
        <f t="shared" si="302"/>
        <v>0</v>
      </c>
      <c r="O119" s="36">
        <f t="shared" si="302"/>
        <v>0</v>
      </c>
      <c r="P119" s="36">
        <f t="shared" si="302"/>
        <v>0</v>
      </c>
      <c r="Q119" s="36">
        <f t="shared" si="302"/>
        <v>0</v>
      </c>
      <c r="R119" s="36">
        <f t="shared" si="302"/>
        <v>0</v>
      </c>
      <c r="S119" s="36">
        <f t="shared" si="302"/>
        <v>0</v>
      </c>
      <c r="T119" s="36">
        <f t="shared" si="302"/>
        <v>0</v>
      </c>
      <c r="U119" s="36">
        <f t="shared" si="302"/>
        <v>0</v>
      </c>
      <c r="V119" s="36">
        <f t="shared" si="302"/>
        <v>0</v>
      </c>
      <c r="W119" s="36">
        <f t="shared" si="302"/>
        <v>0</v>
      </c>
      <c r="X119" s="36">
        <f t="shared" si="302"/>
        <v>0</v>
      </c>
      <c r="Y119" s="36">
        <f t="shared" si="302"/>
        <v>0</v>
      </c>
      <c r="Z119" s="36">
        <f t="shared" si="302"/>
        <v>0</v>
      </c>
      <c r="AA119" s="36">
        <f t="shared" si="302"/>
        <v>0</v>
      </c>
      <c r="AB119" s="36">
        <f t="shared" si="302"/>
        <v>0</v>
      </c>
      <c r="AC119" s="36">
        <f t="shared" si="302"/>
        <v>0</v>
      </c>
      <c r="AD119" s="36">
        <f t="shared" si="302"/>
        <v>0</v>
      </c>
      <c r="AE119" s="36">
        <f t="shared" si="302"/>
        <v>0</v>
      </c>
      <c r="AF119" s="36">
        <f t="shared" si="302"/>
        <v>0</v>
      </c>
      <c r="AG119" s="36">
        <f t="shared" si="302"/>
        <v>0</v>
      </c>
      <c r="AH119" s="36">
        <f t="shared" si="302"/>
        <v>0</v>
      </c>
      <c r="AI119" s="36">
        <f t="shared" ref="AI119:BN119" si="303">IF(AI118&lt;0.05,AI25,0)</f>
        <v>0</v>
      </c>
      <c r="AJ119" s="36">
        <f t="shared" si="303"/>
        <v>0</v>
      </c>
      <c r="AK119" s="36">
        <f t="shared" si="303"/>
        <v>0</v>
      </c>
      <c r="AL119" s="36">
        <f t="shared" si="303"/>
        <v>0</v>
      </c>
      <c r="AM119" s="36">
        <f t="shared" si="303"/>
        <v>0</v>
      </c>
      <c r="AN119" s="36">
        <f t="shared" si="303"/>
        <v>0</v>
      </c>
      <c r="AO119" s="36">
        <f t="shared" si="303"/>
        <v>0</v>
      </c>
      <c r="AP119" s="36">
        <f t="shared" si="303"/>
        <v>0</v>
      </c>
      <c r="AQ119" s="36">
        <f t="shared" si="303"/>
        <v>0</v>
      </c>
      <c r="AR119" s="36">
        <f t="shared" si="303"/>
        <v>0</v>
      </c>
      <c r="AS119" s="36">
        <f t="shared" si="303"/>
        <v>0</v>
      </c>
      <c r="AT119" s="36">
        <f t="shared" si="303"/>
        <v>0</v>
      </c>
      <c r="AU119" s="36">
        <f t="shared" si="303"/>
        <v>0</v>
      </c>
      <c r="AV119" s="36">
        <f t="shared" si="303"/>
        <v>0</v>
      </c>
      <c r="AW119" s="36">
        <f t="shared" si="303"/>
        <v>0</v>
      </c>
      <c r="AX119" s="36">
        <f t="shared" si="303"/>
        <v>0</v>
      </c>
      <c r="AY119" s="36">
        <f t="shared" si="303"/>
        <v>0</v>
      </c>
      <c r="AZ119" s="36">
        <f t="shared" si="303"/>
        <v>0</v>
      </c>
      <c r="BA119" s="36">
        <f t="shared" si="303"/>
        <v>0</v>
      </c>
      <c r="BB119" s="36">
        <f t="shared" si="303"/>
        <v>0.73913043478260954</v>
      </c>
      <c r="BC119" s="36">
        <f t="shared" si="303"/>
        <v>0.75362318840579789</v>
      </c>
      <c r="BD119" s="36">
        <f t="shared" si="303"/>
        <v>0</v>
      </c>
      <c r="BE119" s="36">
        <f t="shared" si="303"/>
        <v>0</v>
      </c>
      <c r="BF119" s="36">
        <f t="shared" si="303"/>
        <v>0</v>
      </c>
      <c r="BG119" s="36">
        <f t="shared" si="303"/>
        <v>0</v>
      </c>
      <c r="BH119" s="36">
        <f t="shared" si="303"/>
        <v>0</v>
      </c>
      <c r="BI119" s="36">
        <f t="shared" si="303"/>
        <v>0</v>
      </c>
      <c r="BJ119" s="36">
        <f t="shared" si="303"/>
        <v>0</v>
      </c>
      <c r="BK119" s="36">
        <f t="shared" si="303"/>
        <v>0</v>
      </c>
      <c r="BL119" s="36">
        <f t="shared" si="303"/>
        <v>0</v>
      </c>
      <c r="BM119" s="36">
        <f t="shared" si="303"/>
        <v>0</v>
      </c>
      <c r="BN119" s="36">
        <f t="shared" si="303"/>
        <v>0</v>
      </c>
      <c r="BO119" s="36">
        <f t="shared" ref="BO119:CG119" si="304">IF(BO118&lt;0.05,BO25,0)</f>
        <v>0</v>
      </c>
      <c r="BP119" s="36">
        <f t="shared" si="304"/>
        <v>0</v>
      </c>
      <c r="BQ119" s="36">
        <f t="shared" si="304"/>
        <v>0</v>
      </c>
      <c r="BR119" s="36">
        <f t="shared" si="304"/>
        <v>0</v>
      </c>
      <c r="BS119" s="36">
        <f t="shared" si="304"/>
        <v>0</v>
      </c>
      <c r="BT119" s="36">
        <f t="shared" si="304"/>
        <v>0</v>
      </c>
      <c r="BU119" s="36">
        <f t="shared" si="304"/>
        <v>0</v>
      </c>
      <c r="BV119" s="36">
        <f t="shared" si="304"/>
        <v>0</v>
      </c>
      <c r="BW119" s="36">
        <f t="shared" si="304"/>
        <v>0</v>
      </c>
      <c r="BX119" s="36">
        <f t="shared" si="304"/>
        <v>0</v>
      </c>
      <c r="BY119" s="36">
        <f t="shared" si="304"/>
        <v>0</v>
      </c>
      <c r="BZ119" s="36">
        <f t="shared" si="304"/>
        <v>0</v>
      </c>
      <c r="CA119" s="36">
        <f t="shared" si="304"/>
        <v>0</v>
      </c>
      <c r="CB119" s="36">
        <f t="shared" si="304"/>
        <v>0</v>
      </c>
      <c r="CC119" s="36">
        <f t="shared" si="304"/>
        <v>0</v>
      </c>
      <c r="CD119" s="36">
        <f t="shared" si="304"/>
        <v>0</v>
      </c>
      <c r="CE119" s="36">
        <f t="shared" si="304"/>
        <v>0</v>
      </c>
      <c r="CF119" s="36">
        <f t="shared" si="304"/>
        <v>0</v>
      </c>
      <c r="CG119" s="36">
        <f t="shared" si="304"/>
        <v>0</v>
      </c>
      <c r="CH119" s="36"/>
      <c r="CI119" s="37">
        <f t="shared" si="298"/>
        <v>0.75362318840579789</v>
      </c>
      <c r="CJ119" s="39"/>
      <c r="CL119" s="12"/>
    </row>
    <row r="120" spans="2:90">
      <c r="B120" s="36" t="s">
        <v>777</v>
      </c>
      <c r="C120" s="36">
        <f t="shared" ref="C120:AH120" si="305">ABS(C102-C53)</f>
        <v>1.5209591617736742</v>
      </c>
      <c r="D120" s="36">
        <f t="shared" si="305"/>
        <v>1.519670569996356</v>
      </c>
      <c r="E120" s="36">
        <f t="shared" si="305"/>
        <v>1.5176636151136631</v>
      </c>
      <c r="F120" s="36">
        <f t="shared" si="305"/>
        <v>1.5147131674456376</v>
      </c>
      <c r="G120" s="36">
        <f t="shared" si="305"/>
        <v>1.5107953205488918</v>
      </c>
      <c r="H120" s="36">
        <f t="shared" si="305"/>
        <v>1.5058778643874755</v>
      </c>
      <c r="I120" s="36">
        <f t="shared" si="305"/>
        <v>1.4999196144936544</v>
      </c>
      <c r="J120" s="36">
        <f t="shared" si="305"/>
        <v>1.4928695316381946</v>
      </c>
      <c r="K120" s="36">
        <f t="shared" si="305"/>
        <v>1.4846655962036417</v>
      </c>
      <c r="L120" s="36">
        <f t="shared" si="305"/>
        <v>1.4752333896731502</v>
      </c>
      <c r="M120" s="36">
        <f t="shared" si="305"/>
        <v>1.4644843205532345</v>
      </c>
      <c r="N120" s="36">
        <f t="shared" si="305"/>
        <v>1.4523134123666612</v>
      </c>
      <c r="O120" s="36">
        <f t="shared" si="305"/>
        <v>1.4385965453012217</v>
      </c>
      <c r="P120" s="36">
        <f t="shared" si="305"/>
        <v>1.4231870081572049</v>
      </c>
      <c r="Q120" s="36">
        <f t="shared" si="305"/>
        <v>1.4059111697720414</v>
      </c>
      <c r="R120" s="36">
        <f t="shared" si="305"/>
        <v>1.3865630138259109</v>
      </c>
      <c r="S120" s="36">
        <f t="shared" si="305"/>
        <v>1.3648971900313009</v>
      </c>
      <c r="T120" s="36">
        <f t="shared" si="305"/>
        <v>1.3406201064656642</v>
      </c>
      <c r="U120" s="36">
        <f t="shared" si="305"/>
        <v>1.3133784043854262</v>
      </c>
      <c r="V120" s="36">
        <f t="shared" si="305"/>
        <v>1.2827438906767985</v>
      </c>
      <c r="W120" s="36">
        <f t="shared" si="305"/>
        <v>1.2481936107466924</v>
      </c>
      <c r="X120" s="36">
        <f t="shared" si="305"/>
        <v>1.2090831565610742</v>
      </c>
      <c r="Y120" s="36">
        <f t="shared" si="305"/>
        <v>1.1646104069603531</v>
      </c>
      <c r="Z120" s="36">
        <f t="shared" si="305"/>
        <v>1.1137655004129074</v>
      </c>
      <c r="AA120" s="36">
        <f t="shared" si="305"/>
        <v>1.0552606196618506</v>
      </c>
      <c r="AB120" s="36">
        <f t="shared" si="305"/>
        <v>0.98742955582299874</v>
      </c>
      <c r="AC120" s="36">
        <f t="shared" si="305"/>
        <v>0.90808099811463183</v>
      </c>
      <c r="AD120" s="36">
        <f t="shared" si="305"/>
        <v>0.81427918869310711</v>
      </c>
      <c r="AE120" s="36">
        <f t="shared" si="305"/>
        <v>0.70200744341422994</v>
      </c>
      <c r="AF120" s="36">
        <f t="shared" si="305"/>
        <v>0.56563720472403956</v>
      </c>
      <c r="AG120" s="36">
        <f t="shared" si="305"/>
        <v>0.39706427602498695</v>
      </c>
      <c r="AH120" s="36">
        <f t="shared" si="305"/>
        <v>0.18425839889150075</v>
      </c>
      <c r="AI120" s="36">
        <f t="shared" ref="AI120:BN120" si="306">ABS(AI102-AI53)</f>
        <v>9.1244998593027482E-2</v>
      </c>
      <c r="AJ120" s="36">
        <f t="shared" si="306"/>
        <v>0.45875754960222359</v>
      </c>
      <c r="AK120" s="36">
        <f t="shared" si="306"/>
        <v>0.96598801000463874</v>
      </c>
      <c r="AL120" s="36">
        <f t="shared" si="306"/>
        <v>1.6893608710680597</v>
      </c>
      <c r="AM120" s="36">
        <f t="shared" si="306"/>
        <v>2.7286779584941234</v>
      </c>
      <c r="AN120" s="36">
        <f t="shared" si="306"/>
        <v>4.0629189444601055</v>
      </c>
      <c r="AO120" s="36">
        <f t="shared" si="306"/>
        <v>5.0153057226888142</v>
      </c>
      <c r="AP120" s="36">
        <f t="shared" si="306"/>
        <v>5.0409179068946814</v>
      </c>
      <c r="AQ120" s="36">
        <f t="shared" si="306"/>
        <v>4.3073441057247761</v>
      </c>
      <c r="AR120" s="36">
        <f t="shared" si="306"/>
        <v>3.2354104262786452</v>
      </c>
      <c r="AS120" s="36">
        <f t="shared" si="306"/>
        <v>2.3805664128115969</v>
      </c>
      <c r="AT120" s="36">
        <f t="shared" si="306"/>
        <v>1.7681295214213479</v>
      </c>
      <c r="AU120" s="36">
        <f t="shared" si="306"/>
        <v>1.3276873797922351</v>
      </c>
      <c r="AV120" s="36">
        <f t="shared" si="306"/>
        <v>1.0019889249981029</v>
      </c>
      <c r="AW120" s="36">
        <f t="shared" si="306"/>
        <v>0.75378235116744818</v>
      </c>
      <c r="AX120" s="36">
        <f t="shared" si="306"/>
        <v>0.55943580428732931</v>
      </c>
      <c r="AY120" s="36">
        <f t="shared" si="306"/>
        <v>0.40368173387027539</v>
      </c>
      <c r="AZ120" s="36">
        <f t="shared" si="306"/>
        <v>0.27636888949165006</v>
      </c>
      <c r="BA120" s="36">
        <f t="shared" si="306"/>
        <v>0.17054433787790235</v>
      </c>
      <c r="BB120" s="36">
        <f t="shared" si="306"/>
        <v>8.1311784250740482E-2</v>
      </c>
      <c r="BC120" s="36">
        <f t="shared" si="306"/>
        <v>5.1358125111753417E-3</v>
      </c>
      <c r="BD120" s="36">
        <f t="shared" si="306"/>
        <v>6.0593952791017536E-2</v>
      </c>
      <c r="BE120" s="36">
        <f t="shared" si="306"/>
        <v>0.11784345843502919</v>
      </c>
      <c r="BF120" s="36">
        <f t="shared" si="306"/>
        <v>0.16811963005974517</v>
      </c>
      <c r="BG120" s="36">
        <f t="shared" si="306"/>
        <v>0.21259583385786684</v>
      </c>
      <c r="BH120" s="36">
        <f t="shared" si="306"/>
        <v>0.25219864385948609</v>
      </c>
      <c r="BI120" s="36">
        <f t="shared" si="306"/>
        <v>0.28766904991240838</v>
      </c>
      <c r="BJ120" s="36">
        <f t="shared" si="306"/>
        <v>0.31960642063704325</v>
      </c>
      <c r="BK120" s="36">
        <f t="shared" si="306"/>
        <v>0.34850060240076353</v>
      </c>
      <c r="BL120" s="36">
        <f t="shared" si="306"/>
        <v>0.37475570938096792</v>
      </c>
      <c r="BM120" s="36">
        <f t="shared" si="306"/>
        <v>0.39870799849764671</v>
      </c>
      <c r="BN120" s="36">
        <f t="shared" si="306"/>
        <v>0.42063946956865861</v>
      </c>
      <c r="BO120" s="36">
        <f t="shared" ref="BO120:CG120" si="307">ABS(BO102-BO53)</f>
        <v>0.44078833309643661</v>
      </c>
      <c r="BP120" s="36">
        <f t="shared" si="307"/>
        <v>0.45935715330042748</v>
      </c>
      <c r="BQ120" s="36">
        <f t="shared" si="307"/>
        <v>0.47651924529340683</v>
      </c>
      <c r="BR120" s="36">
        <f t="shared" si="307"/>
        <v>0.49242374672096001</v>
      </c>
      <c r="BS120" s="36">
        <f t="shared" si="307"/>
        <v>0.50719967270915389</v>
      </c>
      <c r="BT120" s="36">
        <f t="shared" si="307"/>
        <v>0.52095918359185678</v>
      </c>
      <c r="BU120" s="36">
        <f t="shared" si="307"/>
        <v>0.55343365787318899</v>
      </c>
      <c r="BV120" s="36">
        <f t="shared" si="307"/>
        <v>0.5808074385682207</v>
      </c>
      <c r="BW120" s="36">
        <f t="shared" si="307"/>
        <v>0.60415998709802665</v>
      </c>
      <c r="BX120" s="36">
        <f t="shared" si="307"/>
        <v>0.62429013737585481</v>
      </c>
      <c r="BY120" s="36">
        <f t="shared" si="307"/>
        <v>0.64180132359136921</v>
      </c>
      <c r="BZ120" s="36">
        <f t="shared" si="307"/>
        <v>0.65715758999800522</v>
      </c>
      <c r="CA120" s="36">
        <f t="shared" si="307"/>
        <v>0.6707214223337794</v>
      </c>
      <c r="CB120" s="36">
        <f t="shared" si="307"/>
        <v>0.68277992207785565</v>
      </c>
      <c r="CC120" s="36">
        <f t="shared" si="307"/>
        <v>0.69356330393040388</v>
      </c>
      <c r="CD120" s="36">
        <f t="shared" si="307"/>
        <v>0.70325821725124626</v>
      </c>
      <c r="CE120" s="36">
        <f t="shared" si="307"/>
        <v>0.71201750342567427</v>
      </c>
      <c r="CF120" s="36">
        <f t="shared" si="307"/>
        <v>0.7199674523576719</v>
      </c>
      <c r="CG120" s="36">
        <f t="shared" si="307"/>
        <v>0.72721327397675184</v>
      </c>
      <c r="CH120" s="36"/>
      <c r="CI120" s="37"/>
      <c r="CJ120" s="39"/>
      <c r="CL120" s="12"/>
    </row>
    <row r="121" spans="2:90" ht="15.75" thickBot="1">
      <c r="B121" s="36" t="s">
        <v>774</v>
      </c>
      <c r="C121" s="36">
        <f t="shared" ref="C121:AH121" si="308">IF(C120&lt;0.05,C25,0)</f>
        <v>0</v>
      </c>
      <c r="D121" s="36">
        <f t="shared" si="308"/>
        <v>0</v>
      </c>
      <c r="E121" s="36">
        <f t="shared" si="308"/>
        <v>0</v>
      </c>
      <c r="F121" s="36">
        <f t="shared" si="308"/>
        <v>0</v>
      </c>
      <c r="G121" s="36">
        <f t="shared" si="308"/>
        <v>0</v>
      </c>
      <c r="H121" s="36">
        <f t="shared" si="308"/>
        <v>0</v>
      </c>
      <c r="I121" s="36">
        <f t="shared" si="308"/>
        <v>0</v>
      </c>
      <c r="J121" s="36">
        <f t="shared" si="308"/>
        <v>0</v>
      </c>
      <c r="K121" s="36">
        <f t="shared" si="308"/>
        <v>0</v>
      </c>
      <c r="L121" s="36">
        <f t="shared" si="308"/>
        <v>0</v>
      </c>
      <c r="M121" s="36">
        <f t="shared" si="308"/>
        <v>0</v>
      </c>
      <c r="N121" s="36">
        <f t="shared" si="308"/>
        <v>0</v>
      </c>
      <c r="O121" s="36">
        <f t="shared" si="308"/>
        <v>0</v>
      </c>
      <c r="P121" s="36">
        <f t="shared" si="308"/>
        <v>0</v>
      </c>
      <c r="Q121" s="36">
        <f t="shared" si="308"/>
        <v>0</v>
      </c>
      <c r="R121" s="36">
        <f t="shared" si="308"/>
        <v>0</v>
      </c>
      <c r="S121" s="36">
        <f t="shared" si="308"/>
        <v>0</v>
      </c>
      <c r="T121" s="36">
        <f t="shared" si="308"/>
        <v>0</v>
      </c>
      <c r="U121" s="36">
        <f t="shared" si="308"/>
        <v>0</v>
      </c>
      <c r="V121" s="36">
        <f t="shared" si="308"/>
        <v>0</v>
      </c>
      <c r="W121" s="36">
        <f t="shared" si="308"/>
        <v>0</v>
      </c>
      <c r="X121" s="36">
        <f t="shared" si="308"/>
        <v>0</v>
      </c>
      <c r="Y121" s="36">
        <f t="shared" si="308"/>
        <v>0</v>
      </c>
      <c r="Z121" s="36">
        <f t="shared" si="308"/>
        <v>0</v>
      </c>
      <c r="AA121" s="36">
        <f t="shared" si="308"/>
        <v>0</v>
      </c>
      <c r="AB121" s="36">
        <f t="shared" si="308"/>
        <v>0</v>
      </c>
      <c r="AC121" s="36">
        <f t="shared" si="308"/>
        <v>0</v>
      </c>
      <c r="AD121" s="36">
        <f t="shared" si="308"/>
        <v>0</v>
      </c>
      <c r="AE121" s="36">
        <f t="shared" si="308"/>
        <v>0</v>
      </c>
      <c r="AF121" s="36">
        <f t="shared" si="308"/>
        <v>0</v>
      </c>
      <c r="AG121" s="36">
        <f t="shared" si="308"/>
        <v>0</v>
      </c>
      <c r="AH121" s="36">
        <f t="shared" si="308"/>
        <v>0</v>
      </c>
      <c r="AI121" s="36">
        <f t="shared" ref="AI121:BN121" si="309">IF(AI120&lt;0.05,AI25,0)</f>
        <v>0</v>
      </c>
      <c r="AJ121" s="36">
        <f t="shared" si="309"/>
        <v>0</v>
      </c>
      <c r="AK121" s="36">
        <f t="shared" si="309"/>
        <v>0</v>
      </c>
      <c r="AL121" s="36">
        <f t="shared" si="309"/>
        <v>0</v>
      </c>
      <c r="AM121" s="36">
        <f t="shared" si="309"/>
        <v>0</v>
      </c>
      <c r="AN121" s="36">
        <f t="shared" si="309"/>
        <v>0</v>
      </c>
      <c r="AO121" s="36">
        <f t="shared" si="309"/>
        <v>0</v>
      </c>
      <c r="AP121" s="36">
        <f t="shared" si="309"/>
        <v>0</v>
      </c>
      <c r="AQ121" s="36">
        <f t="shared" si="309"/>
        <v>0</v>
      </c>
      <c r="AR121" s="36">
        <f t="shared" si="309"/>
        <v>0</v>
      </c>
      <c r="AS121" s="36">
        <f t="shared" si="309"/>
        <v>0</v>
      </c>
      <c r="AT121" s="36">
        <f t="shared" si="309"/>
        <v>0</v>
      </c>
      <c r="AU121" s="36">
        <f t="shared" si="309"/>
        <v>0</v>
      </c>
      <c r="AV121" s="36">
        <f t="shared" si="309"/>
        <v>0</v>
      </c>
      <c r="AW121" s="36">
        <f t="shared" si="309"/>
        <v>0</v>
      </c>
      <c r="AX121" s="36">
        <f t="shared" si="309"/>
        <v>0</v>
      </c>
      <c r="AY121" s="36">
        <f t="shared" si="309"/>
        <v>0</v>
      </c>
      <c r="AZ121" s="36">
        <f t="shared" si="309"/>
        <v>0</v>
      </c>
      <c r="BA121" s="36">
        <f t="shared" si="309"/>
        <v>0</v>
      </c>
      <c r="BB121" s="36">
        <f t="shared" si="309"/>
        <v>0</v>
      </c>
      <c r="BC121" s="36">
        <f t="shared" si="309"/>
        <v>0.75362318840579789</v>
      </c>
      <c r="BD121" s="36">
        <f t="shared" si="309"/>
        <v>0</v>
      </c>
      <c r="BE121" s="36">
        <f t="shared" si="309"/>
        <v>0</v>
      </c>
      <c r="BF121" s="36">
        <f t="shared" si="309"/>
        <v>0</v>
      </c>
      <c r="BG121" s="36">
        <f t="shared" si="309"/>
        <v>0</v>
      </c>
      <c r="BH121" s="36">
        <f t="shared" si="309"/>
        <v>0</v>
      </c>
      <c r="BI121" s="36">
        <f t="shared" si="309"/>
        <v>0</v>
      </c>
      <c r="BJ121" s="36">
        <f t="shared" si="309"/>
        <v>0</v>
      </c>
      <c r="BK121" s="36">
        <f t="shared" si="309"/>
        <v>0</v>
      </c>
      <c r="BL121" s="36">
        <f t="shared" si="309"/>
        <v>0</v>
      </c>
      <c r="BM121" s="36">
        <f t="shared" si="309"/>
        <v>0</v>
      </c>
      <c r="BN121" s="36">
        <f t="shared" si="309"/>
        <v>0</v>
      </c>
      <c r="BO121" s="36">
        <f t="shared" ref="BO121:CG121" si="310">IF(BO120&lt;0.05,BO25,0)</f>
        <v>0</v>
      </c>
      <c r="BP121" s="36">
        <f t="shared" si="310"/>
        <v>0</v>
      </c>
      <c r="BQ121" s="36">
        <f t="shared" si="310"/>
        <v>0</v>
      </c>
      <c r="BR121" s="36">
        <f t="shared" si="310"/>
        <v>0</v>
      </c>
      <c r="BS121" s="36">
        <f t="shared" si="310"/>
        <v>0</v>
      </c>
      <c r="BT121" s="36">
        <f t="shared" si="310"/>
        <v>0</v>
      </c>
      <c r="BU121" s="36">
        <f t="shared" si="310"/>
        <v>0</v>
      </c>
      <c r="BV121" s="36">
        <f t="shared" si="310"/>
        <v>0</v>
      </c>
      <c r="BW121" s="36">
        <f t="shared" si="310"/>
        <v>0</v>
      </c>
      <c r="BX121" s="36">
        <f t="shared" si="310"/>
        <v>0</v>
      </c>
      <c r="BY121" s="36">
        <f t="shared" si="310"/>
        <v>0</v>
      </c>
      <c r="BZ121" s="36">
        <f t="shared" si="310"/>
        <v>0</v>
      </c>
      <c r="CA121" s="36">
        <f t="shared" si="310"/>
        <v>0</v>
      </c>
      <c r="CB121" s="36">
        <f t="shared" si="310"/>
        <v>0</v>
      </c>
      <c r="CC121" s="36">
        <f t="shared" si="310"/>
        <v>0</v>
      </c>
      <c r="CD121" s="36">
        <f t="shared" si="310"/>
        <v>0</v>
      </c>
      <c r="CE121" s="36">
        <f t="shared" si="310"/>
        <v>0</v>
      </c>
      <c r="CF121" s="36">
        <f t="shared" si="310"/>
        <v>0</v>
      </c>
      <c r="CG121" s="36">
        <f t="shared" si="310"/>
        <v>0</v>
      </c>
      <c r="CH121" s="36"/>
      <c r="CI121" s="37">
        <f t="shared" si="298"/>
        <v>0.75362318840579789</v>
      </c>
      <c r="CJ121" s="40"/>
      <c r="CK121" s="14"/>
      <c r="CL121" s="15"/>
    </row>
    <row r="122" spans="2:90" ht="15.75" thickBot="1"/>
    <row r="123" spans="2:90">
      <c r="B123" s="36" t="s">
        <v>778</v>
      </c>
      <c r="C123" s="36">
        <f>ABS(C108-C70)</f>
        <v>1.4114961903030296</v>
      </c>
      <c r="D123" s="36">
        <f t="shared" ref="D123:AH123" si="311">ABS(D108-D70)</f>
        <v>1.410207683538228</v>
      </c>
      <c r="E123" s="36">
        <f t="shared" si="311"/>
        <v>1.40820120017304</v>
      </c>
      <c r="F123" s="36">
        <f t="shared" si="311"/>
        <v>1.4052521977178496</v>
      </c>
      <c r="G123" s="36">
        <f t="shared" si="311"/>
        <v>1.401337658929352</v>
      </c>
      <c r="H123" s="36">
        <f t="shared" si="311"/>
        <v>1.3964266094985127</v>
      </c>
      <c r="I123" s="36">
        <f t="shared" si="311"/>
        <v>1.39047950724453</v>
      </c>
      <c r="J123" s="36">
        <f t="shared" si="311"/>
        <v>1.3834474437322644</v>
      </c>
      <c r="K123" s="36">
        <f t="shared" si="311"/>
        <v>1.375271128391804</v>
      </c>
      <c r="L123" s="36">
        <f t="shared" si="311"/>
        <v>1.3658796157651365</v>
      </c>
      <c r="M123" s="36">
        <f t="shared" si="311"/>
        <v>1.3551887246201568</v>
      </c>
      <c r="N123" s="36">
        <f t="shared" si="311"/>
        <v>1.3430990824910245</v>
      </c>
      <c r="O123" s="36">
        <f t="shared" si="311"/>
        <v>1.3294937095570574</v>
      </c>
      <c r="P123" s="36">
        <f t="shared" si="311"/>
        <v>1.314235030061935</v>
      </c>
      <c r="Q123" s="36">
        <f t="shared" si="311"/>
        <v>1.2971611654959041</v>
      </c>
      <c r="R123" s="36">
        <f t="shared" si="311"/>
        <v>1.2780813184477307</v>
      </c>
      <c r="S123" s="36">
        <f t="shared" si="311"/>
        <v>1.2567699950806661</v>
      </c>
      <c r="T123" s="36">
        <f t="shared" si="311"/>
        <v>1.2329597315358658</v>
      </c>
      <c r="U123" s="36">
        <f t="shared" si="311"/>
        <v>1.2063318766326978</v>
      </c>
      <c r="V123" s="36">
        <f t="shared" si="311"/>
        <v>1.1765048278314643</v>
      </c>
      <c r="W123" s="36">
        <f t="shared" si="311"/>
        <v>1.1430189022688473</v>
      </c>
      <c r="X123" s="36">
        <f t="shared" si="311"/>
        <v>1.1053167254296179</v>
      </c>
      <c r="Y123" s="36">
        <f t="shared" si="311"/>
        <v>1.0627176029701033</v>
      </c>
      <c r="Z123" s="36">
        <f t="shared" si="311"/>
        <v>1.0143837613370663</v>
      </c>
      <c r="AA123" s="36">
        <f t="shared" si="311"/>
        <v>0.95927554460010322</v>
      </c>
      <c r="AB123" s="36">
        <f t="shared" si="311"/>
        <v>0.89609158274029166</v>
      </c>
      <c r="AC123" s="36">
        <f t="shared" si="311"/>
        <v>0.82318858371505388</v>
      </c>
      <c r="AD123" s="36">
        <f t="shared" si="311"/>
        <v>0.7384738872325104</v>
      </c>
      <c r="AE123" s="36">
        <f t="shared" si="311"/>
        <v>0.63926287499799772</v>
      </c>
      <c r="AF123" s="36">
        <f t="shared" si="311"/>
        <v>0.52209474777651199</v>
      </c>
      <c r="AG123" s="36">
        <f t="shared" si="311"/>
        <v>0.38250972967175989</v>
      </c>
      <c r="AH123" s="36">
        <f t="shared" si="311"/>
        <v>0.21482378071174968</v>
      </c>
      <c r="AI123" s="36">
        <f t="shared" ref="AI123:BN123" si="312">ABS(AI108-AI70)</f>
        <v>1.2032954703715237E-2</v>
      </c>
      <c r="AJ123" s="36">
        <f t="shared" si="312"/>
        <v>0.23376663757398863</v>
      </c>
      <c r="AK123" s="36">
        <f t="shared" si="312"/>
        <v>0.52945669742180157</v>
      </c>
      <c r="AL123" s="36">
        <f t="shared" si="312"/>
        <v>0.87536049921113102</v>
      </c>
      <c r="AM123" s="36">
        <f t="shared" si="312"/>
        <v>1.253193527027652</v>
      </c>
      <c r="AN123" s="36">
        <f t="shared" si="312"/>
        <v>1.6095335412838823</v>
      </c>
      <c r="AO123" s="36">
        <f t="shared" si="312"/>
        <v>1.8566504209599406</v>
      </c>
      <c r="AP123" s="36">
        <f t="shared" si="312"/>
        <v>1.8995290074933402</v>
      </c>
      <c r="AQ123" s="36">
        <f t="shared" si="312"/>
        <v>1.9041947245956814</v>
      </c>
      <c r="AR123" s="36">
        <f t="shared" si="312"/>
        <v>1.753988916914677</v>
      </c>
      <c r="AS123" s="36">
        <f t="shared" si="312"/>
        <v>1.5264185180685181</v>
      </c>
      <c r="AT123" s="36">
        <f t="shared" si="312"/>
        <v>1.2841507300801884</v>
      </c>
      <c r="AU123" s="36">
        <f t="shared" si="312"/>
        <v>1.0590204648671293</v>
      </c>
      <c r="AV123" s="36">
        <f t="shared" si="312"/>
        <v>0.8617016456937947</v>
      </c>
      <c r="AW123" s="36">
        <f t="shared" si="312"/>
        <v>0.69281753189603834</v>
      </c>
      <c r="AX123" s="36">
        <f t="shared" si="312"/>
        <v>0.54930351375657471</v>
      </c>
      <c r="AY123" s="36">
        <f t="shared" si="312"/>
        <v>0.42724526805152641</v>
      </c>
      <c r="AZ123" s="36">
        <f t="shared" si="312"/>
        <v>0.32295137805696417</v>
      </c>
      <c r="BA123" s="36">
        <f t="shared" si="312"/>
        <v>0.23327098325864615</v>
      </c>
      <c r="BB123" s="36">
        <f t="shared" si="312"/>
        <v>0.1556213971331557</v>
      </c>
      <c r="BC123" s="36">
        <f t="shared" si="312"/>
        <v>8.7919719130765683E-2</v>
      </c>
      <c r="BD123" s="36">
        <f t="shared" si="312"/>
        <v>2.8493965527892628E-2</v>
      </c>
      <c r="BE123" s="36">
        <f t="shared" si="312"/>
        <v>2.3999608630798308E-2</v>
      </c>
      <c r="BF123" s="36">
        <f t="shared" si="312"/>
        <v>7.0645573089742841E-2</v>
      </c>
      <c r="BG123" s="36">
        <f t="shared" si="312"/>
        <v>0.11232444830888588</v>
      </c>
      <c r="BH123" s="36">
        <f t="shared" si="312"/>
        <v>0.14975582830411915</v>
      </c>
      <c r="BI123" s="36">
        <f t="shared" si="312"/>
        <v>0.18353184832752945</v>
      </c>
      <c r="BJ123" s="36">
        <f t="shared" si="312"/>
        <v>0.21414312281232184</v>
      </c>
      <c r="BK123" s="36">
        <f t="shared" si="312"/>
        <v>0.24199889243049055</v>
      </c>
      <c r="BL123" s="36">
        <f t="shared" si="312"/>
        <v>0.26744274029341208</v>
      </c>
      <c r="BM123" s="36">
        <f t="shared" si="312"/>
        <v>0.29076491860290576</v>
      </c>
      <c r="BN123" s="36">
        <f t="shared" si="312"/>
        <v>0.31221207548104246</v>
      </c>
      <c r="BO123" s="36">
        <f t="shared" ref="BO123:CG123" si="313">ABS(BO108-BO70)</f>
        <v>0.33199497909315046</v>
      </c>
      <c r="BP123" s="36">
        <f t="shared" si="313"/>
        <v>0.35029469086977283</v>
      </c>
      <c r="BQ123" s="36">
        <f t="shared" si="313"/>
        <v>0.36726753070372253</v>
      </c>
      <c r="BR123" s="36">
        <f t="shared" si="313"/>
        <v>0.38304909546111499</v>
      </c>
      <c r="BS123" s="36">
        <f t="shared" si="313"/>
        <v>0.39775753102444855</v>
      </c>
      <c r="BT123" s="36">
        <f t="shared" si="313"/>
        <v>0.41149621212121201</v>
      </c>
      <c r="BU123" s="36">
        <f t="shared" si="313"/>
        <v>0.44409323924181554</v>
      </c>
      <c r="BV123" s="36">
        <f t="shared" si="313"/>
        <v>0.47177830751134642</v>
      </c>
      <c r="BW123" s="36">
        <f t="shared" si="313"/>
        <v>0.49557159365813785</v>
      </c>
      <c r="BX123" s="36">
        <f t="shared" si="313"/>
        <v>0.51623477146188779</v>
      </c>
      <c r="BY123" s="36">
        <f t="shared" si="313"/>
        <v>0.53434729175833529</v>
      </c>
      <c r="BZ123" s="36">
        <f t="shared" si="313"/>
        <v>0.55035731668265653</v>
      </c>
      <c r="CA123" s="36">
        <f t="shared" si="313"/>
        <v>0.56461656906761926</v>
      </c>
      <c r="CB123" s="36">
        <f t="shared" si="313"/>
        <v>0.57740470021389545</v>
      </c>
      <c r="CC123" s="36">
        <f t="shared" si="313"/>
        <v>0.58894666322876255</v>
      </c>
      <c r="CD123" s="36">
        <f t="shared" si="313"/>
        <v>0.59942531816391276</v>
      </c>
      <c r="CE123" s="36">
        <f t="shared" si="313"/>
        <v>0.60899072327171577</v>
      </c>
      <c r="CF123" s="36">
        <f t="shared" si="313"/>
        <v>0.61776708247652379</v>
      </c>
      <c r="CG123" s="36">
        <f t="shared" si="313"/>
        <v>0.62585800856749163</v>
      </c>
      <c r="CH123" s="36"/>
      <c r="CI123" s="37" t="s">
        <v>592</v>
      </c>
      <c r="CJ123" s="38" t="s">
        <v>772</v>
      </c>
      <c r="CK123" s="9" t="s">
        <v>773</v>
      </c>
      <c r="CL123" s="10"/>
    </row>
    <row r="124" spans="2:90">
      <c r="B124" s="36" t="s">
        <v>774</v>
      </c>
      <c r="C124" s="36">
        <f t="shared" ref="C124:AH124" si="314">IF(C123&lt;0.05,C25,0)</f>
        <v>0</v>
      </c>
      <c r="D124" s="36">
        <f t="shared" si="314"/>
        <v>0</v>
      </c>
      <c r="E124" s="36">
        <f t="shared" si="314"/>
        <v>0</v>
      </c>
      <c r="F124" s="36">
        <f t="shared" si="314"/>
        <v>0</v>
      </c>
      <c r="G124" s="36">
        <f t="shared" si="314"/>
        <v>0</v>
      </c>
      <c r="H124" s="36">
        <f t="shared" si="314"/>
        <v>0</v>
      </c>
      <c r="I124" s="36">
        <f t="shared" si="314"/>
        <v>0</v>
      </c>
      <c r="J124" s="36">
        <f t="shared" si="314"/>
        <v>0</v>
      </c>
      <c r="K124" s="36">
        <f t="shared" si="314"/>
        <v>0</v>
      </c>
      <c r="L124" s="36">
        <f t="shared" si="314"/>
        <v>0</v>
      </c>
      <c r="M124" s="36">
        <f t="shared" si="314"/>
        <v>0</v>
      </c>
      <c r="N124" s="36">
        <f t="shared" si="314"/>
        <v>0</v>
      </c>
      <c r="O124" s="36">
        <f t="shared" si="314"/>
        <v>0</v>
      </c>
      <c r="P124" s="36">
        <f t="shared" si="314"/>
        <v>0</v>
      </c>
      <c r="Q124" s="36">
        <f t="shared" si="314"/>
        <v>0</v>
      </c>
      <c r="R124" s="36">
        <f t="shared" si="314"/>
        <v>0</v>
      </c>
      <c r="S124" s="36">
        <f t="shared" si="314"/>
        <v>0</v>
      </c>
      <c r="T124" s="36">
        <f t="shared" si="314"/>
        <v>0</v>
      </c>
      <c r="U124" s="36">
        <f t="shared" si="314"/>
        <v>0</v>
      </c>
      <c r="V124" s="36">
        <f t="shared" si="314"/>
        <v>0</v>
      </c>
      <c r="W124" s="36">
        <f t="shared" si="314"/>
        <v>0</v>
      </c>
      <c r="X124" s="36">
        <f t="shared" si="314"/>
        <v>0</v>
      </c>
      <c r="Y124" s="36">
        <f t="shared" si="314"/>
        <v>0</v>
      </c>
      <c r="Z124" s="36">
        <f t="shared" si="314"/>
        <v>0</v>
      </c>
      <c r="AA124" s="36">
        <f t="shared" si="314"/>
        <v>0</v>
      </c>
      <c r="AB124" s="36">
        <f t="shared" si="314"/>
        <v>0</v>
      </c>
      <c r="AC124" s="36">
        <f t="shared" si="314"/>
        <v>0</v>
      </c>
      <c r="AD124" s="36">
        <f t="shared" si="314"/>
        <v>0</v>
      </c>
      <c r="AE124" s="36">
        <f t="shared" si="314"/>
        <v>0</v>
      </c>
      <c r="AF124" s="36">
        <f t="shared" si="314"/>
        <v>0</v>
      </c>
      <c r="AG124" s="36">
        <f t="shared" si="314"/>
        <v>0</v>
      </c>
      <c r="AH124" s="36">
        <f t="shared" si="314"/>
        <v>0</v>
      </c>
      <c r="AI124" s="36">
        <f t="shared" ref="AI124:BN124" si="315">IF(AI123&lt;0.05,AI25,0)</f>
        <v>0.47355538884225779</v>
      </c>
      <c r="AJ124" s="36">
        <f t="shared" si="315"/>
        <v>0</v>
      </c>
      <c r="AK124" s="36">
        <f t="shared" si="315"/>
        <v>0</v>
      </c>
      <c r="AL124" s="36">
        <f t="shared" si="315"/>
        <v>0</v>
      </c>
      <c r="AM124" s="36">
        <f t="shared" si="315"/>
        <v>0</v>
      </c>
      <c r="AN124" s="36">
        <f t="shared" si="315"/>
        <v>0</v>
      </c>
      <c r="AO124" s="36">
        <f t="shared" si="315"/>
        <v>0</v>
      </c>
      <c r="AP124" s="36">
        <f t="shared" si="315"/>
        <v>0</v>
      </c>
      <c r="AQ124" s="36">
        <f t="shared" si="315"/>
        <v>0</v>
      </c>
      <c r="AR124" s="36">
        <f t="shared" si="315"/>
        <v>0</v>
      </c>
      <c r="AS124" s="36">
        <f t="shared" si="315"/>
        <v>0</v>
      </c>
      <c r="AT124" s="36">
        <f t="shared" si="315"/>
        <v>0</v>
      </c>
      <c r="AU124" s="36">
        <f t="shared" si="315"/>
        <v>0</v>
      </c>
      <c r="AV124" s="36">
        <f t="shared" si="315"/>
        <v>0</v>
      </c>
      <c r="AW124" s="36">
        <f t="shared" si="315"/>
        <v>0</v>
      </c>
      <c r="AX124" s="36">
        <f t="shared" si="315"/>
        <v>0</v>
      </c>
      <c r="AY124" s="36">
        <f t="shared" si="315"/>
        <v>0</v>
      </c>
      <c r="AZ124" s="36">
        <f t="shared" si="315"/>
        <v>0</v>
      </c>
      <c r="BA124" s="36">
        <f t="shared" si="315"/>
        <v>0</v>
      </c>
      <c r="BB124" s="36">
        <f t="shared" si="315"/>
        <v>0</v>
      </c>
      <c r="BC124" s="36">
        <f t="shared" si="315"/>
        <v>0</v>
      </c>
      <c r="BD124" s="36">
        <f t="shared" si="315"/>
        <v>0.76811594202898625</v>
      </c>
      <c r="BE124" s="36">
        <f t="shared" si="315"/>
        <v>0.78260869565217461</v>
      </c>
      <c r="BF124" s="36">
        <f t="shared" si="315"/>
        <v>0</v>
      </c>
      <c r="BG124" s="36">
        <f t="shared" si="315"/>
        <v>0</v>
      </c>
      <c r="BH124" s="36">
        <f t="shared" si="315"/>
        <v>0</v>
      </c>
      <c r="BI124" s="36">
        <f t="shared" si="315"/>
        <v>0</v>
      </c>
      <c r="BJ124" s="36">
        <f t="shared" si="315"/>
        <v>0</v>
      </c>
      <c r="BK124" s="36">
        <f t="shared" si="315"/>
        <v>0</v>
      </c>
      <c r="BL124" s="36">
        <f t="shared" si="315"/>
        <v>0</v>
      </c>
      <c r="BM124" s="36">
        <f t="shared" si="315"/>
        <v>0</v>
      </c>
      <c r="BN124" s="36">
        <f t="shared" si="315"/>
        <v>0</v>
      </c>
      <c r="BO124" s="36">
        <f t="shared" ref="BO124:CG124" si="316">IF(BO123&lt;0.05,BO25,0)</f>
        <v>0</v>
      </c>
      <c r="BP124" s="36">
        <f t="shared" si="316"/>
        <v>0</v>
      </c>
      <c r="BQ124" s="36">
        <f t="shared" si="316"/>
        <v>0</v>
      </c>
      <c r="BR124" s="36">
        <f t="shared" si="316"/>
        <v>0</v>
      </c>
      <c r="BS124" s="36">
        <f t="shared" si="316"/>
        <v>0</v>
      </c>
      <c r="BT124" s="36">
        <f t="shared" si="316"/>
        <v>0</v>
      </c>
      <c r="BU124" s="36">
        <f t="shared" si="316"/>
        <v>0</v>
      </c>
      <c r="BV124" s="36">
        <f t="shared" si="316"/>
        <v>0</v>
      </c>
      <c r="BW124" s="36">
        <f t="shared" si="316"/>
        <v>0</v>
      </c>
      <c r="BX124" s="36">
        <f t="shared" si="316"/>
        <v>0</v>
      </c>
      <c r="BY124" s="36">
        <f t="shared" si="316"/>
        <v>0</v>
      </c>
      <c r="BZ124" s="36">
        <f t="shared" si="316"/>
        <v>0</v>
      </c>
      <c r="CA124" s="36">
        <f t="shared" si="316"/>
        <v>0</v>
      </c>
      <c r="CB124" s="36">
        <f t="shared" si="316"/>
        <v>0</v>
      </c>
      <c r="CC124" s="36">
        <f t="shared" si="316"/>
        <v>0</v>
      </c>
      <c r="CD124" s="36">
        <f t="shared" si="316"/>
        <v>0</v>
      </c>
      <c r="CE124" s="36">
        <f t="shared" si="316"/>
        <v>0</v>
      </c>
      <c r="CF124" s="36">
        <f t="shared" si="316"/>
        <v>0</v>
      </c>
      <c r="CG124" s="36">
        <f t="shared" si="316"/>
        <v>0</v>
      </c>
      <c r="CH124" s="36"/>
      <c r="CI124" s="37">
        <f>MAX(C124:CG124)</f>
        <v>0.78260869565217461</v>
      </c>
      <c r="CJ124" s="39">
        <f>SUM(CI124:CI130)/4</f>
        <v>0.78260869565217461</v>
      </c>
      <c r="CK124" s="20">
        <f>CJ124*'Design Spec'!D112</f>
        <v>172.17391304347842</v>
      </c>
      <c r="CL124" s="12" t="s">
        <v>58</v>
      </c>
    </row>
    <row r="125" spans="2:90">
      <c r="B125" s="36" t="s">
        <v>779</v>
      </c>
      <c r="C125" s="36">
        <f t="shared" ref="C125:AH125" si="317">ABS(C109-C70)</f>
        <v>1.4114961903030294</v>
      </c>
      <c r="D125" s="36">
        <f t="shared" si="317"/>
        <v>1.4102076339496379</v>
      </c>
      <c r="E125" s="36">
        <f t="shared" si="317"/>
        <v>1.4082008755647955</v>
      </c>
      <c r="F125" s="36">
        <f t="shared" si="317"/>
        <v>1.4052510302684538</v>
      </c>
      <c r="G125" s="36">
        <f t="shared" si="317"/>
        <v>1.4013345625278979</v>
      </c>
      <c r="H125" s="36">
        <f t="shared" si="317"/>
        <v>1.3964197781461463</v>
      </c>
      <c r="I125" s="36">
        <f t="shared" si="317"/>
        <v>1.3904661788471133</v>
      </c>
      <c r="J125" s="36">
        <f t="shared" si="317"/>
        <v>1.3834236167007823</v>
      </c>
      <c r="K125" s="36">
        <f t="shared" si="317"/>
        <v>1.375231215121586</v>
      </c>
      <c r="L125" s="36">
        <f t="shared" si="317"/>
        <v>1.3658160124060648</v>
      </c>
      <c r="M125" s="36">
        <f t="shared" si="317"/>
        <v>1.3550912700857192</v>
      </c>
      <c r="N125" s="36">
        <f t="shared" si="317"/>
        <v>1.3429543706667038</v>
      </c>
      <c r="O125" s="36">
        <f t="shared" si="317"/>
        <v>1.3292842061051116</v>
      </c>
      <c r="P125" s="36">
        <f t="shared" si="317"/>
        <v>1.3139379275217575</v>
      </c>
      <c r="Q125" s="36">
        <f t="shared" si="317"/>
        <v>1.2967468852161146</v>
      </c>
      <c r="R125" s="36">
        <f t="shared" si="317"/>
        <v>1.2775115317307322</v>
      </c>
      <c r="S125" s="36">
        <f t="shared" si="317"/>
        <v>1.2559949833652095</v>
      </c>
      <c r="T125" s="36">
        <f t="shared" si="317"/>
        <v>1.231914828082616</v>
      </c>
      <c r="U125" s="36">
        <f t="shared" si="317"/>
        <v>1.2049326167505088</v>
      </c>
      <c r="V125" s="36">
        <f t="shared" si="317"/>
        <v>1.1746402599332668</v>
      </c>
      <c r="W125" s="36">
        <f t="shared" si="317"/>
        <v>1.140542243335257</v>
      </c>
      <c r="X125" s="36">
        <f t="shared" si="317"/>
        <v>1.1020321243234108</v>
      </c>
      <c r="Y125" s="36">
        <f t="shared" si="317"/>
        <v>1.0583611063785963</v>
      </c>
      <c r="Z125" s="36">
        <f t="shared" si="317"/>
        <v>1.0085954926027287</v>
      </c>
      <c r="AA125" s="36">
        <f t="shared" si="317"/>
        <v>0.95155831120214063</v>
      </c>
      <c r="AB125" s="36">
        <f t="shared" si="317"/>
        <v>0.88574809608680161</v>
      </c>
      <c r="AC125" s="36">
        <f t="shared" si="317"/>
        <v>0.80922423988911796</v>
      </c>
      <c r="AD125" s="36">
        <f t="shared" si="317"/>
        <v>0.71944282178865959</v>
      </c>
      <c r="AE125" s="36">
        <f t="shared" si="317"/>
        <v>0.61301837779676394</v>
      </c>
      <c r="AF125" s="36">
        <f t="shared" si="317"/>
        <v>0.48537469393689048</v>
      </c>
      <c r="AG125" s="36">
        <f t="shared" si="317"/>
        <v>0.33023159210121467</v>
      </c>
      <c r="AH125" s="36">
        <f t="shared" si="317"/>
        <v>0.13886189046799746</v>
      </c>
      <c r="AI125" s="36">
        <f t="shared" ref="AI125:BN125" si="318">ABS(AI109-AI70)</f>
        <v>0.1009218777186609</v>
      </c>
      <c r="AJ125" s="36">
        <f t="shared" si="318"/>
        <v>0.40588937911141043</v>
      </c>
      <c r="AK125" s="36">
        <f t="shared" si="318"/>
        <v>0.79758395927137138</v>
      </c>
      <c r="AL125" s="36">
        <f t="shared" si="318"/>
        <v>1.2974127918587663</v>
      </c>
      <c r="AM125" s="36">
        <f t="shared" si="318"/>
        <v>1.9038083425463082</v>
      </c>
      <c r="AN125" s="36">
        <f t="shared" si="318"/>
        <v>2.5301960033068029</v>
      </c>
      <c r="AO125" s="36">
        <f t="shared" si="318"/>
        <v>2.9460277302554232</v>
      </c>
      <c r="AP125" s="36">
        <f t="shared" si="318"/>
        <v>2.9926978764530254</v>
      </c>
      <c r="AQ125" s="36">
        <f t="shared" si="318"/>
        <v>2.8497071311314928</v>
      </c>
      <c r="AR125" s="36">
        <f t="shared" si="318"/>
        <v>2.4412980320181887</v>
      </c>
      <c r="AS125" s="36">
        <f t="shared" si="318"/>
        <v>1.9867274354972098</v>
      </c>
      <c r="AT125" s="36">
        <f t="shared" si="318"/>
        <v>1.5864605002871601</v>
      </c>
      <c r="AU125" s="36">
        <f t="shared" si="318"/>
        <v>1.2596608296371021</v>
      </c>
      <c r="AV125" s="36">
        <f t="shared" si="318"/>
        <v>0.99778247579852519</v>
      </c>
      <c r="AW125" s="36">
        <f t="shared" si="318"/>
        <v>0.78734877804326131</v>
      </c>
      <c r="AX125" s="36">
        <f t="shared" si="318"/>
        <v>0.61646661531005909</v>
      </c>
      <c r="AY125" s="36">
        <f t="shared" si="318"/>
        <v>0.47591494081444252</v>
      </c>
      <c r="AZ125" s="36">
        <f t="shared" si="318"/>
        <v>0.35881142468320526</v>
      </c>
      <c r="BA125" s="36">
        <f t="shared" si="318"/>
        <v>0.26005463852200195</v>
      </c>
      <c r="BB125" s="36">
        <f t="shared" si="318"/>
        <v>0.17584235943363624</v>
      </c>
      <c r="BC125" s="36">
        <f t="shared" si="318"/>
        <v>0.1033105519856572</v>
      </c>
      <c r="BD125" s="36">
        <f t="shared" si="318"/>
        <v>4.0274842757522578E-2</v>
      </c>
      <c r="BE125" s="36">
        <f t="shared" si="318"/>
        <v>1.495229659970998E-2</v>
      </c>
      <c r="BF125" s="36">
        <f t="shared" si="318"/>
        <v>6.3690995343567813E-2</v>
      </c>
      <c r="BG125" s="36">
        <f t="shared" si="318"/>
        <v>0.10698633815147818</v>
      </c>
      <c r="BH125" s="36">
        <f t="shared" si="318"/>
        <v>0.14567494907498757</v>
      </c>
      <c r="BI125" s="36">
        <f t="shared" si="318"/>
        <v>0.18043355727233945</v>
      </c>
      <c r="BJ125" s="36">
        <f t="shared" si="318"/>
        <v>0.2118148450379489</v>
      </c>
      <c r="BK125" s="36">
        <f t="shared" si="318"/>
        <v>0.24027422109032881</v>
      </c>
      <c r="BL125" s="36">
        <f t="shared" si="318"/>
        <v>0.26619004432376481</v>
      </c>
      <c r="BM125" s="36">
        <f t="shared" si="318"/>
        <v>0.28987906630095517</v>
      </c>
      <c r="BN125" s="36">
        <f t="shared" si="318"/>
        <v>0.31160834422715</v>
      </c>
      <c r="BO125" s="36">
        <f t="shared" ref="BO125:CG125" si="319">ABS(BO109-BO70)</f>
        <v>0.33160452030526866</v>
      </c>
      <c r="BP125" s="36">
        <f t="shared" si="319"/>
        <v>0.3500611156980693</v>
      </c>
      <c r="BQ125" s="36">
        <f t="shared" si="319"/>
        <v>0.36714431310401396</v>
      </c>
      <c r="BR125" s="36">
        <f t="shared" si="319"/>
        <v>0.3829975781033168</v>
      </c>
      <c r="BS125" s="36">
        <f t="shared" si="319"/>
        <v>0.39774538047202412</v>
      </c>
      <c r="BT125" s="36">
        <f t="shared" si="319"/>
        <v>0.41149621212121201</v>
      </c>
      <c r="BU125" s="36">
        <f t="shared" si="319"/>
        <v>0.44402175574557201</v>
      </c>
      <c r="BV125" s="36">
        <f t="shared" si="319"/>
        <v>0.47152530694741379</v>
      </c>
      <c r="BW125" s="36">
        <f t="shared" si="319"/>
        <v>0.4950617274979896</v>
      </c>
      <c r="BX125" s="36">
        <f t="shared" si="319"/>
        <v>0.51541447464220502</v>
      </c>
      <c r="BY125" s="36">
        <f t="shared" si="319"/>
        <v>0.53317708639519368</v>
      </c>
      <c r="BZ125" s="36">
        <f t="shared" si="319"/>
        <v>0.54880707444137478</v>
      </c>
      <c r="CA125" s="36">
        <f t="shared" si="319"/>
        <v>0.56266251458134042</v>
      </c>
      <c r="CB125" s="36">
        <f t="shared" si="319"/>
        <v>0.57502747052882097</v>
      </c>
      <c r="CC125" s="36">
        <f t="shared" si="319"/>
        <v>0.58613002503546596</v>
      </c>
      <c r="CD125" s="36">
        <f t="shared" si="319"/>
        <v>0.59615530448573184</v>
      </c>
      <c r="CE125" s="36">
        <f t="shared" si="319"/>
        <v>0.60525504325637991</v>
      </c>
      <c r="CF125" s="36">
        <f t="shared" si="319"/>
        <v>0.61355471232249559</v>
      </c>
      <c r="CG125" s="36">
        <f t="shared" si="319"/>
        <v>0.62115890458381362</v>
      </c>
      <c r="CH125" s="36"/>
      <c r="CI125" s="37"/>
      <c r="CJ125" s="39"/>
      <c r="CK125" s="20"/>
      <c r="CL125" s="12"/>
    </row>
    <row r="126" spans="2:90">
      <c r="B126" s="36" t="s">
        <v>774</v>
      </c>
      <c r="C126" s="36">
        <f t="shared" ref="C126:AH126" si="320">IF(C125&lt;0.05,C25,0)</f>
        <v>0</v>
      </c>
      <c r="D126" s="36">
        <f t="shared" si="320"/>
        <v>0</v>
      </c>
      <c r="E126" s="36">
        <f t="shared" si="320"/>
        <v>0</v>
      </c>
      <c r="F126" s="36">
        <f t="shared" si="320"/>
        <v>0</v>
      </c>
      <c r="G126" s="36">
        <f t="shared" si="320"/>
        <v>0</v>
      </c>
      <c r="H126" s="36">
        <f t="shared" si="320"/>
        <v>0</v>
      </c>
      <c r="I126" s="36">
        <f t="shared" si="320"/>
        <v>0</v>
      </c>
      <c r="J126" s="36">
        <f t="shared" si="320"/>
        <v>0</v>
      </c>
      <c r="K126" s="36">
        <f t="shared" si="320"/>
        <v>0</v>
      </c>
      <c r="L126" s="36">
        <f t="shared" si="320"/>
        <v>0</v>
      </c>
      <c r="M126" s="36">
        <f t="shared" si="320"/>
        <v>0</v>
      </c>
      <c r="N126" s="36">
        <f t="shared" si="320"/>
        <v>0</v>
      </c>
      <c r="O126" s="36">
        <f t="shared" si="320"/>
        <v>0</v>
      </c>
      <c r="P126" s="36">
        <f t="shared" si="320"/>
        <v>0</v>
      </c>
      <c r="Q126" s="36">
        <f t="shared" si="320"/>
        <v>0</v>
      </c>
      <c r="R126" s="36">
        <f t="shared" si="320"/>
        <v>0</v>
      </c>
      <c r="S126" s="36">
        <f t="shared" si="320"/>
        <v>0</v>
      </c>
      <c r="T126" s="36">
        <f t="shared" si="320"/>
        <v>0</v>
      </c>
      <c r="U126" s="36">
        <f t="shared" si="320"/>
        <v>0</v>
      </c>
      <c r="V126" s="36">
        <f t="shared" si="320"/>
        <v>0</v>
      </c>
      <c r="W126" s="36">
        <f t="shared" si="320"/>
        <v>0</v>
      </c>
      <c r="X126" s="36">
        <f t="shared" si="320"/>
        <v>0</v>
      </c>
      <c r="Y126" s="36">
        <f t="shared" si="320"/>
        <v>0</v>
      </c>
      <c r="Z126" s="36">
        <f t="shared" si="320"/>
        <v>0</v>
      </c>
      <c r="AA126" s="36">
        <f t="shared" si="320"/>
        <v>0</v>
      </c>
      <c r="AB126" s="36">
        <f t="shared" si="320"/>
        <v>0</v>
      </c>
      <c r="AC126" s="36">
        <f t="shared" si="320"/>
        <v>0</v>
      </c>
      <c r="AD126" s="36">
        <f t="shared" si="320"/>
        <v>0</v>
      </c>
      <c r="AE126" s="36">
        <f t="shared" si="320"/>
        <v>0</v>
      </c>
      <c r="AF126" s="36">
        <f t="shared" si="320"/>
        <v>0</v>
      </c>
      <c r="AG126" s="36">
        <f t="shared" si="320"/>
        <v>0</v>
      </c>
      <c r="AH126" s="36">
        <f t="shared" si="320"/>
        <v>0</v>
      </c>
      <c r="AI126" s="36">
        <f t="shared" ref="AI126:BN126" si="321">IF(AI125&lt;0.05,AI25,0)</f>
        <v>0</v>
      </c>
      <c r="AJ126" s="36">
        <f t="shared" si="321"/>
        <v>0</v>
      </c>
      <c r="AK126" s="36">
        <f t="shared" si="321"/>
        <v>0</v>
      </c>
      <c r="AL126" s="36">
        <f t="shared" si="321"/>
        <v>0</v>
      </c>
      <c r="AM126" s="36">
        <f t="shared" si="321"/>
        <v>0</v>
      </c>
      <c r="AN126" s="36">
        <f t="shared" si="321"/>
        <v>0</v>
      </c>
      <c r="AO126" s="36">
        <f t="shared" si="321"/>
        <v>0</v>
      </c>
      <c r="AP126" s="36">
        <f t="shared" si="321"/>
        <v>0</v>
      </c>
      <c r="AQ126" s="36">
        <f t="shared" si="321"/>
        <v>0</v>
      </c>
      <c r="AR126" s="36">
        <f t="shared" si="321"/>
        <v>0</v>
      </c>
      <c r="AS126" s="36">
        <f t="shared" si="321"/>
        <v>0</v>
      </c>
      <c r="AT126" s="36">
        <f t="shared" si="321"/>
        <v>0</v>
      </c>
      <c r="AU126" s="36">
        <f t="shared" si="321"/>
        <v>0</v>
      </c>
      <c r="AV126" s="36">
        <f t="shared" si="321"/>
        <v>0</v>
      </c>
      <c r="AW126" s="36">
        <f t="shared" si="321"/>
        <v>0</v>
      </c>
      <c r="AX126" s="36">
        <f t="shared" si="321"/>
        <v>0</v>
      </c>
      <c r="AY126" s="36">
        <f t="shared" si="321"/>
        <v>0</v>
      </c>
      <c r="AZ126" s="36">
        <f t="shared" si="321"/>
        <v>0</v>
      </c>
      <c r="BA126" s="36">
        <f t="shared" si="321"/>
        <v>0</v>
      </c>
      <c r="BB126" s="36">
        <f t="shared" si="321"/>
        <v>0</v>
      </c>
      <c r="BC126" s="36">
        <f t="shared" si="321"/>
        <v>0</v>
      </c>
      <c r="BD126" s="36">
        <f t="shared" si="321"/>
        <v>0.76811594202898625</v>
      </c>
      <c r="BE126" s="36">
        <f t="shared" si="321"/>
        <v>0.78260869565217461</v>
      </c>
      <c r="BF126" s="36">
        <f t="shared" si="321"/>
        <v>0</v>
      </c>
      <c r="BG126" s="36">
        <f t="shared" si="321"/>
        <v>0</v>
      </c>
      <c r="BH126" s="36">
        <f t="shared" si="321"/>
        <v>0</v>
      </c>
      <c r="BI126" s="36">
        <f t="shared" si="321"/>
        <v>0</v>
      </c>
      <c r="BJ126" s="36">
        <f t="shared" si="321"/>
        <v>0</v>
      </c>
      <c r="BK126" s="36">
        <f t="shared" si="321"/>
        <v>0</v>
      </c>
      <c r="BL126" s="36">
        <f t="shared" si="321"/>
        <v>0</v>
      </c>
      <c r="BM126" s="36">
        <f t="shared" si="321"/>
        <v>0</v>
      </c>
      <c r="BN126" s="36">
        <f t="shared" si="321"/>
        <v>0</v>
      </c>
      <c r="BO126" s="36">
        <f t="shared" ref="BO126:CG126" si="322">IF(BO125&lt;0.05,BO25,0)</f>
        <v>0</v>
      </c>
      <c r="BP126" s="36">
        <f t="shared" si="322"/>
        <v>0</v>
      </c>
      <c r="BQ126" s="36">
        <f t="shared" si="322"/>
        <v>0</v>
      </c>
      <c r="BR126" s="36">
        <f t="shared" si="322"/>
        <v>0</v>
      </c>
      <c r="BS126" s="36">
        <f t="shared" si="322"/>
        <v>0</v>
      </c>
      <c r="BT126" s="36">
        <f t="shared" si="322"/>
        <v>0</v>
      </c>
      <c r="BU126" s="36">
        <f t="shared" si="322"/>
        <v>0</v>
      </c>
      <c r="BV126" s="36">
        <f t="shared" si="322"/>
        <v>0</v>
      </c>
      <c r="BW126" s="36">
        <f t="shared" si="322"/>
        <v>0</v>
      </c>
      <c r="BX126" s="36">
        <f t="shared" si="322"/>
        <v>0</v>
      </c>
      <c r="BY126" s="36">
        <f t="shared" si="322"/>
        <v>0</v>
      </c>
      <c r="BZ126" s="36">
        <f t="shared" si="322"/>
        <v>0</v>
      </c>
      <c r="CA126" s="36">
        <f t="shared" si="322"/>
        <v>0</v>
      </c>
      <c r="CB126" s="36">
        <f t="shared" si="322"/>
        <v>0</v>
      </c>
      <c r="CC126" s="36">
        <f t="shared" si="322"/>
        <v>0</v>
      </c>
      <c r="CD126" s="36">
        <f t="shared" si="322"/>
        <v>0</v>
      </c>
      <c r="CE126" s="36">
        <f t="shared" si="322"/>
        <v>0</v>
      </c>
      <c r="CF126" s="36">
        <f t="shared" si="322"/>
        <v>0</v>
      </c>
      <c r="CG126" s="36">
        <f t="shared" si="322"/>
        <v>0</v>
      </c>
      <c r="CH126" s="36"/>
      <c r="CI126" s="37">
        <f t="shared" ref="CI126" si="323">MAX(C126:CG126)</f>
        <v>0.78260869565217461</v>
      </c>
      <c r="CJ126" s="39"/>
      <c r="CK126" s="20">
        <f>CI126*'Design Spec'!D112</f>
        <v>172.17391304347842</v>
      </c>
      <c r="CL126" s="12"/>
    </row>
    <row r="127" spans="2:90">
      <c r="B127" s="36" t="s">
        <v>780</v>
      </c>
      <c r="C127" s="36">
        <f t="shared" ref="C127:AH127" si="324">ABS(C110-C70)</f>
        <v>1.4114961903030294</v>
      </c>
      <c r="D127" s="36">
        <f t="shared" si="324"/>
        <v>1.4102075985257112</v>
      </c>
      <c r="E127" s="36">
        <f t="shared" si="324"/>
        <v>1.4082006436430183</v>
      </c>
      <c r="F127" s="36">
        <f t="shared" si="324"/>
        <v>1.4052501959749928</v>
      </c>
      <c r="G127" s="36">
        <f t="shared" si="324"/>
        <v>1.401332349078247</v>
      </c>
      <c r="H127" s="36">
        <f t="shared" si="324"/>
        <v>1.3964148929168307</v>
      </c>
      <c r="I127" s="36">
        <f t="shared" si="324"/>
        <v>1.3904566430230096</v>
      </c>
      <c r="J127" s="36">
        <f t="shared" si="324"/>
        <v>1.3834065601675498</v>
      </c>
      <c r="K127" s="36">
        <f t="shared" si="324"/>
        <v>1.3752026247329969</v>
      </c>
      <c r="L127" s="36">
        <f t="shared" si="324"/>
        <v>1.3657704182025054</v>
      </c>
      <c r="M127" s="36">
        <f t="shared" si="324"/>
        <v>1.3550213490825898</v>
      </c>
      <c r="N127" s="36">
        <f t="shared" si="324"/>
        <v>1.3428504408960165</v>
      </c>
      <c r="O127" s="36">
        <f t="shared" si="324"/>
        <v>1.329133573830577</v>
      </c>
      <c r="P127" s="36">
        <f t="shared" si="324"/>
        <v>1.3137240366865601</v>
      </c>
      <c r="Q127" s="36">
        <f t="shared" si="324"/>
        <v>1.2964481983013969</v>
      </c>
      <c r="R127" s="36">
        <f t="shared" si="324"/>
        <v>1.2771000423552661</v>
      </c>
      <c r="S127" s="36">
        <f t="shared" si="324"/>
        <v>1.2554342185606562</v>
      </c>
      <c r="T127" s="36">
        <f t="shared" si="324"/>
        <v>1.2311571349950192</v>
      </c>
      <c r="U127" s="36">
        <f t="shared" si="324"/>
        <v>1.2039154329147814</v>
      </c>
      <c r="V127" s="36">
        <f t="shared" si="324"/>
        <v>1.1732809192061537</v>
      </c>
      <c r="W127" s="36">
        <f t="shared" si="324"/>
        <v>1.1387306392760477</v>
      </c>
      <c r="X127" s="36">
        <f t="shared" si="324"/>
        <v>1.0996201850904295</v>
      </c>
      <c r="Y127" s="36">
        <f t="shared" si="324"/>
        <v>1.0551474354897084</v>
      </c>
      <c r="Z127" s="36">
        <f t="shared" si="324"/>
        <v>1.0043025289422627</v>
      </c>
      <c r="AA127" s="36">
        <f t="shared" si="324"/>
        <v>0.94579764819120582</v>
      </c>
      <c r="AB127" s="36">
        <f t="shared" si="324"/>
        <v>0.87796658435235397</v>
      </c>
      <c r="AC127" s="36">
        <f t="shared" si="324"/>
        <v>0.79861802664398707</v>
      </c>
      <c r="AD127" s="36">
        <f t="shared" si="324"/>
        <v>0.70481621722246224</v>
      </c>
      <c r="AE127" s="36">
        <f t="shared" si="324"/>
        <v>0.59254447194358517</v>
      </c>
      <c r="AF127" s="36">
        <f t="shared" si="324"/>
        <v>0.45617423325339479</v>
      </c>
      <c r="AG127" s="36">
        <f t="shared" si="324"/>
        <v>0.28760130455434219</v>
      </c>
      <c r="AH127" s="36">
        <f t="shared" si="324"/>
        <v>7.4795427420855987E-2</v>
      </c>
      <c r="AI127" s="36">
        <f t="shared" ref="AI127:BN127" si="325">ABS(AI110-AI70)</f>
        <v>0.20070797006367225</v>
      </c>
      <c r="AJ127" s="36">
        <f t="shared" si="325"/>
        <v>0.56822052107286836</v>
      </c>
      <c r="AK127" s="36">
        <f t="shared" si="325"/>
        <v>1.0754509814752835</v>
      </c>
      <c r="AL127" s="36">
        <f t="shared" si="325"/>
        <v>1.7988238425387049</v>
      </c>
      <c r="AM127" s="36">
        <f t="shared" si="325"/>
        <v>2.8381409299647693</v>
      </c>
      <c r="AN127" s="36">
        <f t="shared" si="325"/>
        <v>4.1723819159307514</v>
      </c>
      <c r="AO127" s="36">
        <f t="shared" si="325"/>
        <v>5.1247686941594628</v>
      </c>
      <c r="AP127" s="36">
        <f t="shared" si="325"/>
        <v>5.1503808783653282</v>
      </c>
      <c r="AQ127" s="36">
        <f t="shared" si="325"/>
        <v>4.4168070771954229</v>
      </c>
      <c r="AR127" s="36">
        <f t="shared" si="325"/>
        <v>3.3448733977492902</v>
      </c>
      <c r="AS127" s="36">
        <f t="shared" si="325"/>
        <v>2.4900293842822414</v>
      </c>
      <c r="AT127" s="36">
        <f t="shared" si="325"/>
        <v>1.8775924928919927</v>
      </c>
      <c r="AU127" s="36">
        <f t="shared" si="325"/>
        <v>1.4371503512628798</v>
      </c>
      <c r="AV127" s="36">
        <f t="shared" si="325"/>
        <v>1.1114518964687481</v>
      </c>
      <c r="AW127" s="36">
        <f t="shared" si="325"/>
        <v>0.86324532263809295</v>
      </c>
      <c r="AX127" s="36">
        <f t="shared" si="325"/>
        <v>0.66889877575797407</v>
      </c>
      <c r="AY127" s="36">
        <f t="shared" si="325"/>
        <v>0.51314470534092016</v>
      </c>
      <c r="AZ127" s="36">
        <f t="shared" si="325"/>
        <v>0.38583186096229483</v>
      </c>
      <c r="BA127" s="36">
        <f t="shared" si="325"/>
        <v>0.28000730934854712</v>
      </c>
      <c r="BB127" s="36">
        <f t="shared" si="325"/>
        <v>0.19077475572138525</v>
      </c>
      <c r="BC127" s="36">
        <f t="shared" si="325"/>
        <v>0.11459878398182011</v>
      </c>
      <c r="BD127" s="36">
        <f t="shared" si="325"/>
        <v>4.886901867962723E-2</v>
      </c>
      <c r="BE127" s="36">
        <f t="shared" si="325"/>
        <v>8.380486964384426E-3</v>
      </c>
      <c r="BF127" s="36">
        <f t="shared" si="325"/>
        <v>5.8656658589100408E-2</v>
      </c>
      <c r="BG127" s="36">
        <f t="shared" si="325"/>
        <v>0.10313286238722208</v>
      </c>
      <c r="BH127" s="36">
        <f t="shared" si="325"/>
        <v>0.14273567238884133</v>
      </c>
      <c r="BI127" s="36">
        <f t="shared" si="325"/>
        <v>0.17820607844176362</v>
      </c>
      <c r="BJ127" s="36">
        <f t="shared" si="325"/>
        <v>0.21014344916639849</v>
      </c>
      <c r="BK127" s="36">
        <f t="shared" si="325"/>
        <v>0.23903763093011876</v>
      </c>
      <c r="BL127" s="36">
        <f t="shared" si="325"/>
        <v>0.26529273791032315</v>
      </c>
      <c r="BM127" s="36">
        <f t="shared" si="325"/>
        <v>0.28924502702700194</v>
      </c>
      <c r="BN127" s="36">
        <f t="shared" si="325"/>
        <v>0.31117649809801384</v>
      </c>
      <c r="BO127" s="36">
        <f t="shared" ref="BO127:CG127" si="326">ABS(BO110-BO70)</f>
        <v>0.33132536162579185</v>
      </c>
      <c r="BP127" s="36">
        <f t="shared" si="326"/>
        <v>0.34989418182978271</v>
      </c>
      <c r="BQ127" s="36">
        <f t="shared" si="326"/>
        <v>0.36705627382276207</v>
      </c>
      <c r="BR127" s="36">
        <f t="shared" si="326"/>
        <v>0.38296077525031524</v>
      </c>
      <c r="BS127" s="36">
        <f t="shared" si="326"/>
        <v>0.39773670123850913</v>
      </c>
      <c r="BT127" s="36">
        <f t="shared" si="326"/>
        <v>0.41149621212121201</v>
      </c>
      <c r="BU127" s="36">
        <f t="shared" si="326"/>
        <v>0.44397068640254422</v>
      </c>
      <c r="BV127" s="36">
        <f t="shared" si="326"/>
        <v>0.47134446709757594</v>
      </c>
      <c r="BW127" s="36">
        <f t="shared" si="326"/>
        <v>0.49469701562738189</v>
      </c>
      <c r="BX127" s="36">
        <f t="shared" si="326"/>
        <v>0.51482716590521005</v>
      </c>
      <c r="BY127" s="36">
        <f t="shared" si="326"/>
        <v>0.53233835212072445</v>
      </c>
      <c r="BZ127" s="36">
        <f t="shared" si="326"/>
        <v>0.54769461852736046</v>
      </c>
      <c r="CA127" s="36">
        <f t="shared" si="326"/>
        <v>0.56125845086313464</v>
      </c>
      <c r="CB127" s="36">
        <f t="shared" si="326"/>
        <v>0.57331695060721088</v>
      </c>
      <c r="CC127" s="36">
        <f t="shared" si="326"/>
        <v>0.58410033245975912</v>
      </c>
      <c r="CD127" s="36">
        <f t="shared" si="326"/>
        <v>0.5937952457806015</v>
      </c>
      <c r="CE127" s="36">
        <f t="shared" si="326"/>
        <v>0.6025545319550295</v>
      </c>
      <c r="CF127" s="36">
        <f t="shared" si="326"/>
        <v>0.61050448088702713</v>
      </c>
      <c r="CG127" s="36">
        <f t="shared" si="326"/>
        <v>0.61775030250610707</v>
      </c>
      <c r="CH127" s="36"/>
      <c r="CI127" s="37"/>
      <c r="CJ127" s="39"/>
      <c r="CK127" s="20"/>
      <c r="CL127" s="12"/>
    </row>
    <row r="128" spans="2:90">
      <c r="B128" s="36" t="s">
        <v>774</v>
      </c>
      <c r="C128" s="36">
        <f t="shared" ref="C128:AH128" si="327">IF(C127&lt;0.05,C25,0)</f>
        <v>0</v>
      </c>
      <c r="D128" s="36">
        <f t="shared" si="327"/>
        <v>0</v>
      </c>
      <c r="E128" s="36">
        <f t="shared" si="327"/>
        <v>0</v>
      </c>
      <c r="F128" s="36">
        <f t="shared" si="327"/>
        <v>0</v>
      </c>
      <c r="G128" s="36">
        <f t="shared" si="327"/>
        <v>0</v>
      </c>
      <c r="H128" s="36">
        <f t="shared" si="327"/>
        <v>0</v>
      </c>
      <c r="I128" s="36">
        <f t="shared" si="327"/>
        <v>0</v>
      </c>
      <c r="J128" s="36">
        <f t="shared" si="327"/>
        <v>0</v>
      </c>
      <c r="K128" s="36">
        <f t="shared" si="327"/>
        <v>0</v>
      </c>
      <c r="L128" s="36">
        <f t="shared" si="327"/>
        <v>0</v>
      </c>
      <c r="M128" s="36">
        <f t="shared" si="327"/>
        <v>0</v>
      </c>
      <c r="N128" s="36">
        <f t="shared" si="327"/>
        <v>0</v>
      </c>
      <c r="O128" s="36">
        <f t="shared" si="327"/>
        <v>0</v>
      </c>
      <c r="P128" s="36">
        <f t="shared" si="327"/>
        <v>0</v>
      </c>
      <c r="Q128" s="36">
        <f t="shared" si="327"/>
        <v>0</v>
      </c>
      <c r="R128" s="36">
        <f t="shared" si="327"/>
        <v>0</v>
      </c>
      <c r="S128" s="36">
        <f t="shared" si="327"/>
        <v>0</v>
      </c>
      <c r="T128" s="36">
        <f t="shared" si="327"/>
        <v>0</v>
      </c>
      <c r="U128" s="36">
        <f t="shared" si="327"/>
        <v>0</v>
      </c>
      <c r="V128" s="36">
        <f t="shared" si="327"/>
        <v>0</v>
      </c>
      <c r="W128" s="36">
        <f t="shared" si="327"/>
        <v>0</v>
      </c>
      <c r="X128" s="36">
        <f t="shared" si="327"/>
        <v>0</v>
      </c>
      <c r="Y128" s="36">
        <f t="shared" si="327"/>
        <v>0</v>
      </c>
      <c r="Z128" s="36">
        <f t="shared" si="327"/>
        <v>0</v>
      </c>
      <c r="AA128" s="36">
        <f t="shared" si="327"/>
        <v>0</v>
      </c>
      <c r="AB128" s="36">
        <f t="shared" si="327"/>
        <v>0</v>
      </c>
      <c r="AC128" s="36">
        <f t="shared" si="327"/>
        <v>0</v>
      </c>
      <c r="AD128" s="36">
        <f t="shared" si="327"/>
        <v>0</v>
      </c>
      <c r="AE128" s="36">
        <f t="shared" si="327"/>
        <v>0</v>
      </c>
      <c r="AF128" s="36">
        <f t="shared" si="327"/>
        <v>0</v>
      </c>
      <c r="AG128" s="36">
        <f t="shared" si="327"/>
        <v>0</v>
      </c>
      <c r="AH128" s="36">
        <f t="shared" si="327"/>
        <v>0</v>
      </c>
      <c r="AI128" s="36">
        <f t="shared" ref="AI128:BN128" si="328">IF(AI127&lt;0.05,AI25,0)</f>
        <v>0</v>
      </c>
      <c r="AJ128" s="36">
        <f t="shared" si="328"/>
        <v>0</v>
      </c>
      <c r="AK128" s="36">
        <f t="shared" si="328"/>
        <v>0</v>
      </c>
      <c r="AL128" s="36">
        <f t="shared" si="328"/>
        <v>0</v>
      </c>
      <c r="AM128" s="36">
        <f t="shared" si="328"/>
        <v>0</v>
      </c>
      <c r="AN128" s="36">
        <f t="shared" si="328"/>
        <v>0</v>
      </c>
      <c r="AO128" s="36">
        <f t="shared" si="328"/>
        <v>0</v>
      </c>
      <c r="AP128" s="36">
        <f t="shared" si="328"/>
        <v>0</v>
      </c>
      <c r="AQ128" s="36">
        <f t="shared" si="328"/>
        <v>0</v>
      </c>
      <c r="AR128" s="36">
        <f t="shared" si="328"/>
        <v>0</v>
      </c>
      <c r="AS128" s="36">
        <f t="shared" si="328"/>
        <v>0</v>
      </c>
      <c r="AT128" s="36">
        <f t="shared" si="328"/>
        <v>0</v>
      </c>
      <c r="AU128" s="36">
        <f t="shared" si="328"/>
        <v>0</v>
      </c>
      <c r="AV128" s="36">
        <f t="shared" si="328"/>
        <v>0</v>
      </c>
      <c r="AW128" s="36">
        <f t="shared" si="328"/>
        <v>0</v>
      </c>
      <c r="AX128" s="36">
        <f t="shared" si="328"/>
        <v>0</v>
      </c>
      <c r="AY128" s="36">
        <f t="shared" si="328"/>
        <v>0</v>
      </c>
      <c r="AZ128" s="36">
        <f t="shared" si="328"/>
        <v>0</v>
      </c>
      <c r="BA128" s="36">
        <f t="shared" si="328"/>
        <v>0</v>
      </c>
      <c r="BB128" s="36">
        <f t="shared" si="328"/>
        <v>0</v>
      </c>
      <c r="BC128" s="36">
        <f t="shared" si="328"/>
        <v>0</v>
      </c>
      <c r="BD128" s="36">
        <f t="shared" si="328"/>
        <v>0.76811594202898625</v>
      </c>
      <c r="BE128" s="36">
        <f t="shared" si="328"/>
        <v>0.78260869565217461</v>
      </c>
      <c r="BF128" s="36">
        <f t="shared" si="328"/>
        <v>0</v>
      </c>
      <c r="BG128" s="36">
        <f t="shared" si="328"/>
        <v>0</v>
      </c>
      <c r="BH128" s="36">
        <f t="shared" si="328"/>
        <v>0</v>
      </c>
      <c r="BI128" s="36">
        <f t="shared" si="328"/>
        <v>0</v>
      </c>
      <c r="BJ128" s="36">
        <f t="shared" si="328"/>
        <v>0</v>
      </c>
      <c r="BK128" s="36">
        <f t="shared" si="328"/>
        <v>0</v>
      </c>
      <c r="BL128" s="36">
        <f t="shared" si="328"/>
        <v>0</v>
      </c>
      <c r="BM128" s="36">
        <f t="shared" si="328"/>
        <v>0</v>
      </c>
      <c r="BN128" s="36">
        <f t="shared" si="328"/>
        <v>0</v>
      </c>
      <c r="BO128" s="36">
        <f t="shared" ref="BO128:CG128" si="329">IF(BO127&lt;0.05,BO25,0)</f>
        <v>0</v>
      </c>
      <c r="BP128" s="36">
        <f t="shared" si="329"/>
        <v>0</v>
      </c>
      <c r="BQ128" s="36">
        <f t="shared" si="329"/>
        <v>0</v>
      </c>
      <c r="BR128" s="36">
        <f t="shared" si="329"/>
        <v>0</v>
      </c>
      <c r="BS128" s="36">
        <f t="shared" si="329"/>
        <v>0</v>
      </c>
      <c r="BT128" s="36">
        <f t="shared" si="329"/>
        <v>0</v>
      </c>
      <c r="BU128" s="36">
        <f t="shared" si="329"/>
        <v>0</v>
      </c>
      <c r="BV128" s="36">
        <f t="shared" si="329"/>
        <v>0</v>
      </c>
      <c r="BW128" s="36">
        <f t="shared" si="329"/>
        <v>0</v>
      </c>
      <c r="BX128" s="36">
        <f t="shared" si="329"/>
        <v>0</v>
      </c>
      <c r="BY128" s="36">
        <f t="shared" si="329"/>
        <v>0</v>
      </c>
      <c r="BZ128" s="36">
        <f t="shared" si="329"/>
        <v>0</v>
      </c>
      <c r="CA128" s="36">
        <f t="shared" si="329"/>
        <v>0</v>
      </c>
      <c r="CB128" s="36">
        <f t="shared" si="329"/>
        <v>0</v>
      </c>
      <c r="CC128" s="36">
        <f t="shared" si="329"/>
        <v>0</v>
      </c>
      <c r="CD128" s="36">
        <f t="shared" si="329"/>
        <v>0</v>
      </c>
      <c r="CE128" s="36">
        <f t="shared" si="329"/>
        <v>0</v>
      </c>
      <c r="CF128" s="36">
        <f t="shared" si="329"/>
        <v>0</v>
      </c>
      <c r="CG128" s="36">
        <f t="shared" si="329"/>
        <v>0</v>
      </c>
      <c r="CH128" s="36"/>
      <c r="CI128" s="37">
        <f t="shared" ref="CI128" si="330">MAX(C128:CG128)</f>
        <v>0.78260869565217461</v>
      </c>
      <c r="CJ128" s="39"/>
      <c r="CK128" s="20">
        <f>CI128*'Design Spec'!D112</f>
        <v>172.17391304347842</v>
      </c>
      <c r="CL128" s="12"/>
    </row>
    <row r="129" spans="2:90">
      <c r="B129" s="36" t="s">
        <v>781</v>
      </c>
      <c r="C129" s="36">
        <f t="shared" ref="C129:AH129" si="331">ABS(C111-C70)</f>
        <v>1.4114961903030294</v>
      </c>
      <c r="D129" s="36">
        <f t="shared" si="331"/>
        <v>1.4102075772699527</v>
      </c>
      <c r="E129" s="36">
        <f t="shared" si="331"/>
        <v>1.4082005044664456</v>
      </c>
      <c r="F129" s="36">
        <f t="shared" si="331"/>
        <v>1.405249695238395</v>
      </c>
      <c r="G129" s="36">
        <f t="shared" si="331"/>
        <v>1.4013310203139699</v>
      </c>
      <c r="H129" s="36">
        <f t="shared" si="331"/>
        <v>1.3964119594987865</v>
      </c>
      <c r="I129" s="36">
        <f t="shared" si="331"/>
        <v>1.3904509152983524</v>
      </c>
      <c r="J129" s="36">
        <f t="shared" si="331"/>
        <v>1.3833963113123282</v>
      </c>
      <c r="K129" s="36">
        <f t="shared" si="331"/>
        <v>1.3751854380081967</v>
      </c>
      <c r="L129" s="36">
        <f t="shared" si="331"/>
        <v>1.365742996060989</v>
      </c>
      <c r="M129" s="36">
        <f t="shared" si="331"/>
        <v>1.3549792714608371</v>
      </c>
      <c r="N129" s="36">
        <f t="shared" si="331"/>
        <v>1.3427878556466211</v>
      </c>
      <c r="O129" s="36">
        <f t="shared" si="331"/>
        <v>1.3290427960600839</v>
      </c>
      <c r="P129" s="36">
        <f t="shared" si="331"/>
        <v>1.3135950249274329</v>
      </c>
      <c r="Q129" s="36">
        <f t="shared" si="331"/>
        <v>1.2962678627001298</v>
      </c>
      <c r="R129" s="36">
        <f t="shared" si="331"/>
        <v>1.2768513214431225</v>
      </c>
      <c r="S129" s="36">
        <f t="shared" si="331"/>
        <v>1.2550948336159669</v>
      </c>
      <c r="T129" s="36">
        <f t="shared" si="331"/>
        <v>1.2306978895999063</v>
      </c>
      <c r="U129" s="36">
        <f t="shared" si="331"/>
        <v>1.2032978620767072</v>
      </c>
      <c r="V129" s="36">
        <f t="shared" si="331"/>
        <v>1.172453994123152</v>
      </c>
      <c r="W129" s="36">
        <f t="shared" si="331"/>
        <v>1.1376260780444327</v>
      </c>
      <c r="X129" s="36">
        <f t="shared" si="331"/>
        <v>1.0981456674568555</v>
      </c>
      <c r="Y129" s="36">
        <f t="shared" si="331"/>
        <v>1.053176601796721</v>
      </c>
      <c r="Z129" s="36">
        <f t="shared" si="331"/>
        <v>1.0016599326259974</v>
      </c>
      <c r="AA129" s="36">
        <f t="shared" si="331"/>
        <v>0.94223558718466083</v>
      </c>
      <c r="AB129" s="36">
        <f t="shared" si="331"/>
        <v>0.87312848863169079</v>
      </c>
      <c r="AC129" s="36">
        <f t="shared" si="331"/>
        <v>0.79197886761197556</v>
      </c>
      <c r="AD129" s="36">
        <f t="shared" si="331"/>
        <v>0.69558218741091771</v>
      </c>
      <c r="AE129" s="36">
        <f t="shared" si="331"/>
        <v>0.57947739120605057</v>
      </c>
      <c r="AF129" s="36">
        <f t="shared" si="331"/>
        <v>0.43726995035252858</v>
      </c>
      <c r="AG129" s="36">
        <f t="shared" si="331"/>
        <v>0.25946844142625469</v>
      </c>
      <c r="AH129" s="36">
        <f t="shared" si="331"/>
        <v>3.1376701945053931E-2</v>
      </c>
      <c r="AI129" s="36">
        <f t="shared" ref="AI129:BN129" si="332">ABS(AI111-AI70)</f>
        <v>0.27097605556142668</v>
      </c>
      <c r="AJ129" s="36">
        <f t="shared" si="332"/>
        <v>0.6893285972248886</v>
      </c>
      <c r="AK129" s="36">
        <f t="shared" si="332"/>
        <v>1.3026865982693694</v>
      </c>
      <c r="AL129" s="36">
        <f t="shared" si="332"/>
        <v>2.2774864360828042</v>
      </c>
      <c r="AM129" s="36">
        <f t="shared" si="332"/>
        <v>4.011164245135058</v>
      </c>
      <c r="AN129" s="36">
        <f t="shared" si="332"/>
        <v>7.4628380799497522</v>
      </c>
      <c r="AO129" s="36">
        <f t="shared" si="332"/>
        <v>11.660806728769801</v>
      </c>
      <c r="AP129" s="36">
        <f t="shared" si="332"/>
        <v>11.261722365537521</v>
      </c>
      <c r="AQ129" s="36">
        <f t="shared" si="332"/>
        <v>7.0225783539113467</v>
      </c>
      <c r="AR129" s="36">
        <f t="shared" si="332"/>
        <v>4.3329732081863481</v>
      </c>
      <c r="AS129" s="36">
        <f t="shared" si="332"/>
        <v>2.9259166197629574</v>
      </c>
      <c r="AT129" s="36">
        <f t="shared" si="332"/>
        <v>2.0990558801173256</v>
      </c>
      <c r="AU129" s="36">
        <f t="shared" si="332"/>
        <v>1.5622804166505933</v>
      </c>
      <c r="AV129" s="36">
        <f t="shared" si="332"/>
        <v>1.1878950911648232</v>
      </c>
      <c r="AW129" s="36">
        <f t="shared" si="332"/>
        <v>0.91273771501074541</v>
      </c>
      <c r="AX129" s="36">
        <f t="shared" si="332"/>
        <v>0.70237988547065444</v>
      </c>
      <c r="AY129" s="36">
        <f t="shared" si="332"/>
        <v>0.53656862906105385</v>
      </c>
      <c r="AZ129" s="36">
        <f t="shared" si="332"/>
        <v>0.40265034288332924</v>
      </c>
      <c r="BA129" s="36">
        <f t="shared" si="332"/>
        <v>0.29232742089865615</v>
      </c>
      <c r="BB129" s="36">
        <f t="shared" si="332"/>
        <v>0.19993904285618447</v>
      </c>
      <c r="BC129" s="36">
        <f t="shared" si="332"/>
        <v>0.12149407047130967</v>
      </c>
      <c r="BD129" s="36">
        <f t="shared" si="332"/>
        <v>5.4099368145026361E-2</v>
      </c>
      <c r="BE129" s="36">
        <f t="shared" si="332"/>
        <v>4.3925874042645141E-3</v>
      </c>
      <c r="BF129" s="36">
        <f t="shared" si="332"/>
        <v>5.5608842789905744E-2</v>
      </c>
      <c r="BG129" s="36">
        <f t="shared" si="332"/>
        <v>0.10080432054632427</v>
      </c>
      <c r="BH129" s="36">
        <f t="shared" si="332"/>
        <v>0.14096224771968147</v>
      </c>
      <c r="BI129" s="36">
        <f t="shared" si="332"/>
        <v>0.17686377334658654</v>
      </c>
      <c r="BJ129" s="36">
        <f t="shared" si="332"/>
        <v>0.20913725223553792</v>
      </c>
      <c r="BK129" s="36">
        <f t="shared" si="332"/>
        <v>0.23829379410996121</v>
      </c>
      <c r="BL129" s="36">
        <f t="shared" si="332"/>
        <v>0.26475334067287126</v>
      </c>
      <c r="BM129" s="36">
        <f t="shared" si="332"/>
        <v>0.28886408695393673</v>
      </c>
      <c r="BN129" s="36">
        <f t="shared" si="332"/>
        <v>0.31091714613398103</v>
      </c>
      <c r="BO129" s="36">
        <f t="shared" ref="BO129:CG129" si="333">ABS(BO111-BO70)</f>
        <v>0.33115776246576312</v>
      </c>
      <c r="BP129" s="36">
        <f t="shared" si="333"/>
        <v>0.34979398369512227</v>
      </c>
      <c r="BQ129" s="36">
        <f t="shared" si="333"/>
        <v>0.36700343956549464</v>
      </c>
      <c r="BR129" s="36">
        <f t="shared" si="333"/>
        <v>0.3829386916420594</v>
      </c>
      <c r="BS129" s="36">
        <f t="shared" si="333"/>
        <v>0.39773149359139603</v>
      </c>
      <c r="BT129" s="36">
        <f t="shared" si="333"/>
        <v>0.41149621212121201</v>
      </c>
      <c r="BU129" s="36">
        <f t="shared" si="333"/>
        <v>0.44394004091456163</v>
      </c>
      <c r="BV129" s="36">
        <f t="shared" si="333"/>
        <v>0.47123591307497636</v>
      </c>
      <c r="BW129" s="36">
        <f t="shared" si="333"/>
        <v>0.49447797938703619</v>
      </c>
      <c r="BX129" s="36">
        <f t="shared" si="333"/>
        <v>0.51447422587446812</v>
      </c>
      <c r="BY129" s="36">
        <f t="shared" si="333"/>
        <v>0.53183395674146794</v>
      </c>
      <c r="BZ129" s="36">
        <f t="shared" si="333"/>
        <v>0.54702507568995373</v>
      </c>
      <c r="CA129" s="36">
        <f t="shared" si="333"/>
        <v>0.56041266087597574</v>
      </c>
      <c r="CB129" s="36">
        <f t="shared" si="333"/>
        <v>0.57228558791621986</v>
      </c>
      <c r="CC129" s="36">
        <f t="shared" si="333"/>
        <v>0.58287530579415991</v>
      </c>
      <c r="CD129" s="36">
        <f t="shared" si="333"/>
        <v>0.59236933530244029</v>
      </c>
      <c r="CE129" s="36">
        <f t="shared" si="333"/>
        <v>0.60092114138502661</v>
      </c>
      <c r="CF129" s="36">
        <f t="shared" si="333"/>
        <v>0.6086574657599747</v>
      </c>
      <c r="CG129" s="36">
        <f t="shared" si="333"/>
        <v>0.61568384970336931</v>
      </c>
      <c r="CH129" s="36"/>
      <c r="CI129" s="37"/>
      <c r="CJ129" s="39"/>
      <c r="CK129" s="20"/>
      <c r="CL129" s="12"/>
    </row>
    <row r="130" spans="2:90" ht="15.75" thickBot="1">
      <c r="B130" s="36" t="s">
        <v>774</v>
      </c>
      <c r="C130" s="36">
        <f t="shared" ref="C130:AH130" si="334">IF(C129&lt;0.05,C25,0)</f>
        <v>0</v>
      </c>
      <c r="D130" s="36">
        <f t="shared" si="334"/>
        <v>0</v>
      </c>
      <c r="E130" s="36">
        <f t="shared" si="334"/>
        <v>0</v>
      </c>
      <c r="F130" s="36">
        <f t="shared" si="334"/>
        <v>0</v>
      </c>
      <c r="G130" s="36">
        <f t="shared" si="334"/>
        <v>0</v>
      </c>
      <c r="H130" s="36">
        <f t="shared" si="334"/>
        <v>0</v>
      </c>
      <c r="I130" s="36">
        <f t="shared" si="334"/>
        <v>0</v>
      </c>
      <c r="J130" s="36">
        <f t="shared" si="334"/>
        <v>0</v>
      </c>
      <c r="K130" s="36">
        <f t="shared" si="334"/>
        <v>0</v>
      </c>
      <c r="L130" s="36">
        <f t="shared" si="334"/>
        <v>0</v>
      </c>
      <c r="M130" s="36">
        <f t="shared" si="334"/>
        <v>0</v>
      </c>
      <c r="N130" s="36">
        <f t="shared" si="334"/>
        <v>0</v>
      </c>
      <c r="O130" s="36">
        <f t="shared" si="334"/>
        <v>0</v>
      </c>
      <c r="P130" s="36">
        <f t="shared" si="334"/>
        <v>0</v>
      </c>
      <c r="Q130" s="36">
        <f t="shared" si="334"/>
        <v>0</v>
      </c>
      <c r="R130" s="36">
        <f t="shared" si="334"/>
        <v>0</v>
      </c>
      <c r="S130" s="36">
        <f t="shared" si="334"/>
        <v>0</v>
      </c>
      <c r="T130" s="36">
        <f t="shared" si="334"/>
        <v>0</v>
      </c>
      <c r="U130" s="36">
        <f t="shared" si="334"/>
        <v>0</v>
      </c>
      <c r="V130" s="36">
        <f t="shared" si="334"/>
        <v>0</v>
      </c>
      <c r="W130" s="36">
        <f t="shared" si="334"/>
        <v>0</v>
      </c>
      <c r="X130" s="36">
        <f t="shared" si="334"/>
        <v>0</v>
      </c>
      <c r="Y130" s="36">
        <f t="shared" si="334"/>
        <v>0</v>
      </c>
      <c r="Z130" s="36">
        <f t="shared" si="334"/>
        <v>0</v>
      </c>
      <c r="AA130" s="36">
        <f t="shared" si="334"/>
        <v>0</v>
      </c>
      <c r="AB130" s="36">
        <f t="shared" si="334"/>
        <v>0</v>
      </c>
      <c r="AC130" s="36">
        <f t="shared" si="334"/>
        <v>0</v>
      </c>
      <c r="AD130" s="36">
        <f t="shared" si="334"/>
        <v>0</v>
      </c>
      <c r="AE130" s="36">
        <f t="shared" si="334"/>
        <v>0</v>
      </c>
      <c r="AF130" s="36">
        <f t="shared" si="334"/>
        <v>0</v>
      </c>
      <c r="AG130" s="36">
        <f t="shared" si="334"/>
        <v>0</v>
      </c>
      <c r="AH130" s="36">
        <f t="shared" si="334"/>
        <v>0.45906263521906937</v>
      </c>
      <c r="AI130" s="36">
        <f t="shared" ref="AI130:BN130" si="335">IF(AI129&lt;0.05,AI25,0)</f>
        <v>0</v>
      </c>
      <c r="AJ130" s="36">
        <f t="shared" si="335"/>
        <v>0</v>
      </c>
      <c r="AK130" s="36">
        <f t="shared" si="335"/>
        <v>0</v>
      </c>
      <c r="AL130" s="36">
        <f t="shared" si="335"/>
        <v>0</v>
      </c>
      <c r="AM130" s="36">
        <f t="shared" si="335"/>
        <v>0</v>
      </c>
      <c r="AN130" s="36">
        <f t="shared" si="335"/>
        <v>0</v>
      </c>
      <c r="AO130" s="36">
        <f t="shared" si="335"/>
        <v>0</v>
      </c>
      <c r="AP130" s="36">
        <f t="shared" si="335"/>
        <v>0</v>
      </c>
      <c r="AQ130" s="36">
        <f t="shared" si="335"/>
        <v>0</v>
      </c>
      <c r="AR130" s="36">
        <f t="shared" si="335"/>
        <v>0</v>
      </c>
      <c r="AS130" s="36">
        <f t="shared" si="335"/>
        <v>0</v>
      </c>
      <c r="AT130" s="36">
        <f t="shared" si="335"/>
        <v>0</v>
      </c>
      <c r="AU130" s="36">
        <f t="shared" si="335"/>
        <v>0</v>
      </c>
      <c r="AV130" s="36">
        <f t="shared" si="335"/>
        <v>0</v>
      </c>
      <c r="AW130" s="36">
        <f t="shared" si="335"/>
        <v>0</v>
      </c>
      <c r="AX130" s="36">
        <f t="shared" si="335"/>
        <v>0</v>
      </c>
      <c r="AY130" s="36">
        <f t="shared" si="335"/>
        <v>0</v>
      </c>
      <c r="AZ130" s="36">
        <f t="shared" si="335"/>
        <v>0</v>
      </c>
      <c r="BA130" s="36">
        <f t="shared" si="335"/>
        <v>0</v>
      </c>
      <c r="BB130" s="36">
        <f t="shared" si="335"/>
        <v>0</v>
      </c>
      <c r="BC130" s="36">
        <f t="shared" si="335"/>
        <v>0</v>
      </c>
      <c r="BD130" s="36">
        <f t="shared" si="335"/>
        <v>0</v>
      </c>
      <c r="BE130" s="36">
        <f t="shared" si="335"/>
        <v>0.78260869565217461</v>
      </c>
      <c r="BF130" s="36">
        <f t="shared" si="335"/>
        <v>0</v>
      </c>
      <c r="BG130" s="36">
        <f t="shared" si="335"/>
        <v>0</v>
      </c>
      <c r="BH130" s="36">
        <f t="shared" si="335"/>
        <v>0</v>
      </c>
      <c r="BI130" s="36">
        <f t="shared" si="335"/>
        <v>0</v>
      </c>
      <c r="BJ130" s="36">
        <f t="shared" si="335"/>
        <v>0</v>
      </c>
      <c r="BK130" s="36">
        <f t="shared" si="335"/>
        <v>0</v>
      </c>
      <c r="BL130" s="36">
        <f t="shared" si="335"/>
        <v>0</v>
      </c>
      <c r="BM130" s="36">
        <f t="shared" si="335"/>
        <v>0</v>
      </c>
      <c r="BN130" s="36">
        <f t="shared" si="335"/>
        <v>0</v>
      </c>
      <c r="BO130" s="36">
        <f t="shared" ref="BO130:CG130" si="336">IF(BO129&lt;0.05,BO25,0)</f>
        <v>0</v>
      </c>
      <c r="BP130" s="36">
        <f t="shared" si="336"/>
        <v>0</v>
      </c>
      <c r="BQ130" s="36">
        <f t="shared" si="336"/>
        <v>0</v>
      </c>
      <c r="BR130" s="36">
        <f t="shared" si="336"/>
        <v>0</v>
      </c>
      <c r="BS130" s="36">
        <f t="shared" si="336"/>
        <v>0</v>
      </c>
      <c r="BT130" s="36">
        <f t="shared" si="336"/>
        <v>0</v>
      </c>
      <c r="BU130" s="36">
        <f t="shared" si="336"/>
        <v>0</v>
      </c>
      <c r="BV130" s="36">
        <f t="shared" si="336"/>
        <v>0</v>
      </c>
      <c r="BW130" s="36">
        <f t="shared" si="336"/>
        <v>0</v>
      </c>
      <c r="BX130" s="36">
        <f t="shared" si="336"/>
        <v>0</v>
      </c>
      <c r="BY130" s="36">
        <f t="shared" si="336"/>
        <v>0</v>
      </c>
      <c r="BZ130" s="36">
        <f t="shared" si="336"/>
        <v>0</v>
      </c>
      <c r="CA130" s="36">
        <f t="shared" si="336"/>
        <v>0</v>
      </c>
      <c r="CB130" s="36">
        <f t="shared" si="336"/>
        <v>0</v>
      </c>
      <c r="CC130" s="36">
        <f t="shared" si="336"/>
        <v>0</v>
      </c>
      <c r="CD130" s="36">
        <f t="shared" si="336"/>
        <v>0</v>
      </c>
      <c r="CE130" s="36">
        <f t="shared" si="336"/>
        <v>0</v>
      </c>
      <c r="CF130" s="36">
        <f t="shared" si="336"/>
        <v>0</v>
      </c>
      <c r="CG130" s="36">
        <f t="shared" si="336"/>
        <v>0</v>
      </c>
      <c r="CH130" s="36"/>
      <c r="CI130" s="37">
        <f t="shared" ref="CI130" si="337">MAX(C130:CG130)</f>
        <v>0.78260869565217461</v>
      </c>
      <c r="CJ130" s="40"/>
      <c r="CK130" s="20">
        <f>CI130*'Design Spec'!D112</f>
        <v>172.17391304347842</v>
      </c>
      <c r="CL130" s="15"/>
    </row>
    <row r="131" spans="2:90" s="35" customFormat="1"/>
    <row r="132" spans="2:90" s="35" customFormat="1"/>
    <row r="133" spans="2:90" s="35" customFormat="1"/>
    <row r="134" spans="2:90" s="35" customFormat="1"/>
    <row r="135" spans="2:90" s="35" customFormat="1"/>
    <row r="136" spans="2:90" s="35" customFormat="1"/>
    <row r="138" spans="2:90">
      <c r="C138" s="2">
        <f t="shared" ref="C138:AH138" si="338">ABS(C47-C53)</f>
        <v>1.5209591617736744</v>
      </c>
      <c r="D138" s="2">
        <f t="shared" si="338"/>
        <v>1.5196709948907636</v>
      </c>
      <c r="E138" s="2">
        <f t="shared" si="338"/>
        <v>1.5176663949476255</v>
      </c>
      <c r="F138" s="2">
        <f t="shared" si="338"/>
        <v>1.5147231569572506</v>
      </c>
      <c r="G138" s="2">
        <f t="shared" si="338"/>
        <v>1.5108217868876914</v>
      </c>
      <c r="H138" s="2">
        <f t="shared" si="338"/>
        <v>1.5059361756963279</v>
      </c>
      <c r="I138" s="2">
        <f t="shared" si="338"/>
        <v>1.5000331958130644</v>
      </c>
      <c r="J138" s="2">
        <f t="shared" si="338"/>
        <v>1.4930721823154955</v>
      </c>
      <c r="K138" s="2">
        <f t="shared" si="338"/>
        <v>1.4850042860525177</v>
      </c>
      <c r="L138" s="2">
        <f t="shared" si="338"/>
        <v>1.4757716827743106</v>
      </c>
      <c r="M138" s="2">
        <f t="shared" si="338"/>
        <v>1.4653066187565296</v>
      </c>
      <c r="N138" s="2">
        <f t="shared" si="338"/>
        <v>1.4535302694397341</v>
      </c>
      <c r="O138" s="2">
        <f t="shared" si="338"/>
        <v>1.4403513832604018</v>
      </c>
      <c r="P138" s="2">
        <f t="shared" si="338"/>
        <v>1.4256646782268558</v>
      </c>
      <c r="Q138" s="2">
        <f t="shared" si="338"/>
        <v>1.4093489541332171</v>
      </c>
      <c r="R138" s="2">
        <f t="shared" si="338"/>
        <v>1.3912648790914393</v>
      </c>
      <c r="S138" s="2">
        <f t="shared" si="338"/>
        <v>1.3712524061899298</v>
      </c>
      <c r="T138" s="2">
        <f t="shared" si="338"/>
        <v>1.3491277761344531</v>
      </c>
      <c r="U138" s="2">
        <f t="shared" si="338"/>
        <v>1.3246800673966164</v>
      </c>
      <c r="V138" s="2">
        <f t="shared" si="338"/>
        <v>1.2976672712342165</v>
      </c>
      <c r="W138" s="2">
        <f t="shared" si="338"/>
        <v>1.2678119024952803</v>
      </c>
      <c r="X138" s="2">
        <f t="shared" si="338"/>
        <v>1.2347962207263925</v>
      </c>
      <c r="Y138" s="2">
        <f t="shared" si="338"/>
        <v>1.1982572497782895</v>
      </c>
      <c r="Z138" s="2">
        <f t="shared" si="338"/>
        <v>1.1577819797860835</v>
      </c>
      <c r="AA138" s="2">
        <f t="shared" si="338"/>
        <v>1.1129034631998493</v>
      </c>
      <c r="AB138" s="2">
        <f t="shared" si="338"/>
        <v>1.0630990529319</v>
      </c>
      <c r="AC138" s="2">
        <f t="shared" si="338"/>
        <v>1.0077928874993725</v>
      </c>
      <c r="AD138" s="2">
        <f t="shared" si="338"/>
        <v>0.9463660570128356</v>
      </c>
      <c r="AE138" s="2">
        <f t="shared" si="338"/>
        <v>0.87817986198226305</v>
      </c>
      <c r="AF138" s="2">
        <f t="shared" si="338"/>
        <v>0.80262033668066379</v>
      </c>
      <c r="AG138" s="2">
        <f t="shared" si="338"/>
        <v>0.71917563762061554</v>
      </c>
      <c r="AH138" s="2">
        <f t="shared" si="338"/>
        <v>0.62756117221801899</v>
      </c>
      <c r="AI138" s="2">
        <f t="shared" ref="AI138:BN138" si="339">ABS(AI47-AI53)</f>
        <v>0.52790803302132538</v>
      </c>
      <c r="AJ138" s="2">
        <f t="shared" si="339"/>
        <v>0.42102306794813638</v>
      </c>
      <c r="AK138" s="2">
        <f t="shared" si="339"/>
        <v>0.30870470399800332</v>
      </c>
      <c r="AL138" s="2">
        <f t="shared" si="339"/>
        <v>0.19404754900375987</v>
      </c>
      <c r="AM138" s="2">
        <f t="shared" si="339"/>
        <v>8.1592522312127214E-2</v>
      </c>
      <c r="AN138" s="2">
        <f t="shared" si="339"/>
        <v>2.2884534513684107E-2</v>
      </c>
      <c r="AO138" s="2">
        <f t="shared" si="339"/>
        <v>0.11311590545574024</v>
      </c>
      <c r="AP138" s="2">
        <f t="shared" si="339"/>
        <v>0.13837937180347604</v>
      </c>
      <c r="AQ138" s="2">
        <f t="shared" si="339"/>
        <v>0.20152177608346045</v>
      </c>
      <c r="AR138" s="2">
        <f t="shared" si="339"/>
        <v>0.24082662294235302</v>
      </c>
      <c r="AS138" s="2">
        <f t="shared" si="339"/>
        <v>0.25654157705580283</v>
      </c>
      <c r="AT138" s="2">
        <f t="shared" si="339"/>
        <v>0.25141791009016456</v>
      </c>
      <c r="AU138" s="2">
        <f t="shared" si="339"/>
        <v>0.22970961961534231</v>
      </c>
      <c r="AV138" s="2">
        <f t="shared" si="339"/>
        <v>0.19607602589594686</v>
      </c>
      <c r="AW138" s="2">
        <f t="shared" si="339"/>
        <v>0.15477626013457435</v>
      </c>
      <c r="AX138" s="2">
        <f t="shared" si="339"/>
        <v>0.10926627978798042</v>
      </c>
      <c r="AY138" s="2">
        <f t="shared" si="339"/>
        <v>6.2115012153993066E-2</v>
      </c>
      <c r="AZ138" s="2">
        <f t="shared" si="339"/>
        <v>1.5100453959458138E-2</v>
      </c>
      <c r="BA138" s="2">
        <f t="shared" si="339"/>
        <v>3.0626728177168383E-2</v>
      </c>
      <c r="BB138" s="2">
        <f t="shared" si="339"/>
        <v>7.4377469635395821E-2</v>
      </c>
      <c r="BC138" s="2">
        <f t="shared" si="339"/>
        <v>0.11578466933540299</v>
      </c>
      <c r="BD138" s="2">
        <f t="shared" si="339"/>
        <v>0.15469636371191409</v>
      </c>
      <c r="BE138" s="2">
        <f t="shared" si="339"/>
        <v>0.19109867978150974</v>
      </c>
      <c r="BF138" s="2">
        <f t="shared" si="339"/>
        <v>0.22506242593181125</v>
      </c>
      <c r="BG138" s="2">
        <f t="shared" si="339"/>
        <v>0.25670714213883516</v>
      </c>
      <c r="BH138" s="2">
        <f t="shared" si="339"/>
        <v>0.28617749530076031</v>
      </c>
      <c r="BI138" s="2">
        <f t="shared" si="339"/>
        <v>0.31362815690439616</v>
      </c>
      <c r="BJ138" s="2">
        <f t="shared" si="339"/>
        <v>0.33921439138909459</v>
      </c>
      <c r="BK138" s="2">
        <f t="shared" si="339"/>
        <v>0.3630864278282917</v>
      </c>
      <c r="BL138" s="2">
        <f t="shared" si="339"/>
        <v>0.38538630156466214</v>
      </c>
      <c r="BM138" s="2">
        <f t="shared" si="339"/>
        <v>0.40624628325386936</v>
      </c>
      <c r="BN138" s="2">
        <f t="shared" si="339"/>
        <v>0.42578830845361559</v>
      </c>
      <c r="BO138" s="2">
        <f t="shared" ref="BO138:CG138" si="340">ABS(BO47-BO53)</f>
        <v>0.4441240209872932</v>
      </c>
      <c r="BP138" s="2">
        <f t="shared" si="340"/>
        <v>0.46135517745447108</v>
      </c>
      <c r="BQ138" s="2">
        <f t="shared" si="340"/>
        <v>0.47757424959470596</v>
      </c>
      <c r="BR138" s="2">
        <f t="shared" si="340"/>
        <v>0.49286512039026587</v>
      </c>
      <c r="BS138" s="2">
        <f t="shared" si="340"/>
        <v>0.50730380880096693</v>
      </c>
      <c r="BT138" s="2">
        <f t="shared" si="340"/>
        <v>0.52095918359185678</v>
      </c>
      <c r="BU138" s="2">
        <f t="shared" si="340"/>
        <v>0.55404595678278701</v>
      </c>
      <c r="BV138" s="2">
        <f t="shared" si="340"/>
        <v>0.58297065399965842</v>
      </c>
      <c r="BW138" s="2">
        <f t="shared" si="340"/>
        <v>0.60850801418011591</v>
      </c>
      <c r="BX138" s="2">
        <f t="shared" si="340"/>
        <v>0.63126259480693336</v>
      </c>
      <c r="BY138" s="2">
        <f t="shared" si="340"/>
        <v>0.65171047092264489</v>
      </c>
      <c r="BZ138" s="2">
        <f t="shared" si="340"/>
        <v>0.67023004010546416</v>
      </c>
      <c r="CA138" s="2">
        <f t="shared" si="340"/>
        <v>0.68712480388525499</v>
      </c>
      <c r="CB138" s="2">
        <f t="shared" si="340"/>
        <v>0.70264030749833684</v>
      </c>
      <c r="CC138" s="2">
        <f t="shared" si="340"/>
        <v>0.71697683238777765</v>
      </c>
      <c r="CD138" s="2">
        <f t="shared" si="340"/>
        <v>0.73029898891370038</v>
      </c>
      <c r="CE138" s="2">
        <f t="shared" si="340"/>
        <v>0.74274303195391844</v>
      </c>
      <c r="CF138" s="2">
        <f t="shared" si="340"/>
        <v>0.75442249047851173</v>
      </c>
      <c r="CG138" s="2">
        <f t="shared" si="340"/>
        <v>0.76543253804996614</v>
      </c>
    </row>
    <row r="139" spans="2:90">
      <c r="C139" s="2">
        <f t="shared" ref="C139:AH139" si="341">IF(C138&lt;0.03,C25,0)</f>
        <v>0</v>
      </c>
      <c r="D139" s="2">
        <f t="shared" si="341"/>
        <v>0</v>
      </c>
      <c r="E139" s="2">
        <f t="shared" si="341"/>
        <v>0</v>
      </c>
      <c r="F139" s="2">
        <f t="shared" si="341"/>
        <v>0</v>
      </c>
      <c r="G139" s="2">
        <f t="shared" si="341"/>
        <v>0</v>
      </c>
      <c r="H139" s="2">
        <f t="shared" si="341"/>
        <v>0</v>
      </c>
      <c r="I139" s="2">
        <f t="shared" si="341"/>
        <v>0</v>
      </c>
      <c r="J139" s="2">
        <f t="shared" si="341"/>
        <v>0</v>
      </c>
      <c r="K139" s="2">
        <f t="shared" si="341"/>
        <v>0</v>
      </c>
      <c r="L139" s="2">
        <f t="shared" si="341"/>
        <v>0</v>
      </c>
      <c r="M139" s="2">
        <f t="shared" si="341"/>
        <v>0</v>
      </c>
      <c r="N139" s="2">
        <f t="shared" si="341"/>
        <v>0</v>
      </c>
      <c r="O139" s="2">
        <f t="shared" si="341"/>
        <v>0</v>
      </c>
      <c r="P139" s="2">
        <f t="shared" si="341"/>
        <v>0</v>
      </c>
      <c r="Q139" s="2">
        <f t="shared" si="341"/>
        <v>0</v>
      </c>
      <c r="R139" s="2">
        <f t="shared" si="341"/>
        <v>0</v>
      </c>
      <c r="S139" s="2">
        <f t="shared" si="341"/>
        <v>0</v>
      </c>
      <c r="T139" s="2">
        <f t="shared" si="341"/>
        <v>0</v>
      </c>
      <c r="U139" s="2">
        <f t="shared" si="341"/>
        <v>0</v>
      </c>
      <c r="V139" s="2">
        <f t="shared" si="341"/>
        <v>0</v>
      </c>
      <c r="W139" s="2">
        <f t="shared" si="341"/>
        <v>0</v>
      </c>
      <c r="X139" s="2">
        <f t="shared" si="341"/>
        <v>0</v>
      </c>
      <c r="Y139" s="2">
        <f t="shared" si="341"/>
        <v>0</v>
      </c>
      <c r="Z139" s="2">
        <f t="shared" si="341"/>
        <v>0</v>
      </c>
      <c r="AA139" s="2">
        <f t="shared" si="341"/>
        <v>0</v>
      </c>
      <c r="AB139" s="2">
        <f t="shared" si="341"/>
        <v>0</v>
      </c>
      <c r="AC139" s="2">
        <f t="shared" si="341"/>
        <v>0</v>
      </c>
      <c r="AD139" s="2">
        <f t="shared" si="341"/>
        <v>0</v>
      </c>
      <c r="AE139" s="2">
        <f t="shared" si="341"/>
        <v>0</v>
      </c>
      <c r="AF139" s="2">
        <f t="shared" si="341"/>
        <v>0</v>
      </c>
      <c r="AG139" s="2">
        <f t="shared" si="341"/>
        <v>0</v>
      </c>
      <c r="AH139" s="2">
        <f t="shared" si="341"/>
        <v>0</v>
      </c>
      <c r="AI139" s="2">
        <f t="shared" ref="AI139:BN139" si="342">IF(AI138&lt;0.03,AI25,0)</f>
        <v>0</v>
      </c>
      <c r="AJ139" s="2">
        <f t="shared" si="342"/>
        <v>0</v>
      </c>
      <c r="AK139" s="2">
        <f t="shared" si="342"/>
        <v>0</v>
      </c>
      <c r="AL139" s="2">
        <f t="shared" si="342"/>
        <v>0</v>
      </c>
      <c r="AM139" s="2">
        <f t="shared" si="342"/>
        <v>0</v>
      </c>
      <c r="AN139" s="2">
        <f t="shared" si="342"/>
        <v>0.54601915695819969</v>
      </c>
      <c r="AO139" s="2">
        <f t="shared" si="342"/>
        <v>0</v>
      </c>
      <c r="AP139" s="2">
        <f t="shared" si="342"/>
        <v>0</v>
      </c>
      <c r="AQ139" s="2">
        <f t="shared" si="342"/>
        <v>0</v>
      </c>
      <c r="AR139" s="2">
        <f t="shared" si="342"/>
        <v>0</v>
      </c>
      <c r="AS139" s="2">
        <f t="shared" si="342"/>
        <v>0</v>
      </c>
      <c r="AT139" s="2">
        <f t="shared" si="342"/>
        <v>0</v>
      </c>
      <c r="AU139" s="2">
        <f t="shared" si="342"/>
        <v>0</v>
      </c>
      <c r="AV139" s="2">
        <f t="shared" si="342"/>
        <v>0</v>
      </c>
      <c r="AW139" s="2">
        <f t="shared" si="342"/>
        <v>0</v>
      </c>
      <c r="AX139" s="2">
        <f t="shared" si="342"/>
        <v>0</v>
      </c>
      <c r="AY139" s="2">
        <f t="shared" si="342"/>
        <v>0</v>
      </c>
      <c r="AZ139" s="2">
        <f t="shared" si="342"/>
        <v>0.71014492753623282</v>
      </c>
      <c r="BA139" s="2">
        <f t="shared" si="342"/>
        <v>0</v>
      </c>
      <c r="BB139" s="2">
        <f t="shared" si="342"/>
        <v>0</v>
      </c>
      <c r="BC139" s="2">
        <f t="shared" si="342"/>
        <v>0</v>
      </c>
      <c r="BD139" s="2">
        <f t="shared" si="342"/>
        <v>0</v>
      </c>
      <c r="BE139" s="2">
        <f t="shared" si="342"/>
        <v>0</v>
      </c>
      <c r="BF139" s="2">
        <f t="shared" si="342"/>
        <v>0</v>
      </c>
      <c r="BG139" s="2">
        <f t="shared" si="342"/>
        <v>0</v>
      </c>
      <c r="BH139" s="2">
        <f t="shared" si="342"/>
        <v>0</v>
      </c>
      <c r="BI139" s="2">
        <f t="shared" si="342"/>
        <v>0</v>
      </c>
      <c r="BJ139" s="2">
        <f t="shared" si="342"/>
        <v>0</v>
      </c>
      <c r="BK139" s="2">
        <f t="shared" si="342"/>
        <v>0</v>
      </c>
      <c r="BL139" s="2">
        <f t="shared" si="342"/>
        <v>0</v>
      </c>
      <c r="BM139" s="2">
        <f t="shared" si="342"/>
        <v>0</v>
      </c>
      <c r="BN139" s="2">
        <f t="shared" si="342"/>
        <v>0</v>
      </c>
      <c r="BO139" s="2">
        <f t="shared" ref="BO139:CG139" si="343">IF(BO138&lt;0.03,BO25,0)</f>
        <v>0</v>
      </c>
      <c r="BP139" s="2">
        <f t="shared" si="343"/>
        <v>0</v>
      </c>
      <c r="BQ139" s="2">
        <f t="shared" si="343"/>
        <v>0</v>
      </c>
      <c r="BR139" s="2">
        <f t="shared" si="343"/>
        <v>0</v>
      </c>
      <c r="BS139" s="2">
        <f t="shared" si="343"/>
        <v>0</v>
      </c>
      <c r="BT139" s="2">
        <f t="shared" si="343"/>
        <v>0</v>
      </c>
      <c r="BU139" s="2">
        <f t="shared" si="343"/>
        <v>0</v>
      </c>
      <c r="BV139" s="2">
        <f t="shared" si="343"/>
        <v>0</v>
      </c>
      <c r="BW139" s="2">
        <f t="shared" si="343"/>
        <v>0</v>
      </c>
      <c r="BX139" s="2">
        <f t="shared" si="343"/>
        <v>0</v>
      </c>
      <c r="BY139" s="2">
        <f t="shared" si="343"/>
        <v>0</v>
      </c>
      <c r="BZ139" s="2">
        <f t="shared" si="343"/>
        <v>0</v>
      </c>
      <c r="CA139" s="2">
        <f t="shared" si="343"/>
        <v>0</v>
      </c>
      <c r="CB139" s="2">
        <f t="shared" si="343"/>
        <v>0</v>
      </c>
      <c r="CC139" s="2">
        <f t="shared" si="343"/>
        <v>0</v>
      </c>
      <c r="CD139" s="2">
        <f t="shared" si="343"/>
        <v>0</v>
      </c>
      <c r="CE139" s="2">
        <f t="shared" si="343"/>
        <v>0</v>
      </c>
      <c r="CF139" s="2">
        <f t="shared" si="343"/>
        <v>0</v>
      </c>
      <c r="CG139" s="2">
        <f t="shared" si="343"/>
        <v>0</v>
      </c>
      <c r="CI139" s="2">
        <f>MAX(C139:CG139)</f>
        <v>0.71014492753623282</v>
      </c>
      <c r="CJ139" s="2">
        <f>3.14/2</f>
        <v>1.57</v>
      </c>
    </row>
    <row r="140" spans="2:90">
      <c r="C140" s="2">
        <f t="shared" ref="C140:AH140" si="344">ABS(C49-C55)</f>
        <v>1.7562523663282017</v>
      </c>
      <c r="D140" s="2">
        <f t="shared" si="344"/>
        <v>1.7549640012135459</v>
      </c>
      <c r="E140" s="2">
        <f t="shared" si="344"/>
        <v>1.7529583031220271</v>
      </c>
      <c r="F140" s="2">
        <f t="shared" si="344"/>
        <v>1.750011705708544</v>
      </c>
      <c r="G140" s="2">
        <f t="shared" si="344"/>
        <v>1.7461026662430634</v>
      </c>
      <c r="H140" s="2">
        <f t="shared" si="344"/>
        <v>1.741202252622533</v>
      </c>
      <c r="I140" s="2">
        <f t="shared" si="344"/>
        <v>1.7352736252161811</v>
      </c>
      <c r="J140" s="2">
        <f t="shared" si="344"/>
        <v>1.7282713641218455</v>
      </c>
      <c r="K140" s="2">
        <f t="shared" si="344"/>
        <v>1.7201406202141432</v>
      </c>
      <c r="L140" s="2">
        <f t="shared" si="344"/>
        <v>1.7108160620495083</v>
      </c>
      <c r="M140" s="2">
        <f t="shared" si="344"/>
        <v>1.7002205830486108</v>
      </c>
      <c r="N140" s="2">
        <f t="shared" si="344"/>
        <v>1.6882637240144178</v>
      </c>
      <c r="O140" s="2">
        <f t="shared" si="344"/>
        <v>1.6748397544848963</v>
      </c>
      <c r="P140" s="2">
        <f t="shared" si="344"/>
        <v>1.6598253420763567</v>
      </c>
      <c r="Q140" s="2">
        <f t="shared" si="344"/>
        <v>1.6430767211401607</v>
      </c>
      <c r="R140" s="2">
        <f t="shared" si="344"/>
        <v>1.6244262499074844</v>
      </c>
      <c r="S140" s="2">
        <f t="shared" si="344"/>
        <v>1.603678217927637</v>
      </c>
      <c r="T140" s="2">
        <f t="shared" si="344"/>
        <v>1.5806037321355604</v>
      </c>
      <c r="U140" s="2">
        <f t="shared" si="344"/>
        <v>1.5549344697187009</v>
      </c>
      <c r="V140" s="2">
        <f t="shared" si="344"/>
        <v>1.5263550393350893</v>
      </c>
      <c r="W140" s="2">
        <f t="shared" si="344"/>
        <v>1.4944936413725212</v>
      </c>
      <c r="X140" s="2">
        <f t="shared" si="344"/>
        <v>1.4589106692519778</v>
      </c>
      <c r="Y140" s="2">
        <f t="shared" si="344"/>
        <v>1.4190848622758949</v>
      </c>
      <c r="Z140" s="2">
        <f t="shared" si="344"/>
        <v>1.374396638266562</v>
      </c>
      <c r="AA140" s="2">
        <f t="shared" si="344"/>
        <v>1.324108366554652</v>
      </c>
      <c r="AB140" s="2">
        <f t="shared" si="344"/>
        <v>1.2673417180648998</v>
      </c>
      <c r="AC140" s="2">
        <f t="shared" si="344"/>
        <v>1.2030530999427564</v>
      </c>
      <c r="AD140" s="2">
        <f t="shared" si="344"/>
        <v>1.1300100236412771</v>
      </c>
      <c r="AE140" s="2">
        <f t="shared" si="344"/>
        <v>1.0467749499651857</v>
      </c>
      <c r="AF140" s="2">
        <f t="shared" si="344"/>
        <v>0.95171027196327862</v>
      </c>
      <c r="AG140" s="2">
        <f t="shared" si="344"/>
        <v>0.8430312282724195</v>
      </c>
      <c r="AH140" s="2">
        <f t="shared" si="344"/>
        <v>0.71895632170171897</v>
      </c>
      <c r="AI140" s="2">
        <f t="shared" ref="AI140:BN140" si="345">ABS(AI49-AI55)</f>
        <v>0.57804025073234744</v>
      </c>
      <c r="AJ140" s="2">
        <f t="shared" si="345"/>
        <v>0.41981741006345552</v>
      </c>
      <c r="AK140" s="2">
        <f t="shared" si="345"/>
        <v>0.24590012088994984</v>
      </c>
      <c r="AL140" s="2">
        <f t="shared" si="345"/>
        <v>6.155902597100571E-2</v>
      </c>
      <c r="AM140" s="2">
        <f t="shared" si="345"/>
        <v>0.12263490492613549</v>
      </c>
      <c r="AN140" s="2">
        <f t="shared" si="345"/>
        <v>0.2904030017449386</v>
      </c>
      <c r="AO140" s="2">
        <f t="shared" si="345"/>
        <v>0.42251378453119748</v>
      </c>
      <c r="AP140" s="2">
        <f t="shared" si="345"/>
        <v>0.45487307467086668</v>
      </c>
      <c r="AQ140" s="2">
        <f t="shared" si="345"/>
        <v>0.51708177377714759</v>
      </c>
      <c r="AR140" s="2">
        <f t="shared" si="345"/>
        <v>0.52322342751123041</v>
      </c>
      <c r="AS140" s="2">
        <f t="shared" si="345"/>
        <v>0.48283938878914801</v>
      </c>
      <c r="AT140" s="2">
        <f t="shared" si="345"/>
        <v>0.41092409699821819</v>
      </c>
      <c r="AU140" s="2">
        <f t="shared" si="345"/>
        <v>0.32201409461011443</v>
      </c>
      <c r="AV140" s="2">
        <f t="shared" si="345"/>
        <v>0.22709677025719488</v>
      </c>
      <c r="AW140" s="2">
        <f t="shared" si="345"/>
        <v>0.13318463851611173</v>
      </c>
      <c r="AX140" s="2">
        <f t="shared" si="345"/>
        <v>4.4151224108351261E-2</v>
      </c>
      <c r="AY140" s="2">
        <f t="shared" si="345"/>
        <v>3.8216092950175362E-2</v>
      </c>
      <c r="AZ140" s="2">
        <f t="shared" si="345"/>
        <v>0.11337233459967377</v>
      </c>
      <c r="BA140" s="2">
        <f t="shared" si="345"/>
        <v>0.18144901302091632</v>
      </c>
      <c r="BB140" s="2">
        <f t="shared" si="345"/>
        <v>0.2429095005516706</v>
      </c>
      <c r="BC140" s="2">
        <f t="shared" si="345"/>
        <v>0.29835219624708698</v>
      </c>
      <c r="BD140" s="2">
        <f t="shared" si="345"/>
        <v>0.34840415074064657</v>
      </c>
      <c r="BE140" s="2">
        <f t="shared" si="345"/>
        <v>0.39366726678062158</v>
      </c>
      <c r="BF140" s="2">
        <f t="shared" si="345"/>
        <v>0.43469394374527637</v>
      </c>
      <c r="BG140" s="2">
        <f t="shared" si="345"/>
        <v>0.47197864350341345</v>
      </c>
      <c r="BH140" s="2">
        <f t="shared" si="345"/>
        <v>0.50595768858419543</v>
      </c>
      <c r="BI140" s="2">
        <f t="shared" si="345"/>
        <v>0.53701301532597134</v>
      </c>
      <c r="BJ140" s="2">
        <f t="shared" si="345"/>
        <v>0.56547755687146339</v>
      </c>
      <c r="BK140" s="2">
        <f t="shared" si="345"/>
        <v>0.59164103144044233</v>
      </c>
      <c r="BL140" s="2">
        <f t="shared" si="345"/>
        <v>0.61575552364433705</v>
      </c>
      <c r="BM140" s="2">
        <f t="shared" si="345"/>
        <v>0.63804058198355729</v>
      </c>
      <c r="BN140" s="2">
        <f t="shared" si="345"/>
        <v>0.65868773514849299</v>
      </c>
      <c r="BO140" s="2">
        <f t="shared" ref="BO140:CG140" si="346">ABS(BO49-BO55)</f>
        <v>0.67786442217044196</v>
      </c>
      <c r="BP140" s="2">
        <f t="shared" si="346"/>
        <v>0.69571737581274551</v>
      </c>
      <c r="BQ140" s="2">
        <f t="shared" si="346"/>
        <v>0.71237551683945433</v>
      </c>
      <c r="BR140" s="2">
        <f t="shared" si="346"/>
        <v>0.72795242129081972</v>
      </c>
      <c r="BS140" s="2">
        <f t="shared" si="346"/>
        <v>0.74254842050642877</v>
      </c>
      <c r="BT140" s="2">
        <f t="shared" si="346"/>
        <v>0.75625238814638407</v>
      </c>
      <c r="BU140" s="2">
        <f t="shared" si="346"/>
        <v>0.78905356655114034</v>
      </c>
      <c r="BV140" s="2">
        <f t="shared" si="346"/>
        <v>0.81725621814554872</v>
      </c>
      <c r="BW140" s="2">
        <f t="shared" si="346"/>
        <v>0.84177985418185941</v>
      </c>
      <c r="BX140" s="2">
        <f t="shared" si="346"/>
        <v>0.86332229711278496</v>
      </c>
      <c r="BY140" s="2">
        <f t="shared" si="346"/>
        <v>0.88242131264282908</v>
      </c>
      <c r="BZ140" s="2">
        <f t="shared" si="346"/>
        <v>0.89949712342889288</v>
      </c>
      <c r="CA140" s="2">
        <f t="shared" si="346"/>
        <v>0.91488225941234125</v>
      </c>
      <c r="CB140" s="2">
        <f t="shared" si="346"/>
        <v>0.92884287238110619</v>
      </c>
      <c r="CC140" s="2">
        <f t="shared" si="346"/>
        <v>0.94159419718261839</v>
      </c>
      <c r="CD140" s="2">
        <f t="shared" si="346"/>
        <v>0.95331193241774803</v>
      </c>
      <c r="CE140" s="2">
        <f t="shared" si="346"/>
        <v>0.96414073194902605</v>
      </c>
      <c r="CF140" s="2">
        <f t="shared" si="346"/>
        <v>0.97420062073079261</v>
      </c>
      <c r="CG140" s="2">
        <f t="shared" si="346"/>
        <v>0.98359189899762345</v>
      </c>
    </row>
    <row r="141" spans="2:90">
      <c r="C141" s="2">
        <f t="shared" ref="C141:AH141" si="347">IF(C140&lt;0.03,C25,0)</f>
        <v>0</v>
      </c>
      <c r="D141" s="2">
        <f t="shared" si="347"/>
        <v>0</v>
      </c>
      <c r="E141" s="2">
        <f t="shared" si="347"/>
        <v>0</v>
      </c>
      <c r="F141" s="2">
        <f t="shared" si="347"/>
        <v>0</v>
      </c>
      <c r="G141" s="2">
        <f t="shared" si="347"/>
        <v>0</v>
      </c>
      <c r="H141" s="2">
        <f t="shared" si="347"/>
        <v>0</v>
      </c>
      <c r="I141" s="2">
        <f t="shared" si="347"/>
        <v>0</v>
      </c>
      <c r="J141" s="2">
        <f t="shared" si="347"/>
        <v>0</v>
      </c>
      <c r="K141" s="2">
        <f t="shared" si="347"/>
        <v>0</v>
      </c>
      <c r="L141" s="2">
        <f t="shared" si="347"/>
        <v>0</v>
      </c>
      <c r="M141" s="2">
        <f t="shared" si="347"/>
        <v>0</v>
      </c>
      <c r="N141" s="2">
        <f t="shared" si="347"/>
        <v>0</v>
      </c>
      <c r="O141" s="2">
        <f t="shared" si="347"/>
        <v>0</v>
      </c>
      <c r="P141" s="2">
        <f t="shared" si="347"/>
        <v>0</v>
      </c>
      <c r="Q141" s="2">
        <f t="shared" si="347"/>
        <v>0</v>
      </c>
      <c r="R141" s="2">
        <f t="shared" si="347"/>
        <v>0</v>
      </c>
      <c r="S141" s="2">
        <f t="shared" si="347"/>
        <v>0</v>
      </c>
      <c r="T141" s="2">
        <f t="shared" si="347"/>
        <v>0</v>
      </c>
      <c r="U141" s="2">
        <f t="shared" si="347"/>
        <v>0</v>
      </c>
      <c r="V141" s="2">
        <f t="shared" si="347"/>
        <v>0</v>
      </c>
      <c r="W141" s="2">
        <f t="shared" si="347"/>
        <v>0</v>
      </c>
      <c r="X141" s="2">
        <f t="shared" si="347"/>
        <v>0</v>
      </c>
      <c r="Y141" s="2">
        <f t="shared" si="347"/>
        <v>0</v>
      </c>
      <c r="Z141" s="2">
        <f t="shared" si="347"/>
        <v>0</v>
      </c>
      <c r="AA141" s="2">
        <f t="shared" si="347"/>
        <v>0</v>
      </c>
      <c r="AB141" s="2">
        <f t="shared" si="347"/>
        <v>0</v>
      </c>
      <c r="AC141" s="2">
        <f t="shared" si="347"/>
        <v>0</v>
      </c>
      <c r="AD141" s="2">
        <f t="shared" si="347"/>
        <v>0</v>
      </c>
      <c r="AE141" s="2">
        <f t="shared" si="347"/>
        <v>0</v>
      </c>
      <c r="AF141" s="2">
        <f t="shared" si="347"/>
        <v>0</v>
      </c>
      <c r="AG141" s="2">
        <f t="shared" si="347"/>
        <v>0</v>
      </c>
      <c r="AH141" s="2">
        <f t="shared" si="347"/>
        <v>0</v>
      </c>
      <c r="AI141" s="2">
        <f t="shared" ref="AI141:BN141" si="348">IF(AI140&lt;0.03,AI25,0)</f>
        <v>0</v>
      </c>
      <c r="AJ141" s="2">
        <f t="shared" si="348"/>
        <v>0</v>
      </c>
      <c r="AK141" s="2">
        <f t="shared" si="348"/>
        <v>0</v>
      </c>
      <c r="AL141" s="2">
        <f t="shared" si="348"/>
        <v>0</v>
      </c>
      <c r="AM141" s="2">
        <f t="shared" si="348"/>
        <v>0</v>
      </c>
      <c r="AN141" s="2">
        <f t="shared" si="348"/>
        <v>0</v>
      </c>
      <c r="AO141" s="2">
        <f t="shared" si="348"/>
        <v>0</v>
      </c>
      <c r="AP141" s="2">
        <f t="shared" si="348"/>
        <v>0</v>
      </c>
      <c r="AQ141" s="2">
        <f t="shared" si="348"/>
        <v>0</v>
      </c>
      <c r="AR141" s="2">
        <f t="shared" si="348"/>
        <v>0</v>
      </c>
      <c r="AS141" s="2">
        <f t="shared" si="348"/>
        <v>0</v>
      </c>
      <c r="AT141" s="2">
        <f t="shared" si="348"/>
        <v>0</v>
      </c>
      <c r="AU141" s="2">
        <f t="shared" si="348"/>
        <v>0</v>
      </c>
      <c r="AV141" s="2">
        <f t="shared" si="348"/>
        <v>0</v>
      </c>
      <c r="AW141" s="2">
        <f t="shared" si="348"/>
        <v>0</v>
      </c>
      <c r="AX141" s="2">
        <f t="shared" si="348"/>
        <v>0</v>
      </c>
      <c r="AY141" s="2">
        <f t="shared" si="348"/>
        <v>0</v>
      </c>
      <c r="AZ141" s="2">
        <f t="shared" si="348"/>
        <v>0</v>
      </c>
      <c r="BA141" s="2">
        <f t="shared" si="348"/>
        <v>0</v>
      </c>
      <c r="BB141" s="2">
        <f t="shared" si="348"/>
        <v>0</v>
      </c>
      <c r="BC141" s="2">
        <f t="shared" si="348"/>
        <v>0</v>
      </c>
      <c r="BD141" s="2">
        <f t="shared" si="348"/>
        <v>0</v>
      </c>
      <c r="BE141" s="2">
        <f t="shared" si="348"/>
        <v>0</v>
      </c>
      <c r="BF141" s="2">
        <f t="shared" si="348"/>
        <v>0</v>
      </c>
      <c r="BG141" s="2">
        <f t="shared" si="348"/>
        <v>0</v>
      </c>
      <c r="BH141" s="2">
        <f t="shared" si="348"/>
        <v>0</v>
      </c>
      <c r="BI141" s="2">
        <f t="shared" si="348"/>
        <v>0</v>
      </c>
      <c r="BJ141" s="2">
        <f t="shared" si="348"/>
        <v>0</v>
      </c>
      <c r="BK141" s="2">
        <f t="shared" si="348"/>
        <v>0</v>
      </c>
      <c r="BL141" s="2">
        <f t="shared" si="348"/>
        <v>0</v>
      </c>
      <c r="BM141" s="2">
        <f t="shared" si="348"/>
        <v>0</v>
      </c>
      <c r="BN141" s="2">
        <f t="shared" si="348"/>
        <v>0</v>
      </c>
      <c r="BO141" s="2">
        <f t="shared" ref="BO141:CG141" si="349">IF(BO140&lt;0.03,BO25,0)</f>
        <v>0</v>
      </c>
      <c r="BP141" s="2">
        <f t="shared" si="349"/>
        <v>0</v>
      </c>
      <c r="BQ141" s="2">
        <f t="shared" si="349"/>
        <v>0</v>
      </c>
      <c r="BR141" s="2">
        <f t="shared" si="349"/>
        <v>0</v>
      </c>
      <c r="BS141" s="2">
        <f t="shared" si="349"/>
        <v>0</v>
      </c>
      <c r="BT141" s="2">
        <f t="shared" si="349"/>
        <v>0</v>
      </c>
      <c r="BU141" s="2">
        <f t="shared" si="349"/>
        <v>0</v>
      </c>
      <c r="BV141" s="2">
        <f t="shared" si="349"/>
        <v>0</v>
      </c>
      <c r="BW141" s="2">
        <f t="shared" si="349"/>
        <v>0</v>
      </c>
      <c r="BX141" s="2">
        <f t="shared" si="349"/>
        <v>0</v>
      </c>
      <c r="BY141" s="2">
        <f t="shared" si="349"/>
        <v>0</v>
      </c>
      <c r="BZ141" s="2">
        <f t="shared" si="349"/>
        <v>0</v>
      </c>
      <c r="CA141" s="2">
        <f t="shared" si="349"/>
        <v>0</v>
      </c>
      <c r="CB141" s="2">
        <f t="shared" si="349"/>
        <v>0</v>
      </c>
      <c r="CC141" s="2">
        <f t="shared" si="349"/>
        <v>0</v>
      </c>
      <c r="CD141" s="2">
        <f t="shared" si="349"/>
        <v>0</v>
      </c>
      <c r="CE141" s="2">
        <f t="shared" si="349"/>
        <v>0</v>
      </c>
      <c r="CF141" s="2">
        <f t="shared" si="349"/>
        <v>0</v>
      </c>
      <c r="CG141" s="2">
        <f t="shared" si="349"/>
        <v>0</v>
      </c>
      <c r="CI141" s="2">
        <f>MAX(C141:CG141)</f>
        <v>0</v>
      </c>
      <c r="CJ141" s="2">
        <f>3.14/3</f>
        <v>1.0466666666666666</v>
      </c>
      <c r="CK141" s="2">
        <f>CJ141*2</f>
        <v>2.0933333333333333</v>
      </c>
    </row>
    <row r="142" spans="2:90">
      <c r="C142" s="2">
        <f t="shared" ref="C142:AH142" si="350">ABS(C50-C56)</f>
        <v>2.1509610834333319</v>
      </c>
      <c r="D142" s="2">
        <f t="shared" si="350"/>
        <v>2.1496725766685301</v>
      </c>
      <c r="E142" s="2">
        <f t="shared" si="350"/>
        <v>2.147666093303342</v>
      </c>
      <c r="F142" s="2">
        <f t="shared" si="350"/>
        <v>2.1447170908481521</v>
      </c>
      <c r="G142" s="2">
        <f t="shared" si="350"/>
        <v>2.1408025520596543</v>
      </c>
      <c r="H142" s="2">
        <f t="shared" si="350"/>
        <v>2.135891502628815</v>
      </c>
      <c r="I142" s="2">
        <f t="shared" si="350"/>
        <v>2.129944400374832</v>
      </c>
      <c r="J142" s="2">
        <f t="shared" si="350"/>
        <v>2.1229123368625666</v>
      </c>
      <c r="K142" s="2">
        <f t="shared" si="350"/>
        <v>2.114736021522106</v>
      </c>
      <c r="L142" s="2">
        <f t="shared" si="350"/>
        <v>2.1053445088954388</v>
      </c>
      <c r="M142" s="2">
        <f t="shared" si="350"/>
        <v>2.0946536177504593</v>
      </c>
      <c r="N142" s="2">
        <f t="shared" si="350"/>
        <v>2.0825639756213268</v>
      </c>
      <c r="O142" s="2">
        <f t="shared" si="350"/>
        <v>2.0689586026873594</v>
      </c>
      <c r="P142" s="2">
        <f t="shared" si="350"/>
        <v>2.0536999231922373</v>
      </c>
      <c r="Q142" s="2">
        <f t="shared" si="350"/>
        <v>2.0366260586262062</v>
      </c>
      <c r="R142" s="2">
        <f t="shared" si="350"/>
        <v>2.0175462115780327</v>
      </c>
      <c r="S142" s="2">
        <f t="shared" si="350"/>
        <v>1.9962348882109684</v>
      </c>
      <c r="T142" s="2">
        <f t="shared" si="350"/>
        <v>1.9724246246661681</v>
      </c>
      <c r="U142" s="2">
        <f t="shared" si="350"/>
        <v>1.9457967697630001</v>
      </c>
      <c r="V142" s="2">
        <f t="shared" si="350"/>
        <v>1.9159697209617665</v>
      </c>
      <c r="W142" s="2">
        <f t="shared" si="350"/>
        <v>1.8824837953991498</v>
      </c>
      <c r="X142" s="2">
        <f t="shared" si="350"/>
        <v>1.8447816185599202</v>
      </c>
      <c r="Y142" s="2">
        <f t="shared" si="350"/>
        <v>1.8021824961004056</v>
      </c>
      <c r="Z142" s="2">
        <f t="shared" si="350"/>
        <v>1.7538486544673686</v>
      </c>
      <c r="AA142" s="2">
        <f t="shared" si="350"/>
        <v>1.6987404377304056</v>
      </c>
      <c r="AB142" s="2">
        <f t="shared" si="350"/>
        <v>1.6355564758705938</v>
      </c>
      <c r="AC142" s="2">
        <f t="shared" si="350"/>
        <v>1.5626534768453562</v>
      </c>
      <c r="AD142" s="2">
        <f t="shared" si="350"/>
        <v>1.4779387803628126</v>
      </c>
      <c r="AE142" s="2">
        <f t="shared" si="350"/>
        <v>1.3787277681283001</v>
      </c>
      <c r="AF142" s="2">
        <f t="shared" si="350"/>
        <v>1.2615596409068144</v>
      </c>
      <c r="AG142" s="2">
        <f t="shared" si="350"/>
        <v>1.1219746228020622</v>
      </c>
      <c r="AH142" s="2">
        <f t="shared" si="350"/>
        <v>0.95428867384205196</v>
      </c>
      <c r="AI142" s="2">
        <f t="shared" ref="AI142:BN142" si="351">ABS(AI50-AI56)</f>
        <v>0.75149784783401752</v>
      </c>
      <c r="AJ142" s="2">
        <f t="shared" si="351"/>
        <v>0.50569825555631365</v>
      </c>
      <c r="AK142" s="2">
        <f t="shared" si="351"/>
        <v>0.21000819570850071</v>
      </c>
      <c r="AL142" s="2">
        <f t="shared" si="351"/>
        <v>0.13589560608082873</v>
      </c>
      <c r="AM142" s="2">
        <f t="shared" si="351"/>
        <v>0.51372863389734968</v>
      </c>
      <c r="AN142" s="2">
        <f t="shared" si="351"/>
        <v>0.87006864815357998</v>
      </c>
      <c r="AO142" s="2">
        <f t="shared" si="351"/>
        <v>1.1171855278296383</v>
      </c>
      <c r="AP142" s="2">
        <f t="shared" si="351"/>
        <v>1.1600641143630379</v>
      </c>
      <c r="AQ142" s="2">
        <f t="shared" si="351"/>
        <v>1.1647298314653791</v>
      </c>
      <c r="AR142" s="2">
        <f t="shared" si="351"/>
        <v>1.0145240237843747</v>
      </c>
      <c r="AS142" s="2">
        <f t="shared" si="351"/>
        <v>0.78695362493821586</v>
      </c>
      <c r="AT142" s="2">
        <f t="shared" si="351"/>
        <v>0.54468583694988615</v>
      </c>
      <c r="AU142" s="2">
        <f t="shared" si="351"/>
        <v>0.31955557173682703</v>
      </c>
      <c r="AV142" s="2">
        <f t="shared" si="351"/>
        <v>0.12223675256349242</v>
      </c>
      <c r="AW142" s="2">
        <f t="shared" si="351"/>
        <v>4.664736123426394E-2</v>
      </c>
      <c r="AX142" s="2">
        <f t="shared" si="351"/>
        <v>0.19016137937372757</v>
      </c>
      <c r="AY142" s="2">
        <f t="shared" si="351"/>
        <v>0.31221962507877588</v>
      </c>
      <c r="AZ142" s="2">
        <f t="shared" si="351"/>
        <v>0.41651351507333811</v>
      </c>
      <c r="BA142" s="2">
        <f t="shared" si="351"/>
        <v>0.50619390987165613</v>
      </c>
      <c r="BB142" s="2">
        <f t="shared" si="351"/>
        <v>0.58384349599714658</v>
      </c>
      <c r="BC142" s="2">
        <f t="shared" si="351"/>
        <v>0.6515451739995366</v>
      </c>
      <c r="BD142" s="2">
        <f t="shared" si="351"/>
        <v>0.71097092760240965</v>
      </c>
      <c r="BE142" s="2">
        <f t="shared" si="351"/>
        <v>0.76346450176110059</v>
      </c>
      <c r="BF142" s="2">
        <f t="shared" si="351"/>
        <v>0.81011046622004512</v>
      </c>
      <c r="BG142" s="2">
        <f t="shared" si="351"/>
        <v>0.85178934143918816</v>
      </c>
      <c r="BH142" s="2">
        <f t="shared" si="351"/>
        <v>0.88922072143442143</v>
      </c>
      <c r="BI142" s="2">
        <f t="shared" si="351"/>
        <v>0.92299674145783173</v>
      </c>
      <c r="BJ142" s="2">
        <f t="shared" si="351"/>
        <v>0.95360801594262412</v>
      </c>
      <c r="BK142" s="2">
        <f t="shared" si="351"/>
        <v>0.98146378556079283</v>
      </c>
      <c r="BL142" s="2">
        <f t="shared" si="351"/>
        <v>1.0069076334237144</v>
      </c>
      <c r="BM142" s="2">
        <f t="shared" si="351"/>
        <v>1.030229811733208</v>
      </c>
      <c r="BN142" s="2">
        <f t="shared" si="351"/>
        <v>1.0516769686113447</v>
      </c>
      <c r="BO142" s="2">
        <f t="shared" ref="BO142:CG142" si="352">ABS(BO50-BO56)</f>
        <v>1.0714598722234527</v>
      </c>
      <c r="BP142" s="2">
        <f t="shared" si="352"/>
        <v>1.0897595840000751</v>
      </c>
      <c r="BQ142" s="2">
        <f t="shared" si="352"/>
        <v>1.1067324238340248</v>
      </c>
      <c r="BR142" s="2">
        <f t="shared" si="352"/>
        <v>1.1225139885914173</v>
      </c>
      <c r="BS142" s="2">
        <f t="shared" si="352"/>
        <v>1.1372224241547508</v>
      </c>
      <c r="BT142" s="2">
        <f t="shared" si="352"/>
        <v>1.1509611052515143</v>
      </c>
      <c r="BU142" s="2">
        <f t="shared" si="352"/>
        <v>1.1835581323721178</v>
      </c>
      <c r="BV142" s="2">
        <f t="shared" si="352"/>
        <v>1.2112432006416487</v>
      </c>
      <c r="BW142" s="2">
        <f t="shared" si="352"/>
        <v>1.2350364867884402</v>
      </c>
      <c r="BX142" s="2">
        <f t="shared" si="352"/>
        <v>1.2556996645921901</v>
      </c>
      <c r="BY142" s="2">
        <f t="shared" si="352"/>
        <v>1.2738121848886377</v>
      </c>
      <c r="BZ142" s="2">
        <f t="shared" si="352"/>
        <v>1.2898222098129588</v>
      </c>
      <c r="CA142" s="2">
        <f t="shared" si="352"/>
        <v>1.3040814621979215</v>
      </c>
      <c r="CB142" s="2">
        <f t="shared" si="352"/>
        <v>1.3168695933441978</v>
      </c>
      <c r="CC142" s="2">
        <f t="shared" si="352"/>
        <v>1.3284115563590648</v>
      </c>
      <c r="CD142" s="2">
        <f t="shared" si="352"/>
        <v>1.3388902112942151</v>
      </c>
      <c r="CE142" s="2">
        <f t="shared" si="352"/>
        <v>1.3484556164020181</v>
      </c>
      <c r="CF142" s="2">
        <f t="shared" si="352"/>
        <v>1.3572319756068261</v>
      </c>
      <c r="CG142" s="2">
        <f t="shared" si="352"/>
        <v>1.3653229016977939</v>
      </c>
    </row>
    <row r="143" spans="2:90">
      <c r="C143" s="2">
        <f t="shared" ref="C143:AH143" si="353">IF(C142&lt;0.03,C25,0)</f>
        <v>0</v>
      </c>
      <c r="D143" s="2">
        <f t="shared" si="353"/>
        <v>0</v>
      </c>
      <c r="E143" s="2">
        <f t="shared" si="353"/>
        <v>0</v>
      </c>
      <c r="F143" s="2">
        <f t="shared" si="353"/>
        <v>0</v>
      </c>
      <c r="G143" s="2">
        <f t="shared" si="353"/>
        <v>0</v>
      </c>
      <c r="H143" s="2">
        <f t="shared" si="353"/>
        <v>0</v>
      </c>
      <c r="I143" s="2">
        <f t="shared" si="353"/>
        <v>0</v>
      </c>
      <c r="J143" s="2">
        <f t="shared" si="353"/>
        <v>0</v>
      </c>
      <c r="K143" s="2">
        <f t="shared" si="353"/>
        <v>0</v>
      </c>
      <c r="L143" s="2">
        <f t="shared" si="353"/>
        <v>0</v>
      </c>
      <c r="M143" s="2">
        <f t="shared" si="353"/>
        <v>0</v>
      </c>
      <c r="N143" s="2">
        <f t="shared" si="353"/>
        <v>0</v>
      </c>
      <c r="O143" s="2">
        <f t="shared" si="353"/>
        <v>0</v>
      </c>
      <c r="P143" s="2">
        <f t="shared" si="353"/>
        <v>0</v>
      </c>
      <c r="Q143" s="2">
        <f t="shared" si="353"/>
        <v>0</v>
      </c>
      <c r="R143" s="2">
        <f t="shared" si="353"/>
        <v>0</v>
      </c>
      <c r="S143" s="2">
        <f t="shared" si="353"/>
        <v>0</v>
      </c>
      <c r="T143" s="2">
        <f t="shared" si="353"/>
        <v>0</v>
      </c>
      <c r="U143" s="2">
        <f t="shared" si="353"/>
        <v>0</v>
      </c>
      <c r="V143" s="2">
        <f t="shared" si="353"/>
        <v>0</v>
      </c>
      <c r="W143" s="2">
        <f t="shared" si="353"/>
        <v>0</v>
      </c>
      <c r="X143" s="2">
        <f t="shared" si="353"/>
        <v>0</v>
      </c>
      <c r="Y143" s="2">
        <f t="shared" si="353"/>
        <v>0</v>
      </c>
      <c r="Z143" s="2">
        <f t="shared" si="353"/>
        <v>0</v>
      </c>
      <c r="AA143" s="2">
        <f t="shared" si="353"/>
        <v>0</v>
      </c>
      <c r="AB143" s="2">
        <f t="shared" si="353"/>
        <v>0</v>
      </c>
      <c r="AC143" s="2">
        <f t="shared" si="353"/>
        <v>0</v>
      </c>
      <c r="AD143" s="2">
        <f t="shared" si="353"/>
        <v>0</v>
      </c>
      <c r="AE143" s="2">
        <f t="shared" si="353"/>
        <v>0</v>
      </c>
      <c r="AF143" s="2">
        <f t="shared" si="353"/>
        <v>0</v>
      </c>
      <c r="AG143" s="2">
        <f t="shared" si="353"/>
        <v>0</v>
      </c>
      <c r="AH143" s="2">
        <f t="shared" si="353"/>
        <v>0</v>
      </c>
      <c r="AI143" s="2">
        <f t="shared" ref="AI143:BN143" si="354">IF(AI142&lt;0.03,AI25,0)</f>
        <v>0</v>
      </c>
      <c r="AJ143" s="2">
        <f t="shared" si="354"/>
        <v>0</v>
      </c>
      <c r="AK143" s="2">
        <f t="shared" si="354"/>
        <v>0</v>
      </c>
      <c r="AL143" s="2">
        <f t="shared" si="354"/>
        <v>0</v>
      </c>
      <c r="AM143" s="2">
        <f t="shared" si="354"/>
        <v>0</v>
      </c>
      <c r="AN143" s="2">
        <f t="shared" si="354"/>
        <v>0</v>
      </c>
      <c r="AO143" s="2">
        <f t="shared" si="354"/>
        <v>0</v>
      </c>
      <c r="AP143" s="2">
        <f t="shared" si="354"/>
        <v>0</v>
      </c>
      <c r="AQ143" s="2">
        <f t="shared" si="354"/>
        <v>0</v>
      </c>
      <c r="AR143" s="2">
        <f t="shared" si="354"/>
        <v>0</v>
      </c>
      <c r="AS143" s="2">
        <f t="shared" si="354"/>
        <v>0</v>
      </c>
      <c r="AT143" s="2">
        <f t="shared" si="354"/>
        <v>0</v>
      </c>
      <c r="AU143" s="2">
        <f t="shared" si="354"/>
        <v>0</v>
      </c>
      <c r="AV143" s="2">
        <f t="shared" si="354"/>
        <v>0</v>
      </c>
      <c r="AW143" s="2">
        <f t="shared" si="354"/>
        <v>0</v>
      </c>
      <c r="AX143" s="2">
        <f t="shared" si="354"/>
        <v>0</v>
      </c>
      <c r="AY143" s="2">
        <f t="shared" si="354"/>
        <v>0</v>
      </c>
      <c r="AZ143" s="2">
        <f t="shared" si="354"/>
        <v>0</v>
      </c>
      <c r="BA143" s="2">
        <f t="shared" si="354"/>
        <v>0</v>
      </c>
      <c r="BB143" s="2">
        <f t="shared" si="354"/>
        <v>0</v>
      </c>
      <c r="BC143" s="2">
        <f t="shared" si="354"/>
        <v>0</v>
      </c>
      <c r="BD143" s="2">
        <f t="shared" si="354"/>
        <v>0</v>
      </c>
      <c r="BE143" s="2">
        <f t="shared" si="354"/>
        <v>0</v>
      </c>
      <c r="BF143" s="2">
        <f t="shared" si="354"/>
        <v>0</v>
      </c>
      <c r="BG143" s="2">
        <f t="shared" si="354"/>
        <v>0</v>
      </c>
      <c r="BH143" s="2">
        <f t="shared" si="354"/>
        <v>0</v>
      </c>
      <c r="BI143" s="2">
        <f t="shared" si="354"/>
        <v>0</v>
      </c>
      <c r="BJ143" s="2">
        <f t="shared" si="354"/>
        <v>0</v>
      </c>
      <c r="BK143" s="2">
        <f t="shared" si="354"/>
        <v>0</v>
      </c>
      <c r="BL143" s="2">
        <f t="shared" si="354"/>
        <v>0</v>
      </c>
      <c r="BM143" s="2">
        <f t="shared" si="354"/>
        <v>0</v>
      </c>
      <c r="BN143" s="2">
        <f t="shared" si="354"/>
        <v>0</v>
      </c>
      <c r="BO143" s="2">
        <f t="shared" ref="BO143:CG143" si="355">IF(BO142&lt;0.03,BO25,0)</f>
        <v>0</v>
      </c>
      <c r="BP143" s="2">
        <f t="shared" si="355"/>
        <v>0</v>
      </c>
      <c r="BQ143" s="2">
        <f t="shared" si="355"/>
        <v>0</v>
      </c>
      <c r="BR143" s="2">
        <f t="shared" si="355"/>
        <v>0</v>
      </c>
      <c r="BS143" s="2">
        <f t="shared" si="355"/>
        <v>0</v>
      </c>
      <c r="BT143" s="2">
        <f t="shared" si="355"/>
        <v>0</v>
      </c>
      <c r="BU143" s="2">
        <f t="shared" si="355"/>
        <v>0</v>
      </c>
      <c r="BV143" s="2">
        <f t="shared" si="355"/>
        <v>0</v>
      </c>
      <c r="BW143" s="2">
        <f t="shared" si="355"/>
        <v>0</v>
      </c>
      <c r="BX143" s="2">
        <f t="shared" si="355"/>
        <v>0</v>
      </c>
      <c r="BY143" s="2">
        <f t="shared" si="355"/>
        <v>0</v>
      </c>
      <c r="BZ143" s="2">
        <f t="shared" si="355"/>
        <v>0</v>
      </c>
      <c r="CA143" s="2">
        <f t="shared" si="355"/>
        <v>0</v>
      </c>
      <c r="CB143" s="2">
        <f t="shared" si="355"/>
        <v>0</v>
      </c>
      <c r="CC143" s="2">
        <f t="shared" si="355"/>
        <v>0</v>
      </c>
      <c r="CD143" s="2">
        <f t="shared" si="355"/>
        <v>0</v>
      </c>
      <c r="CE143" s="2">
        <f t="shared" si="355"/>
        <v>0</v>
      </c>
      <c r="CF143" s="2">
        <f t="shared" si="355"/>
        <v>0</v>
      </c>
      <c r="CG143" s="2">
        <f t="shared" si="355"/>
        <v>0</v>
      </c>
      <c r="CI143" s="2">
        <f>MAX(C143:CG143)</f>
        <v>0</v>
      </c>
      <c r="CJ143" s="2">
        <f>3.14/4</f>
        <v>0.78500000000000003</v>
      </c>
      <c r="CK143" s="2">
        <f>CJ143*3</f>
        <v>2.355</v>
      </c>
    </row>
    <row r="147" spans="54:88" ht="15.75" thickBot="1"/>
    <row r="148" spans="54:88" ht="15.75" thickBot="1">
      <c r="BB148" s="41" t="s">
        <v>592</v>
      </c>
      <c r="BC148" s="42" t="s">
        <v>773</v>
      </c>
      <c r="BD148" s="43" t="s">
        <v>4</v>
      </c>
      <c r="BE148" s="42" t="s">
        <v>782</v>
      </c>
      <c r="BF148" s="42" t="s">
        <v>783</v>
      </c>
    </row>
    <row r="149" spans="54:88">
      <c r="BB149" s="141">
        <f t="shared" ref="BB149:BB152" si="356">IF(MAX(C60:CG60)&gt;0,MAX(C60:CG60),NA())</f>
        <v>0.71493085898022246</v>
      </c>
      <c r="BC149" s="45">
        <f>BB149*'Res. Tank Design'!$D$55</f>
        <v>108.48953112300353</v>
      </c>
      <c r="BD149" s="12" t="s">
        <v>58</v>
      </c>
      <c r="BE149" s="39" t="str">
        <f t="shared" ref="BE149:BF154" si="357">B33</f>
        <v>π/2</v>
      </c>
      <c r="BF149" s="39">
        <f t="shared" si="357"/>
        <v>1.5707963267948966</v>
      </c>
    </row>
    <row r="150" spans="54:88">
      <c r="BB150" s="141">
        <f t="shared" si="356"/>
        <v>0.70770292043765515</v>
      </c>
      <c r="BC150" s="45">
        <f>BB150*'Res. Tank Design'!$D$55</f>
        <v>107.39270385136004</v>
      </c>
      <c r="BD150" s="12" t="s">
        <v>58</v>
      </c>
      <c r="BE150" s="39" t="str">
        <f t="shared" si="357"/>
        <v>5π/12</v>
      </c>
      <c r="BF150" s="39">
        <f t="shared" si="357"/>
        <v>1.3089969389957472</v>
      </c>
      <c r="CI150" s="2">
        <f>CJ143</f>
        <v>0.78500000000000003</v>
      </c>
      <c r="CJ150" s="2">
        <f>CI143</f>
        <v>0</v>
      </c>
    </row>
    <row r="151" spans="54:88">
      <c r="BB151" s="141">
        <f t="shared" si="356"/>
        <v>0.68892794834218829</v>
      </c>
      <c r="BC151" s="45">
        <f>BB151*'Res. Tank Design'!$D$55</f>
        <v>104.54363405125365</v>
      </c>
      <c r="BD151" s="12" t="s">
        <v>58</v>
      </c>
      <c r="BE151" s="39" t="str">
        <f t="shared" si="357"/>
        <v>π/3</v>
      </c>
      <c r="BF151" s="39">
        <f t="shared" si="357"/>
        <v>1.0471975511965976</v>
      </c>
      <c r="CF151" s="2" t="s">
        <v>784</v>
      </c>
      <c r="CI151" s="2">
        <f>CJ141</f>
        <v>1.0466666666666666</v>
      </c>
      <c r="CJ151" s="2">
        <f>CI141</f>
        <v>0</v>
      </c>
    </row>
    <row r="152" spans="54:88">
      <c r="BB152" s="141">
        <f t="shared" si="356"/>
        <v>0.66266363347226287</v>
      </c>
      <c r="BC152" s="45">
        <f>BB152*'Res. Tank Design'!$D$55</f>
        <v>100.55806933584952</v>
      </c>
      <c r="BD152" s="12" t="s">
        <v>58</v>
      </c>
      <c r="BE152" s="39" t="str">
        <f t="shared" si="357"/>
        <v>π/4</v>
      </c>
      <c r="BF152" s="39">
        <f t="shared" si="357"/>
        <v>0.78539816339744828</v>
      </c>
      <c r="CI152" s="2">
        <f>CJ139</f>
        <v>1.57</v>
      </c>
      <c r="CJ152" s="2">
        <f>CI139</f>
        <v>0.71014492753623282</v>
      </c>
    </row>
    <row r="153" spans="54:88">
      <c r="BB153" s="141">
        <f>IF(MAX(C64:CG64)&gt;0,MAX(C64:CG64),NA())</f>
        <v>0.63132154854287459</v>
      </c>
      <c r="BC153" s="45">
        <f>BB153*'Res. Tank Design'!$D$55</f>
        <v>95.801961726706921</v>
      </c>
      <c r="BD153" s="12" t="s">
        <v>58</v>
      </c>
      <c r="BE153" s="39" t="str">
        <f t="shared" si="357"/>
        <v>π/6</v>
      </c>
      <c r="BF153" s="39">
        <f t="shared" si="357"/>
        <v>0.52359877559829882</v>
      </c>
      <c r="CI153" s="2">
        <f>CK141</f>
        <v>2.0933333333333333</v>
      </c>
      <c r="CJ153" s="2">
        <f>CI141</f>
        <v>0</v>
      </c>
    </row>
    <row r="154" spans="54:88" ht="15.75" thickBot="1">
      <c r="BB154" s="57">
        <f>MAX(C65:CG65)</f>
        <v>0.59607195676816949</v>
      </c>
      <c r="BC154" s="47">
        <f>BB154*'Res. Tank Design'!$D$55</f>
        <v>90.452896658554877</v>
      </c>
      <c r="BD154" s="15" t="s">
        <v>58</v>
      </c>
      <c r="BE154" s="40" t="str">
        <f t="shared" si="357"/>
        <v>π/12</v>
      </c>
      <c r="BF154" s="40">
        <f t="shared" si="357"/>
        <v>0.26179938779914941</v>
      </c>
      <c r="CI154" s="2">
        <f>CK143</f>
        <v>2.355</v>
      </c>
      <c r="CJ154" s="2">
        <f>CI143</f>
        <v>0</v>
      </c>
    </row>
    <row r="155" spans="54:88" ht="15.75" thickBot="1"/>
    <row r="156" spans="54:88" ht="15.75" thickBot="1">
      <c r="BB156" s="42" t="s">
        <v>467</v>
      </c>
    </row>
    <row r="157" spans="54:88" ht="15.75" thickBot="1">
      <c r="BB157" s="8" t="s">
        <v>782</v>
      </c>
      <c r="BC157" s="38" t="s">
        <v>783</v>
      </c>
      <c r="BD157" s="38" t="s">
        <v>785</v>
      </c>
      <c r="BE157" s="38" t="s">
        <v>696</v>
      </c>
      <c r="BF157" s="38" t="s">
        <v>786</v>
      </c>
    </row>
    <row r="158" spans="54:88">
      <c r="BB158" s="48" t="s">
        <v>787</v>
      </c>
      <c r="BC158" s="49">
        <f>BF149+PI()/2</f>
        <v>3.1415926535897931</v>
      </c>
      <c r="BD158" s="50">
        <f>'Res. Tank Design'!D$56</f>
        <v>85.071895494482334</v>
      </c>
      <c r="BE158" s="38">
        <f>'Design Spec'!$D$104</f>
        <v>225</v>
      </c>
      <c r="BF158" s="50">
        <f>'Res. Tank Design'!D$55</f>
        <v>151.7482841316334</v>
      </c>
    </row>
    <row r="159" spans="54:88">
      <c r="BB159" s="51" t="s">
        <v>788</v>
      </c>
      <c r="BC159" s="52">
        <f t="shared" ref="BC159:BC163" si="358">BF150+PI()/2</f>
        <v>2.879793265790644</v>
      </c>
      <c r="BD159" s="39">
        <f>BD169</f>
        <v>90.452896658554877</v>
      </c>
      <c r="BE159" s="39">
        <f>'Design Spec'!$D$104</f>
        <v>225</v>
      </c>
      <c r="BF159" s="53">
        <f>'Res. Tank Design'!D$55</f>
        <v>151.7482841316334</v>
      </c>
    </row>
    <row r="160" spans="54:88">
      <c r="BB160" s="51" t="s">
        <v>789</v>
      </c>
      <c r="BC160" s="52">
        <f t="shared" si="358"/>
        <v>2.617993877991494</v>
      </c>
      <c r="BD160" s="39">
        <f>BD168</f>
        <v>95.801961726706921</v>
      </c>
      <c r="BE160" s="39">
        <f>'Design Spec'!$D$104</f>
        <v>225</v>
      </c>
      <c r="BF160" s="53">
        <f>'Res. Tank Design'!D$55</f>
        <v>151.7482841316334</v>
      </c>
    </row>
    <row r="161" spans="54:58">
      <c r="BB161" s="51" t="s">
        <v>790</v>
      </c>
      <c r="BC161" s="52">
        <f t="shared" si="358"/>
        <v>2.3561944901923448</v>
      </c>
      <c r="BD161" s="39">
        <f>BD167</f>
        <v>100.55806933584952</v>
      </c>
      <c r="BE161" s="39">
        <f>'Design Spec'!$D$104</f>
        <v>225</v>
      </c>
      <c r="BF161" s="53">
        <f>'Res. Tank Design'!D$55</f>
        <v>151.7482841316334</v>
      </c>
    </row>
    <row r="162" spans="54:58">
      <c r="BB162" s="51" t="s">
        <v>791</v>
      </c>
      <c r="BC162" s="52">
        <f t="shared" si="358"/>
        <v>2.0943951023931953</v>
      </c>
      <c r="BD162" s="39">
        <f>BD166</f>
        <v>104.54363405125365</v>
      </c>
      <c r="BE162" s="39">
        <f>'Design Spec'!$D$104</f>
        <v>225</v>
      </c>
      <c r="BF162" s="53">
        <f>'Res. Tank Design'!D$55</f>
        <v>151.7482841316334</v>
      </c>
    </row>
    <row r="163" spans="54:58">
      <c r="BB163" s="51" t="s">
        <v>792</v>
      </c>
      <c r="BC163" s="52">
        <f t="shared" si="358"/>
        <v>1.8325957145940459</v>
      </c>
      <c r="BD163" s="39">
        <f>BD165</f>
        <v>107.39270385136004</v>
      </c>
      <c r="BE163" s="39">
        <f>'Design Spec'!$D$104</f>
        <v>225</v>
      </c>
      <c r="BF163" s="53">
        <f>'Res. Tank Design'!D$55</f>
        <v>151.7482841316334</v>
      </c>
    </row>
    <row r="164" spans="54:58">
      <c r="BB164" s="51" t="s">
        <v>793</v>
      </c>
      <c r="BC164" s="52">
        <f>BF149</f>
        <v>1.5707963267948966</v>
      </c>
      <c r="BD164" s="39">
        <f>BC149</f>
        <v>108.48953112300353</v>
      </c>
      <c r="BE164" s="39">
        <f>'Design Spec'!$D$104</f>
        <v>225</v>
      </c>
      <c r="BF164" s="53">
        <f>'Res. Tank Design'!D$55</f>
        <v>151.7482841316334</v>
      </c>
    </row>
    <row r="165" spans="54:58">
      <c r="BB165" s="51" t="s">
        <v>794</v>
      </c>
      <c r="BC165" s="52">
        <f t="shared" ref="BC165:BC169" si="359">BF150</f>
        <v>1.3089969389957472</v>
      </c>
      <c r="BD165" s="39">
        <f t="shared" ref="BD165:BD169" si="360">BC150</f>
        <v>107.39270385136004</v>
      </c>
      <c r="BE165" s="39">
        <f>'Design Spec'!$D$104</f>
        <v>225</v>
      </c>
      <c r="BF165" s="53">
        <f>'Res. Tank Design'!D$55</f>
        <v>151.7482841316334</v>
      </c>
    </row>
    <row r="166" spans="54:58">
      <c r="BB166" s="51" t="s">
        <v>795</v>
      </c>
      <c r="BC166" s="52">
        <f t="shared" si="359"/>
        <v>1.0471975511965976</v>
      </c>
      <c r="BD166" s="39">
        <f t="shared" si="360"/>
        <v>104.54363405125365</v>
      </c>
      <c r="BE166" s="39">
        <f>'Design Spec'!$D$104</f>
        <v>225</v>
      </c>
      <c r="BF166" s="53">
        <f>'Res. Tank Design'!D$55</f>
        <v>151.7482841316334</v>
      </c>
    </row>
    <row r="167" spans="54:58">
      <c r="BB167" s="51" t="s">
        <v>796</v>
      </c>
      <c r="BC167" s="52">
        <f t="shared" si="359"/>
        <v>0.78539816339744828</v>
      </c>
      <c r="BD167" s="39">
        <f t="shared" si="360"/>
        <v>100.55806933584952</v>
      </c>
      <c r="BE167" s="39">
        <f>'Design Spec'!$D$104</f>
        <v>225</v>
      </c>
      <c r="BF167" s="53">
        <f>'Res. Tank Design'!D$55</f>
        <v>151.7482841316334</v>
      </c>
    </row>
    <row r="168" spans="54:58">
      <c r="BB168" s="51" t="s">
        <v>797</v>
      </c>
      <c r="BC168" s="52">
        <f t="shared" si="359"/>
        <v>0.52359877559829882</v>
      </c>
      <c r="BD168" s="39">
        <f t="shared" si="360"/>
        <v>95.801961726706921</v>
      </c>
      <c r="BE168" s="39">
        <f>'Design Spec'!$D$104</f>
        <v>225</v>
      </c>
      <c r="BF168" s="53">
        <f>'Res. Tank Design'!D$55</f>
        <v>151.7482841316334</v>
      </c>
    </row>
    <row r="169" spans="54:58">
      <c r="BB169" s="51" t="s">
        <v>798</v>
      </c>
      <c r="BC169" s="52">
        <f t="shared" si="359"/>
        <v>0.26179938779914941</v>
      </c>
      <c r="BD169" s="39">
        <f t="shared" si="360"/>
        <v>90.452896658554877</v>
      </c>
      <c r="BE169" s="39">
        <f>'Design Spec'!$D$104</f>
        <v>225</v>
      </c>
      <c r="BF169" s="53">
        <f>'Res. Tank Design'!D$55</f>
        <v>151.7482841316334</v>
      </c>
    </row>
    <row r="170" spans="54:58" ht="15.75" thickBot="1">
      <c r="BB170" s="54">
        <v>0</v>
      </c>
      <c r="BC170" s="55">
        <v>0</v>
      </c>
      <c r="BD170" s="56">
        <f>'Res. Tank Design'!D$56</f>
        <v>85.071895494482334</v>
      </c>
      <c r="BE170" s="40">
        <f>'Design Spec'!$D$104</f>
        <v>225</v>
      </c>
      <c r="BF170" s="56">
        <f>'Res. Tank Design'!D$55</f>
        <v>151.7482841316334</v>
      </c>
    </row>
    <row r="171" spans="54:58" ht="15.75" thickBot="1"/>
    <row r="172" spans="54:58" ht="15.75" thickBot="1">
      <c r="BB172" s="41" t="s">
        <v>592</v>
      </c>
      <c r="BC172" s="42" t="s">
        <v>773</v>
      </c>
      <c r="BD172" s="43" t="s">
        <v>4</v>
      </c>
      <c r="BE172" s="42" t="s">
        <v>782</v>
      </c>
      <c r="BF172" s="42" t="s">
        <v>783</v>
      </c>
    </row>
    <row r="173" spans="54:58">
      <c r="BB173" s="44">
        <f t="shared" ref="BB173:BB176" si="361">IF(MAX(C88:CG88)&gt;0,MAX(C88:CG88),NA())</f>
        <v>0.86154779105028179</v>
      </c>
      <c r="BC173" s="140">
        <f>BB173*'Res. Tank Design'!$D$55</f>
        <v>130.73839898927929</v>
      </c>
      <c r="BD173" s="12" t="s">
        <v>58</v>
      </c>
      <c r="BE173" s="39" t="str">
        <f>B33</f>
        <v>π/2</v>
      </c>
      <c r="BF173" s="39">
        <f>C33</f>
        <v>1.5707963267948966</v>
      </c>
    </row>
    <row r="174" spans="54:58">
      <c r="BB174" s="44">
        <f t="shared" si="361"/>
        <v>0.83978071736017335</v>
      </c>
      <c r="BC174" s="45">
        <f>BB174*'Res. Tank Design'!$D$55</f>
        <v>127.4352829062385</v>
      </c>
      <c r="BD174" s="12" t="s">
        <v>58</v>
      </c>
      <c r="BE174" s="39" t="str">
        <f t="shared" ref="BE174:BE178" si="362">B34</f>
        <v>5π/12</v>
      </c>
      <c r="BF174" s="39">
        <f t="shared" ref="BF174:BF178" si="363">C34</f>
        <v>1.3089969389957472</v>
      </c>
    </row>
    <row r="175" spans="54:58">
      <c r="BB175" s="44">
        <f t="shared" si="361"/>
        <v>0.78626124054161961</v>
      </c>
      <c r="BC175" s="45">
        <f>BB175*'Res. Tank Design'!$D$55</f>
        <v>119.31379413140024</v>
      </c>
      <c r="BD175" s="12" t="s">
        <v>58</v>
      </c>
      <c r="BE175" s="39" t="str">
        <f t="shared" si="362"/>
        <v>π/3</v>
      </c>
      <c r="BF175" s="39">
        <f t="shared" si="363"/>
        <v>1.0471975511965976</v>
      </c>
    </row>
    <row r="176" spans="54:58">
      <c r="BB176" s="44">
        <f t="shared" si="361"/>
        <v>0.72279727112811287</v>
      </c>
      <c r="BC176" s="45">
        <f>BB176*'Res. Tank Design'!$D$55</f>
        <v>109.68324566871813</v>
      </c>
      <c r="BD176" s="12" t="s">
        <v>58</v>
      </c>
      <c r="BE176" s="39" t="str">
        <f t="shared" si="362"/>
        <v>π/4</v>
      </c>
      <c r="BF176" s="39">
        <f t="shared" si="363"/>
        <v>0.78539816339744828</v>
      </c>
    </row>
    <row r="177" spans="54:58">
      <c r="BB177" s="44">
        <f>IF(MAX(C92:CG92)&gt;0,MAX(C92:CG92),NA())</f>
        <v>0.66273024747635012</v>
      </c>
      <c r="BC177" s="45">
        <f>BB177*'Res. Tank Design'!$D$55</f>
        <v>100.5681778966689</v>
      </c>
      <c r="BD177" s="12" t="s">
        <v>58</v>
      </c>
      <c r="BE177" s="39" t="str">
        <f t="shared" si="362"/>
        <v>π/6</v>
      </c>
      <c r="BF177" s="39">
        <f t="shared" si="363"/>
        <v>0.52359877559829882</v>
      </c>
    </row>
    <row r="178" spans="54:58" ht="15.75" thickBot="1">
      <c r="BB178" s="46">
        <f t="shared" ref="BB178" ca="1" si="364">MAX(C93:CH93)</f>
        <v>0.60815613681824143</v>
      </c>
      <c r="BC178" s="47">
        <f ca="1">BB178*'Res. Tank Design'!$D$55</f>
        <v>92.286650246291018</v>
      </c>
      <c r="BD178" s="15" t="s">
        <v>58</v>
      </c>
      <c r="BE178" s="39" t="str">
        <f t="shared" si="362"/>
        <v>π/12</v>
      </c>
      <c r="BF178" s="39">
        <f t="shared" si="363"/>
        <v>0.26179938779914941</v>
      </c>
    </row>
    <row r="179" spans="54:58" ht="15.75" thickBot="1"/>
    <row r="180" spans="54:58" ht="15.75" thickBot="1">
      <c r="BB180" s="42" t="s">
        <v>799</v>
      </c>
    </row>
    <row r="181" spans="54:58" ht="15.75" thickBot="1">
      <c r="BB181" s="8" t="s">
        <v>782</v>
      </c>
      <c r="BC181" s="38" t="s">
        <v>783</v>
      </c>
      <c r="BD181" s="38" t="s">
        <v>785</v>
      </c>
      <c r="BE181" s="38" t="s">
        <v>696</v>
      </c>
      <c r="BF181" s="38" t="s">
        <v>786</v>
      </c>
    </row>
    <row r="182" spans="54:58">
      <c r="BB182" s="48" t="s">
        <v>787</v>
      </c>
      <c r="BC182" s="49">
        <f>BF173+PI()/2</f>
        <v>3.1415926535897931</v>
      </c>
      <c r="BD182" s="50">
        <f>'Res. Tank Design'!D$56</f>
        <v>85.071895494482334</v>
      </c>
      <c r="BE182" s="38">
        <f>'Design Spec'!$D$104</f>
        <v>225</v>
      </c>
      <c r="BF182" s="50">
        <f>'Res. Tank Design'!D$55</f>
        <v>151.7482841316334</v>
      </c>
    </row>
    <row r="183" spans="54:58">
      <c r="BB183" s="51" t="s">
        <v>788</v>
      </c>
      <c r="BC183" s="52">
        <f t="shared" ref="BC183:BC187" si="365">BF174+PI()/2</f>
        <v>2.879793265790644</v>
      </c>
      <c r="BD183" s="39">
        <f ca="1">BD193</f>
        <v>92.286650246291018</v>
      </c>
      <c r="BE183" s="39">
        <f>'Design Spec'!$D$104</f>
        <v>225</v>
      </c>
      <c r="BF183" s="53">
        <f>'Res. Tank Design'!D$55</f>
        <v>151.7482841316334</v>
      </c>
    </row>
    <row r="184" spans="54:58">
      <c r="BB184" s="51" t="s">
        <v>789</v>
      </c>
      <c r="BC184" s="52">
        <f t="shared" si="365"/>
        <v>2.617993877991494</v>
      </c>
      <c r="BD184" s="39">
        <f>BD192</f>
        <v>100.5681778966689</v>
      </c>
      <c r="BE184" s="39">
        <f>'Design Spec'!$D$104</f>
        <v>225</v>
      </c>
      <c r="BF184" s="53">
        <f>'Res. Tank Design'!D$55</f>
        <v>151.7482841316334</v>
      </c>
    </row>
    <row r="185" spans="54:58">
      <c r="BB185" s="51" t="s">
        <v>790</v>
      </c>
      <c r="BC185" s="52">
        <f t="shared" si="365"/>
        <v>2.3561944901923448</v>
      </c>
      <c r="BD185" s="39">
        <f>BD191</f>
        <v>109.68324566871813</v>
      </c>
      <c r="BE185" s="39">
        <f>'Design Spec'!$D$104</f>
        <v>225</v>
      </c>
      <c r="BF185" s="53">
        <f>'Res. Tank Design'!D$55</f>
        <v>151.7482841316334</v>
      </c>
    </row>
    <row r="186" spans="54:58">
      <c r="BB186" s="51" t="s">
        <v>791</v>
      </c>
      <c r="BC186" s="52">
        <f t="shared" si="365"/>
        <v>2.0943951023931953</v>
      </c>
      <c r="BD186" s="39">
        <f>BD190</f>
        <v>119.31379413140024</v>
      </c>
      <c r="BE186" s="39">
        <f>'Design Spec'!$D$104</f>
        <v>225</v>
      </c>
      <c r="BF186" s="53">
        <f>'Res. Tank Design'!D$55</f>
        <v>151.7482841316334</v>
      </c>
    </row>
    <row r="187" spans="54:58">
      <c r="BB187" s="51" t="s">
        <v>792</v>
      </c>
      <c r="BC187" s="52">
        <f t="shared" si="365"/>
        <v>1.8325957145940459</v>
      </c>
      <c r="BD187" s="39">
        <f>BD189</f>
        <v>127.4352829062385</v>
      </c>
      <c r="BE187" s="39">
        <f>'Design Spec'!$D$104</f>
        <v>225</v>
      </c>
      <c r="BF187" s="53">
        <f>'Res. Tank Design'!D$55</f>
        <v>151.7482841316334</v>
      </c>
    </row>
    <row r="188" spans="54:58">
      <c r="BB188" s="51" t="s">
        <v>793</v>
      </c>
      <c r="BC188" s="52">
        <f>BF173</f>
        <v>1.5707963267948966</v>
      </c>
      <c r="BD188" s="39">
        <f>BC173</f>
        <v>130.73839898927929</v>
      </c>
      <c r="BE188" s="39">
        <f>'Design Spec'!$D$104</f>
        <v>225</v>
      </c>
      <c r="BF188" s="53">
        <f>'Res. Tank Design'!D$55</f>
        <v>151.7482841316334</v>
      </c>
    </row>
    <row r="189" spans="54:58">
      <c r="BB189" s="51" t="s">
        <v>794</v>
      </c>
      <c r="BC189" s="52">
        <f t="shared" ref="BC189:BC193" si="366">BF174</f>
        <v>1.3089969389957472</v>
      </c>
      <c r="BD189" s="39">
        <f t="shared" ref="BD189:BD193" si="367">BC174</f>
        <v>127.4352829062385</v>
      </c>
      <c r="BE189" s="39">
        <f>'Design Spec'!$D$104</f>
        <v>225</v>
      </c>
      <c r="BF189" s="53">
        <f>'Res. Tank Design'!D$55</f>
        <v>151.7482841316334</v>
      </c>
    </row>
    <row r="190" spans="54:58">
      <c r="BB190" s="51" t="s">
        <v>795</v>
      </c>
      <c r="BC190" s="52">
        <f t="shared" si="366"/>
        <v>1.0471975511965976</v>
      </c>
      <c r="BD190" s="39">
        <f t="shared" si="367"/>
        <v>119.31379413140024</v>
      </c>
      <c r="BE190" s="39">
        <f>'Design Spec'!$D$104</f>
        <v>225</v>
      </c>
      <c r="BF190" s="53">
        <f>'Res. Tank Design'!D$55</f>
        <v>151.7482841316334</v>
      </c>
    </row>
    <row r="191" spans="54:58">
      <c r="BB191" s="51" t="s">
        <v>796</v>
      </c>
      <c r="BC191" s="52">
        <f t="shared" si="366"/>
        <v>0.78539816339744828</v>
      </c>
      <c r="BD191" s="39">
        <f t="shared" si="367"/>
        <v>109.68324566871813</v>
      </c>
      <c r="BE191" s="39">
        <f>'Design Spec'!$D$104</f>
        <v>225</v>
      </c>
      <c r="BF191" s="53">
        <f>'Res. Tank Design'!D$55</f>
        <v>151.7482841316334</v>
      </c>
    </row>
    <row r="192" spans="54:58">
      <c r="BB192" s="51" t="s">
        <v>797</v>
      </c>
      <c r="BC192" s="52">
        <f t="shared" si="366"/>
        <v>0.52359877559829882</v>
      </c>
      <c r="BD192" s="39">
        <f t="shared" si="367"/>
        <v>100.5681778966689</v>
      </c>
      <c r="BE192" s="39">
        <f>'Design Spec'!$D$104</f>
        <v>225</v>
      </c>
      <c r="BF192" s="53">
        <f>'Res. Tank Design'!D$55</f>
        <v>151.7482841316334</v>
      </c>
    </row>
    <row r="193" spans="54:59">
      <c r="BB193" s="51" t="s">
        <v>798</v>
      </c>
      <c r="BC193" s="52">
        <f t="shared" si="366"/>
        <v>0.26179938779914941</v>
      </c>
      <c r="BD193" s="39">
        <f t="shared" ca="1" si="367"/>
        <v>92.286650246291018</v>
      </c>
      <c r="BE193" s="39">
        <f>'Design Spec'!$D$104</f>
        <v>225</v>
      </c>
      <c r="BF193" s="53">
        <f>'Res. Tank Design'!D$55</f>
        <v>151.7482841316334</v>
      </c>
    </row>
    <row r="194" spans="54:59" ht="15.75" thickBot="1">
      <c r="BB194" s="54">
        <v>0</v>
      </c>
      <c r="BC194" s="55">
        <v>0</v>
      </c>
      <c r="BD194" s="56">
        <f>'Res. Tank Design'!D$56</f>
        <v>85.071895494482334</v>
      </c>
      <c r="BE194" s="40">
        <f>'Design Spec'!$D$104</f>
        <v>225</v>
      </c>
      <c r="BF194" s="56">
        <f>'Res. Tank Design'!D$55</f>
        <v>151.7482841316334</v>
      </c>
    </row>
    <row r="195" spans="54:59" ht="15.75" thickBot="1"/>
    <row r="196" spans="54:59" ht="15.75" thickBot="1">
      <c r="BB196" s="41" t="s">
        <v>592</v>
      </c>
      <c r="BC196" s="42" t="s">
        <v>773</v>
      </c>
      <c r="BD196" s="43" t="s">
        <v>4</v>
      </c>
      <c r="BE196" s="42" t="s">
        <v>782</v>
      </c>
      <c r="BF196" s="42" t="s">
        <v>783</v>
      </c>
      <c r="BG196" s="20"/>
    </row>
    <row r="197" spans="54:59">
      <c r="BB197" s="44">
        <f t="shared" ref="BB197:BB200" si="368">IF(MAX(C74:CG74)&gt;0,MAX(C74:CG74),NA())</f>
        <v>1.0022477041579523</v>
      </c>
      <c r="BC197" s="45">
        <f>BB197*'Res. Tank Design'!$D$55</f>
        <v>152.08936938083821</v>
      </c>
      <c r="BD197" s="12" t="s">
        <v>58</v>
      </c>
      <c r="BE197" s="39" t="str">
        <f t="shared" ref="BE197:BF202" si="369">B33</f>
        <v>π/2</v>
      </c>
      <c r="BF197" s="38">
        <f t="shared" si="369"/>
        <v>1.5707963267948966</v>
      </c>
    </row>
    <row r="198" spans="54:59">
      <c r="BB198" s="44">
        <f t="shared" si="368"/>
        <v>0.96617717106449652</v>
      </c>
      <c r="BC198" s="45">
        <f>BB198*'Res. Tank Design'!$D$55</f>
        <v>146.61572787619298</v>
      </c>
      <c r="BD198" s="12" t="s">
        <v>58</v>
      </c>
      <c r="BE198" s="39" t="str">
        <f t="shared" si="369"/>
        <v>5π/12</v>
      </c>
      <c r="BF198" s="39">
        <f t="shared" si="369"/>
        <v>1.3089969389957472</v>
      </c>
    </row>
    <row r="199" spans="54:59">
      <c r="BB199" s="44">
        <f t="shared" si="368"/>
        <v>0.87685503396264175</v>
      </c>
      <c r="BC199" s="45">
        <f>BB199*'Res. Tank Design'!$D$55</f>
        <v>133.06124683601601</v>
      </c>
      <c r="BD199" s="12" t="s">
        <v>58</v>
      </c>
      <c r="BE199" s="39" t="str">
        <f t="shared" si="369"/>
        <v>π/3</v>
      </c>
      <c r="BF199" s="39">
        <f t="shared" si="369"/>
        <v>1.0471975511965976</v>
      </c>
    </row>
    <row r="200" spans="54:59">
      <c r="BB200" s="44">
        <f t="shared" si="368"/>
        <v>0.77598273389373873</v>
      </c>
      <c r="BC200" s="45">
        <f>BB200*'Res. Tank Design'!$D$55</f>
        <v>117.75404838414873</v>
      </c>
      <c r="BD200" s="12" t="s">
        <v>58</v>
      </c>
      <c r="BE200" s="39" t="str">
        <f t="shared" si="369"/>
        <v>π/4</v>
      </c>
      <c r="BF200" s="39">
        <f t="shared" si="369"/>
        <v>0.78539816339744828</v>
      </c>
    </row>
    <row r="201" spans="54:59">
      <c r="BB201" s="44">
        <f>IF(MAX(C78:CG78)&gt;0,MAX(C78:CG78),NA())</f>
        <v>0.68899766906443016</v>
      </c>
      <c r="BC201" s="45">
        <f>BB201*'Res. Tank Design'!$D$55</f>
        <v>104.55421405122226</v>
      </c>
      <c r="BD201" s="12" t="s">
        <v>58</v>
      </c>
      <c r="BE201" s="39" t="str">
        <f t="shared" si="369"/>
        <v>π/6</v>
      </c>
      <c r="BF201" s="39">
        <f t="shared" si="369"/>
        <v>0.52359877559829882</v>
      </c>
    </row>
    <row r="202" spans="54:59" ht="15.75" thickBot="1">
      <c r="BB202" s="46">
        <f t="shared" ref="BB202" ca="1" si="370">MAX(C79:CH79)</f>
        <v>0.61855025675963726</v>
      </c>
      <c r="BC202" s="47">
        <f ca="1">BB202*'Res. Tank Design'!$D$55</f>
        <v>93.86394011245622</v>
      </c>
      <c r="BD202" s="15" t="s">
        <v>58</v>
      </c>
      <c r="BE202" s="40" t="str">
        <f t="shared" si="369"/>
        <v>π/12</v>
      </c>
      <c r="BF202" s="40">
        <f t="shared" si="369"/>
        <v>0.26179938779914941</v>
      </c>
    </row>
    <row r="203" spans="54:59" ht="15.75" thickBot="1"/>
    <row r="204" spans="54:59" ht="15.75" thickBot="1">
      <c r="BB204" s="42" t="s">
        <v>466</v>
      </c>
    </row>
    <row r="205" spans="54:59" ht="15.75" thickBot="1">
      <c r="BB205" s="8" t="s">
        <v>782</v>
      </c>
      <c r="BC205" s="38" t="s">
        <v>783</v>
      </c>
      <c r="BD205" s="38" t="s">
        <v>785</v>
      </c>
      <c r="BE205" s="38" t="s">
        <v>696</v>
      </c>
      <c r="BF205" s="38" t="s">
        <v>800</v>
      </c>
      <c r="BG205" s="38" t="s">
        <v>801</v>
      </c>
    </row>
    <row r="206" spans="54:59">
      <c r="BB206" s="48" t="s">
        <v>787</v>
      </c>
      <c r="BC206" s="49">
        <f>BF197+PI()/2</f>
        <v>3.1415926535897931</v>
      </c>
      <c r="BD206" s="50">
        <f>'Res. Tank Design'!D$56</f>
        <v>85.071895494482334</v>
      </c>
      <c r="BE206" s="38">
        <f>'Design Spec'!$D$104</f>
        <v>225</v>
      </c>
      <c r="BF206" s="50">
        <f>'Res. Tank Design'!D$55</f>
        <v>151.7482841316334</v>
      </c>
      <c r="BG206" s="50">
        <f>'Res. Tank Design'!D$56</f>
        <v>85.071895494482334</v>
      </c>
    </row>
    <row r="207" spans="54:59">
      <c r="BB207" s="51" t="s">
        <v>788</v>
      </c>
      <c r="BC207" s="52">
        <f t="shared" ref="BC207:BC211" si="371">BF198+PI()/2</f>
        <v>2.879793265790644</v>
      </c>
      <c r="BD207" s="39">
        <f ca="1">BD217</f>
        <v>93.86394011245622</v>
      </c>
      <c r="BE207" s="39">
        <f>'Design Spec'!$D$104</f>
        <v>225</v>
      </c>
      <c r="BF207" s="53">
        <f>'Res. Tank Design'!D$55</f>
        <v>151.7482841316334</v>
      </c>
      <c r="BG207" s="53">
        <f>'Res. Tank Design'!D$56</f>
        <v>85.071895494482334</v>
      </c>
    </row>
    <row r="208" spans="54:59">
      <c r="BB208" s="51" t="s">
        <v>789</v>
      </c>
      <c r="BC208" s="52">
        <f t="shared" si="371"/>
        <v>2.617993877991494</v>
      </c>
      <c r="BD208" s="39">
        <f>BD216</f>
        <v>104.55421405122226</v>
      </c>
      <c r="BE208" s="39">
        <f>'Design Spec'!$D$104</f>
        <v>225</v>
      </c>
      <c r="BF208" s="53">
        <f>'Res. Tank Design'!D$55</f>
        <v>151.7482841316334</v>
      </c>
      <c r="BG208" s="53">
        <f>'Res. Tank Design'!D$56</f>
        <v>85.071895494482334</v>
      </c>
    </row>
    <row r="209" spans="54:59">
      <c r="BB209" s="51" t="s">
        <v>790</v>
      </c>
      <c r="BC209" s="52">
        <f t="shared" si="371"/>
        <v>2.3561944901923448</v>
      </c>
      <c r="BD209" s="39">
        <f>BD215</f>
        <v>117.75404838414873</v>
      </c>
      <c r="BE209" s="39">
        <f>'Design Spec'!$D$104</f>
        <v>225</v>
      </c>
      <c r="BF209" s="53">
        <f>'Res. Tank Design'!D$55</f>
        <v>151.7482841316334</v>
      </c>
      <c r="BG209" s="53">
        <f>'Res. Tank Design'!D$56</f>
        <v>85.071895494482334</v>
      </c>
    </row>
    <row r="210" spans="54:59">
      <c r="BB210" s="51" t="s">
        <v>791</v>
      </c>
      <c r="BC210" s="52">
        <f t="shared" si="371"/>
        <v>2.0943951023931953</v>
      </c>
      <c r="BD210" s="39">
        <f>BD214</f>
        <v>133.06124683601601</v>
      </c>
      <c r="BE210" s="39">
        <f>'Design Spec'!$D$104</f>
        <v>225</v>
      </c>
      <c r="BF210" s="53">
        <f>'Res. Tank Design'!D$55</f>
        <v>151.7482841316334</v>
      </c>
      <c r="BG210" s="53">
        <f>'Res. Tank Design'!D$56</f>
        <v>85.071895494482334</v>
      </c>
    </row>
    <row r="211" spans="54:59">
      <c r="BB211" s="51" t="s">
        <v>792</v>
      </c>
      <c r="BC211" s="52">
        <f t="shared" si="371"/>
        <v>1.8325957145940459</v>
      </c>
      <c r="BD211" s="39">
        <f>BD213</f>
        <v>146.61572787619298</v>
      </c>
      <c r="BE211" s="39">
        <f>'Design Spec'!$D$104</f>
        <v>225</v>
      </c>
      <c r="BF211" s="53">
        <f>'Res. Tank Design'!D$55</f>
        <v>151.7482841316334</v>
      </c>
      <c r="BG211" s="53">
        <f>'Res. Tank Design'!D$56</f>
        <v>85.071895494482334</v>
      </c>
    </row>
    <row r="212" spans="54:59">
      <c r="BB212" s="51" t="s">
        <v>793</v>
      </c>
      <c r="BC212" s="52">
        <f>BF197</f>
        <v>1.5707963267948966</v>
      </c>
      <c r="BD212" s="39">
        <f>BC197</f>
        <v>152.08936938083821</v>
      </c>
      <c r="BE212" s="39">
        <f>'Design Spec'!$D$104</f>
        <v>225</v>
      </c>
      <c r="BF212" s="53">
        <f>'Res. Tank Design'!D$55</f>
        <v>151.7482841316334</v>
      </c>
      <c r="BG212" s="53">
        <f>'Res. Tank Design'!D$56</f>
        <v>85.071895494482334</v>
      </c>
    </row>
    <row r="213" spans="54:59">
      <c r="BB213" s="51" t="s">
        <v>794</v>
      </c>
      <c r="BC213" s="52">
        <f t="shared" ref="BC213:BC218" si="372">BF198</f>
        <v>1.3089969389957472</v>
      </c>
      <c r="BD213" s="39">
        <f t="shared" ref="BD213:BD217" si="373">BC198</f>
        <v>146.61572787619298</v>
      </c>
      <c r="BE213" s="39">
        <f>'Design Spec'!$D$104</f>
        <v>225</v>
      </c>
      <c r="BF213" s="53">
        <f>'Res. Tank Design'!D$55</f>
        <v>151.7482841316334</v>
      </c>
      <c r="BG213" s="53">
        <f>'Res. Tank Design'!D$56</f>
        <v>85.071895494482334</v>
      </c>
    </row>
    <row r="214" spans="54:59">
      <c r="BB214" s="51" t="s">
        <v>795</v>
      </c>
      <c r="BC214" s="52">
        <f t="shared" si="372"/>
        <v>1.0471975511965976</v>
      </c>
      <c r="BD214" s="39">
        <f t="shared" si="373"/>
        <v>133.06124683601601</v>
      </c>
      <c r="BE214" s="39">
        <f>'Design Spec'!$D$104</f>
        <v>225</v>
      </c>
      <c r="BF214" s="53">
        <f>'Res. Tank Design'!D$55</f>
        <v>151.7482841316334</v>
      </c>
      <c r="BG214" s="53">
        <f>'Res. Tank Design'!D$56</f>
        <v>85.071895494482334</v>
      </c>
    </row>
    <row r="215" spans="54:59">
      <c r="BB215" s="51" t="s">
        <v>796</v>
      </c>
      <c r="BC215" s="52">
        <f t="shared" si="372"/>
        <v>0.78539816339744828</v>
      </c>
      <c r="BD215" s="39">
        <f t="shared" si="373"/>
        <v>117.75404838414873</v>
      </c>
      <c r="BE215" s="39">
        <f>'Design Spec'!$D$104</f>
        <v>225</v>
      </c>
      <c r="BF215" s="53">
        <f>'Res. Tank Design'!D$55</f>
        <v>151.7482841316334</v>
      </c>
      <c r="BG215" s="53">
        <f>'Res. Tank Design'!D$56</f>
        <v>85.071895494482334</v>
      </c>
    </row>
    <row r="216" spans="54:59">
      <c r="BB216" s="51" t="s">
        <v>797</v>
      </c>
      <c r="BC216" s="52">
        <f t="shared" si="372"/>
        <v>0.52359877559829882</v>
      </c>
      <c r="BD216" s="39">
        <f t="shared" si="373"/>
        <v>104.55421405122226</v>
      </c>
      <c r="BE216" s="39">
        <f>'Design Spec'!$D$104</f>
        <v>225</v>
      </c>
      <c r="BF216" s="53">
        <f>'Res. Tank Design'!D$55</f>
        <v>151.7482841316334</v>
      </c>
      <c r="BG216" s="53">
        <f>'Res. Tank Design'!D$56</f>
        <v>85.071895494482334</v>
      </c>
    </row>
    <row r="217" spans="54:59">
      <c r="BB217" s="51" t="s">
        <v>798</v>
      </c>
      <c r="BC217" s="52">
        <f t="shared" si="372"/>
        <v>0.26179938779914941</v>
      </c>
      <c r="BD217" s="39">
        <f t="shared" ca="1" si="373"/>
        <v>93.86394011245622</v>
      </c>
      <c r="BE217" s="39">
        <f>'Design Spec'!$D$104</f>
        <v>225</v>
      </c>
      <c r="BF217" s="53">
        <f>'Res. Tank Design'!D$55</f>
        <v>151.7482841316334</v>
      </c>
      <c r="BG217" s="53">
        <f>'Res. Tank Design'!D$56</f>
        <v>85.071895494482334</v>
      </c>
    </row>
    <row r="218" spans="54:59" ht="15.75" thickBot="1">
      <c r="BB218" s="54">
        <v>0</v>
      </c>
      <c r="BC218" s="55">
        <f t="shared" si="372"/>
        <v>0</v>
      </c>
      <c r="BD218" s="56">
        <f>'Res. Tank Design'!D$56</f>
        <v>85.071895494482334</v>
      </c>
      <c r="BE218" s="40">
        <f>'Design Spec'!$D$104</f>
        <v>225</v>
      </c>
      <c r="BF218" s="56">
        <f>'Res. Tank Design'!D$55</f>
        <v>151.7482841316334</v>
      </c>
      <c r="BG218" s="56">
        <f>'Res. Tank Design'!D$56</f>
        <v>85.071895494482334</v>
      </c>
    </row>
  </sheetData>
  <phoneticPr fontId="6" type="noConversion"/>
  <pageMargins left="0.7" right="0.7" top="0.75" bottom="0.75" header="0.3" footer="0.3"/>
  <pageSetup paperSize="9" orientation="portrait" r:id="rId1"/>
  <customProperties>
    <customPr name="IbpWorksheetKeyString_GUID" r:id="rId2"/>
  </customPropertie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12DAA-6334-4D48-B5AE-55A7741ECB32}">
  <sheetPr>
    <tabColor rgb="FFFF0000"/>
  </sheetPr>
  <dimension ref="B3:AM57"/>
  <sheetViews>
    <sheetView topLeftCell="B1" zoomScale="55" zoomScaleNormal="55" workbookViewId="0">
      <selection activeCell="B1" sqref="A1:XFD1048576"/>
    </sheetView>
  </sheetViews>
  <sheetFormatPr defaultColWidth="8.7109375" defaultRowHeight="15"/>
  <cols>
    <col min="1" max="1" width="8.7109375" style="2"/>
    <col min="2" max="2" width="35.5703125" style="2" bestFit="1" customWidth="1"/>
    <col min="3" max="3" width="12.42578125" style="2" bestFit="1" customWidth="1"/>
    <col min="4" max="38" width="8.7109375" style="2"/>
    <col min="39" max="39" width="12.28515625" style="2" bestFit="1" customWidth="1"/>
    <col min="40" max="101" width="8.7109375" style="2"/>
    <col min="102" max="102" width="14.140625" style="2" bestFit="1" customWidth="1"/>
    <col min="103" max="103" width="9.85546875" style="2" bestFit="1" customWidth="1"/>
    <col min="104" max="16384" width="8.7109375" style="2"/>
  </cols>
  <sheetData>
    <row r="3" spans="2:39"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 t="s">
        <v>802</v>
      </c>
      <c r="L3" s="2">
        <v>8</v>
      </c>
      <c r="M3" s="2">
        <v>9</v>
      </c>
      <c r="N3" s="2">
        <v>10</v>
      </c>
      <c r="O3" s="2" t="s">
        <v>803</v>
      </c>
      <c r="P3" s="2">
        <v>11</v>
      </c>
      <c r="Q3" s="2">
        <v>12</v>
      </c>
      <c r="R3" s="2">
        <v>13</v>
      </c>
      <c r="S3" s="2">
        <v>14</v>
      </c>
      <c r="T3" s="2">
        <v>15</v>
      </c>
      <c r="U3" s="2" t="s">
        <v>804</v>
      </c>
      <c r="V3" s="2">
        <v>16</v>
      </c>
      <c r="W3" s="2">
        <v>17</v>
      </c>
      <c r="X3" s="2">
        <v>18</v>
      </c>
      <c r="Y3" s="2">
        <v>19</v>
      </c>
      <c r="Z3" s="2">
        <v>20</v>
      </c>
      <c r="AA3" s="2" t="s">
        <v>805</v>
      </c>
      <c r="AB3" s="2">
        <v>21</v>
      </c>
      <c r="AC3" s="2">
        <v>22</v>
      </c>
      <c r="AD3" s="2">
        <v>23</v>
      </c>
      <c r="AE3" s="2" t="s">
        <v>806</v>
      </c>
      <c r="AF3" s="2">
        <v>24</v>
      </c>
      <c r="AG3" s="2">
        <v>25</v>
      </c>
      <c r="AH3" s="2">
        <v>26</v>
      </c>
      <c r="AI3" s="2">
        <v>27</v>
      </c>
      <c r="AJ3" s="2">
        <v>28</v>
      </c>
      <c r="AK3" s="2">
        <v>29</v>
      </c>
      <c r="AL3" s="2">
        <v>30</v>
      </c>
      <c r="AM3" s="2">
        <v>31</v>
      </c>
    </row>
    <row r="4" spans="2:39">
      <c r="B4" s="2" t="s">
        <v>677</v>
      </c>
      <c r="C4" s="2">
        <f t="shared" ref="C4:J4" si="0">C3*PI()/MAX($C3:$AM3)</f>
        <v>0</v>
      </c>
      <c r="D4" s="2">
        <f t="shared" si="0"/>
        <v>0.10134169850289655</v>
      </c>
      <c r="E4" s="2">
        <f t="shared" si="0"/>
        <v>0.2026833970057931</v>
      </c>
      <c r="F4" s="2">
        <f t="shared" si="0"/>
        <v>0.30402509550868967</v>
      </c>
      <c r="G4" s="2">
        <f t="shared" si="0"/>
        <v>0.40536679401158621</v>
      </c>
      <c r="H4" s="2">
        <f t="shared" si="0"/>
        <v>0.5067084925144828</v>
      </c>
      <c r="I4" s="2">
        <f t="shared" si="0"/>
        <v>0.60805019101737934</v>
      </c>
      <c r="J4" s="2">
        <f t="shared" si="0"/>
        <v>0.70939188952027588</v>
      </c>
      <c r="K4" s="2">
        <f>PI()/4</f>
        <v>0.78539816339744828</v>
      </c>
      <c r="L4" s="2">
        <f>L3*PI()/MAX($C3:$AM3)</f>
        <v>0.81073358802317241</v>
      </c>
      <c r="M4" s="2">
        <f>M3*PI()/MAX($C3:$AM3)</f>
        <v>0.91207528652606895</v>
      </c>
      <c r="N4" s="2">
        <f>N3*PI()/MAX($C3:$AM3)</f>
        <v>1.0134169850289656</v>
      </c>
      <c r="O4" s="2">
        <f>PI()/3</f>
        <v>1.0471975511965976</v>
      </c>
      <c r="P4" s="2">
        <f>P3*PI()/MAX($C3:$AM3)</f>
        <v>1.1147586835318619</v>
      </c>
      <c r="Q4" s="2">
        <f>Q3*PI()/MAX($C3:$AM3)</f>
        <v>1.2161003820347587</v>
      </c>
      <c r="R4" s="2">
        <f>R3*PI()/MAX($C3:$AM3)</f>
        <v>1.3174420805376552</v>
      </c>
      <c r="S4" s="2">
        <f>S3*PI()/MAX($C3:$AM3)</f>
        <v>1.4187837790405518</v>
      </c>
      <c r="T4" s="2">
        <f>T3*PI()/MAX($C3:$AM3)</f>
        <v>1.5201254775434481</v>
      </c>
      <c r="U4" s="2">
        <f>PI()/2</f>
        <v>1.5707963267948966</v>
      </c>
      <c r="V4" s="2">
        <f>V3*PI()/MAX($C3:$AM3)</f>
        <v>1.6214671760463448</v>
      </c>
      <c r="W4" s="2">
        <f>W3*PI()/MAX($C3:$AM3)</f>
        <v>1.7228088745492416</v>
      </c>
      <c r="X4" s="2">
        <f>X3*PI()/MAX($C3:$AM3)</f>
        <v>1.8241505730521379</v>
      </c>
      <c r="Y4" s="2">
        <f>Y3*PI()/MAX($C3:$AM3)</f>
        <v>1.9254922715550344</v>
      </c>
      <c r="Z4" s="2">
        <f>Z3*PI()/MAX($C3:$AM3)</f>
        <v>2.0268339700579312</v>
      </c>
      <c r="AA4" s="2">
        <f>2*PI()/3</f>
        <v>2.0943951023931953</v>
      </c>
      <c r="AB4" s="2">
        <f>AB3*PI()/MAX($C3:$AM3)</f>
        <v>2.1281756685608277</v>
      </c>
      <c r="AC4" s="2">
        <f>AC3*PI()/MAX($C3:$AM3)</f>
        <v>2.2295173670637238</v>
      </c>
      <c r="AD4" s="2">
        <f>AD3*PI()/MAX($C3:$AM3)</f>
        <v>2.3308590655666204</v>
      </c>
      <c r="AE4" s="2">
        <f>3*PI()/4</f>
        <v>2.3561944901923448</v>
      </c>
      <c r="AF4" s="2">
        <f t="shared" ref="AF4:AM4" si="1">AF3*PI()/MAX($C3:$AM3)</f>
        <v>2.4322007640695174</v>
      </c>
      <c r="AG4" s="2">
        <f t="shared" si="1"/>
        <v>2.5335424625724139</v>
      </c>
      <c r="AH4" s="2">
        <f t="shared" si="1"/>
        <v>2.6348841610753104</v>
      </c>
      <c r="AI4" s="2">
        <f t="shared" si="1"/>
        <v>2.736225859578207</v>
      </c>
      <c r="AJ4" s="2">
        <f t="shared" si="1"/>
        <v>2.8375675580811035</v>
      </c>
      <c r="AK4" s="2">
        <f t="shared" si="1"/>
        <v>2.938909256584</v>
      </c>
      <c r="AL4" s="2">
        <f t="shared" si="1"/>
        <v>3.0402509550868961</v>
      </c>
      <c r="AM4" s="2">
        <f t="shared" si="1"/>
        <v>3.1415926535897931</v>
      </c>
    </row>
    <row r="5" spans="2:39">
      <c r="B5" s="2" t="s">
        <v>20</v>
      </c>
      <c r="C5" s="2">
        <f>'Design Spec'!$D$95</f>
        <v>25</v>
      </c>
      <c r="D5" s="2">
        <f>'Design Spec'!$D$95</f>
        <v>25</v>
      </c>
      <c r="E5" s="2">
        <f>'Design Spec'!$D$95</f>
        <v>25</v>
      </c>
      <c r="F5" s="2">
        <f>'Design Spec'!$D$95</f>
        <v>25</v>
      </c>
      <c r="G5" s="2">
        <f>'Design Spec'!$D$95</f>
        <v>25</v>
      </c>
      <c r="H5" s="2">
        <f>'Design Spec'!$D$95</f>
        <v>25</v>
      </c>
      <c r="I5" s="2">
        <f>'Design Spec'!$D$95</f>
        <v>25</v>
      </c>
      <c r="J5" s="2">
        <f>'Design Spec'!$D$95</f>
        <v>25</v>
      </c>
      <c r="K5" s="2">
        <f>'Design Spec'!$D$95</f>
        <v>25</v>
      </c>
      <c r="L5" s="2">
        <f>'Design Spec'!$D$95</f>
        <v>25</v>
      </c>
      <c r="M5" s="2">
        <f>'Design Spec'!$D$95</f>
        <v>25</v>
      </c>
      <c r="N5" s="2">
        <f>'Design Spec'!$D$95</f>
        <v>25</v>
      </c>
      <c r="O5" s="2">
        <f>'Design Spec'!$D$95</f>
        <v>25</v>
      </c>
      <c r="P5" s="2">
        <f>'Design Spec'!$D$95</f>
        <v>25</v>
      </c>
      <c r="Q5" s="2">
        <f>'Design Spec'!$D$95</f>
        <v>25</v>
      </c>
      <c r="R5" s="2">
        <f>'Design Spec'!$D$95</f>
        <v>25</v>
      </c>
      <c r="S5" s="2">
        <f>'Design Spec'!$D$95</f>
        <v>25</v>
      </c>
      <c r="T5" s="2">
        <f>'Design Spec'!$D$95</f>
        <v>25</v>
      </c>
      <c r="U5" s="2">
        <f>'Design Spec'!$D$95</f>
        <v>25</v>
      </c>
      <c r="V5" s="2">
        <f>'Design Spec'!$D$95</f>
        <v>25</v>
      </c>
      <c r="W5" s="2">
        <f>'Design Spec'!$D$95</f>
        <v>25</v>
      </c>
      <c r="X5" s="2">
        <f>'Design Spec'!$D$95</f>
        <v>25</v>
      </c>
      <c r="Y5" s="2">
        <f>'Design Spec'!$D$95</f>
        <v>25</v>
      </c>
      <c r="Z5" s="2">
        <f>'Design Spec'!$D$95</f>
        <v>25</v>
      </c>
      <c r="AA5" s="2">
        <f>'Design Spec'!$D$95</f>
        <v>25</v>
      </c>
      <c r="AB5" s="2">
        <f>'Design Spec'!$D$95</f>
        <v>25</v>
      </c>
      <c r="AC5" s="2">
        <f>'Design Spec'!$D$95</f>
        <v>25</v>
      </c>
      <c r="AD5" s="2">
        <f>'Design Spec'!$D$95</f>
        <v>25</v>
      </c>
      <c r="AE5" s="2">
        <f>'Design Spec'!$D$95</f>
        <v>25</v>
      </c>
      <c r="AF5" s="2">
        <f>'Design Spec'!$D$95</f>
        <v>25</v>
      </c>
      <c r="AG5" s="2">
        <f>'Design Spec'!$D$95</f>
        <v>25</v>
      </c>
      <c r="AH5" s="2">
        <f>'Design Spec'!$D$95</f>
        <v>25</v>
      </c>
      <c r="AI5" s="2">
        <f>'Design Spec'!$D$95</f>
        <v>25</v>
      </c>
      <c r="AJ5" s="2">
        <f>'Design Spec'!$D$95</f>
        <v>25</v>
      </c>
      <c r="AK5" s="2">
        <f>'Design Spec'!$D$95</f>
        <v>25</v>
      </c>
      <c r="AL5" s="2">
        <f>'Design Spec'!$D$95</f>
        <v>25</v>
      </c>
      <c r="AM5" s="2">
        <f>'Design Spec'!$D$95</f>
        <v>25</v>
      </c>
    </row>
    <row r="6" spans="2:39">
      <c r="B6" s="2" t="s">
        <v>678</v>
      </c>
      <c r="C6" s="2">
        <f>'Design Spec'!$D$106</f>
        <v>0</v>
      </c>
      <c r="D6" s="2">
        <f>'Design Spec'!$D$106</f>
        <v>0</v>
      </c>
      <c r="E6" s="2">
        <f>'Design Spec'!$D$106</f>
        <v>0</v>
      </c>
      <c r="F6" s="2">
        <f>'Design Spec'!$D$106</f>
        <v>0</v>
      </c>
      <c r="G6" s="2">
        <f>'Design Spec'!$D$106</f>
        <v>0</v>
      </c>
      <c r="H6" s="2">
        <f>'Design Spec'!$D$106</f>
        <v>0</v>
      </c>
      <c r="I6" s="2">
        <f>'Design Spec'!$D$106</f>
        <v>0</v>
      </c>
      <c r="J6" s="2">
        <f>'Design Spec'!$D$106</f>
        <v>0</v>
      </c>
      <c r="K6" s="2">
        <f>'Design Spec'!$D$106</f>
        <v>0</v>
      </c>
      <c r="L6" s="2">
        <f>'Design Spec'!$D$106</f>
        <v>0</v>
      </c>
      <c r="M6" s="2">
        <f>'Design Spec'!$D$106</f>
        <v>0</v>
      </c>
      <c r="N6" s="2">
        <f>'Design Spec'!$D$106</f>
        <v>0</v>
      </c>
      <c r="O6" s="2">
        <f>'Design Spec'!$D$106</f>
        <v>0</v>
      </c>
      <c r="P6" s="2">
        <f>'Design Spec'!$D$106</f>
        <v>0</v>
      </c>
      <c r="Q6" s="2">
        <f>'Design Spec'!$D$106</f>
        <v>0</v>
      </c>
      <c r="R6" s="2">
        <f>'Design Spec'!$D$106</f>
        <v>0</v>
      </c>
      <c r="S6" s="2">
        <f>'Design Spec'!$D$106</f>
        <v>0</v>
      </c>
      <c r="T6" s="2">
        <f>'Design Spec'!$D$106</f>
        <v>0</v>
      </c>
      <c r="U6" s="2">
        <f>'Design Spec'!$D$106</f>
        <v>0</v>
      </c>
      <c r="V6" s="2">
        <f>'Design Spec'!$D$106</f>
        <v>0</v>
      </c>
      <c r="W6" s="2">
        <f>'Design Spec'!$D$106</f>
        <v>0</v>
      </c>
      <c r="X6" s="2">
        <f>'Design Spec'!$D$106</f>
        <v>0</v>
      </c>
      <c r="Y6" s="2">
        <f>'Design Spec'!$D$106</f>
        <v>0</v>
      </c>
      <c r="Z6" s="2">
        <f>'Design Spec'!$D$106</f>
        <v>0</v>
      </c>
      <c r="AA6" s="2">
        <f>'Design Spec'!$D$106</f>
        <v>0</v>
      </c>
      <c r="AB6" s="2">
        <f>'Design Spec'!$D$106</f>
        <v>0</v>
      </c>
      <c r="AC6" s="2">
        <f>'Design Spec'!$D$106</f>
        <v>0</v>
      </c>
      <c r="AD6" s="2">
        <f>'Design Spec'!$D$106</f>
        <v>0</v>
      </c>
      <c r="AE6" s="2">
        <f>'Design Spec'!$D$106</f>
        <v>0</v>
      </c>
      <c r="AF6" s="2">
        <f>'Design Spec'!$D$106</f>
        <v>0</v>
      </c>
      <c r="AG6" s="2">
        <f>'Design Spec'!$D$106</f>
        <v>0</v>
      </c>
      <c r="AH6" s="2">
        <f>'Design Spec'!$D$106</f>
        <v>0</v>
      </c>
      <c r="AI6" s="2">
        <f>'Design Spec'!$D$106</f>
        <v>0</v>
      </c>
      <c r="AJ6" s="2">
        <f>'Design Spec'!$D$106</f>
        <v>0</v>
      </c>
      <c r="AK6" s="2">
        <f>'Design Spec'!$D$106</f>
        <v>0</v>
      </c>
      <c r="AL6" s="2">
        <f>'Design Spec'!$D$106</f>
        <v>0</v>
      </c>
      <c r="AM6" s="2">
        <f>'Design Spec'!$D$106</f>
        <v>0</v>
      </c>
    </row>
    <row r="7" spans="2:39">
      <c r="B7" s="2" t="s">
        <v>679</v>
      </c>
      <c r="C7" s="2">
        <f>'Design Spec'!$D$83</f>
        <v>173.24116140000001</v>
      </c>
      <c r="D7" s="2">
        <f>'Design Spec'!$D$83</f>
        <v>173.24116140000001</v>
      </c>
      <c r="E7" s="2">
        <f>'Design Spec'!$D$83</f>
        <v>173.24116140000001</v>
      </c>
      <c r="F7" s="2">
        <f>'Design Spec'!$D$83</f>
        <v>173.24116140000001</v>
      </c>
      <c r="G7" s="2">
        <f>'Design Spec'!$D$83</f>
        <v>173.24116140000001</v>
      </c>
      <c r="H7" s="2">
        <f>'Design Spec'!$D$83</f>
        <v>173.24116140000001</v>
      </c>
      <c r="I7" s="2">
        <f>'Design Spec'!$D$83</f>
        <v>173.24116140000001</v>
      </c>
      <c r="J7" s="2">
        <f>'Design Spec'!$D$83</f>
        <v>173.24116140000001</v>
      </c>
      <c r="K7" s="2">
        <f>'Design Spec'!$D$83</f>
        <v>173.24116140000001</v>
      </c>
      <c r="L7" s="2">
        <f>'Design Spec'!$D$83</f>
        <v>173.24116140000001</v>
      </c>
      <c r="M7" s="2">
        <f>'Design Spec'!$D$83</f>
        <v>173.24116140000001</v>
      </c>
      <c r="N7" s="2">
        <f>'Design Spec'!$D$83</f>
        <v>173.24116140000001</v>
      </c>
      <c r="O7" s="2">
        <f>'Design Spec'!$D$83</f>
        <v>173.24116140000001</v>
      </c>
      <c r="P7" s="2">
        <f>'Design Spec'!$D$83</f>
        <v>173.24116140000001</v>
      </c>
      <c r="Q7" s="2">
        <f>'Design Spec'!$D$83</f>
        <v>173.24116140000001</v>
      </c>
      <c r="R7" s="2">
        <f>'Design Spec'!$D$83</f>
        <v>173.24116140000001</v>
      </c>
      <c r="S7" s="2">
        <f>'Design Spec'!$D$83</f>
        <v>173.24116140000001</v>
      </c>
      <c r="T7" s="2">
        <f>'Design Spec'!$D$83</f>
        <v>173.24116140000001</v>
      </c>
      <c r="U7" s="2">
        <f>'Design Spec'!$D$83</f>
        <v>173.24116140000001</v>
      </c>
      <c r="V7" s="2">
        <f>'Design Spec'!$D$83</f>
        <v>173.24116140000001</v>
      </c>
      <c r="W7" s="2">
        <f>'Design Spec'!$D$83</f>
        <v>173.24116140000001</v>
      </c>
      <c r="X7" s="2">
        <f>'Design Spec'!$D$83</f>
        <v>173.24116140000001</v>
      </c>
      <c r="Y7" s="2">
        <f>'Design Spec'!$D$83</f>
        <v>173.24116140000001</v>
      </c>
      <c r="Z7" s="2">
        <f>'Design Spec'!$D$83</f>
        <v>173.24116140000001</v>
      </c>
      <c r="AA7" s="2">
        <f>'Design Spec'!$D$83</f>
        <v>173.24116140000001</v>
      </c>
      <c r="AB7" s="2">
        <f>'Design Spec'!$D$83</f>
        <v>173.24116140000001</v>
      </c>
      <c r="AC7" s="2">
        <f>'Design Spec'!$D$83</f>
        <v>173.24116140000001</v>
      </c>
      <c r="AD7" s="2">
        <f>'Design Spec'!$D$83</f>
        <v>173.24116140000001</v>
      </c>
      <c r="AE7" s="2">
        <f>'Design Spec'!$D$83</f>
        <v>173.24116140000001</v>
      </c>
      <c r="AF7" s="2">
        <f>'Design Spec'!$D$83</f>
        <v>173.24116140000001</v>
      </c>
      <c r="AG7" s="2">
        <f>'Design Spec'!$D$83</f>
        <v>173.24116140000001</v>
      </c>
      <c r="AH7" s="2">
        <f>'Design Spec'!$D$83</f>
        <v>173.24116140000001</v>
      </c>
      <c r="AI7" s="2">
        <f>'Design Spec'!$D$83</f>
        <v>173.24116140000001</v>
      </c>
      <c r="AJ7" s="2">
        <f>'Design Spec'!$D$83</f>
        <v>173.24116140000001</v>
      </c>
      <c r="AK7" s="2">
        <f>'Design Spec'!$D$83</f>
        <v>173.24116140000001</v>
      </c>
      <c r="AL7" s="2">
        <f>'Design Spec'!$D$83</f>
        <v>173.24116140000001</v>
      </c>
      <c r="AM7" s="2">
        <f>'Design Spec'!$D$83</f>
        <v>173.24116140000001</v>
      </c>
    </row>
    <row r="8" spans="2:39">
      <c r="B8" s="2" t="s">
        <v>681</v>
      </c>
      <c r="C8" s="2">
        <f>'Design Spec'!$D$79</f>
        <v>264</v>
      </c>
      <c r="D8" s="2">
        <f>'Design Spec'!$D$79</f>
        <v>264</v>
      </c>
      <c r="E8" s="2">
        <f>'Design Spec'!$D$79</f>
        <v>264</v>
      </c>
      <c r="F8" s="2">
        <f>'Design Spec'!$D$79</f>
        <v>264</v>
      </c>
      <c r="G8" s="2">
        <f>'Design Spec'!$D$79</f>
        <v>264</v>
      </c>
      <c r="H8" s="2">
        <f>'Design Spec'!$D$79</f>
        <v>264</v>
      </c>
      <c r="I8" s="2">
        <f>'Design Spec'!$D$79</f>
        <v>264</v>
      </c>
      <c r="J8" s="2">
        <f>'Design Spec'!$D$79</f>
        <v>264</v>
      </c>
      <c r="K8" s="2">
        <f>'Design Spec'!$D$79</f>
        <v>264</v>
      </c>
      <c r="L8" s="2">
        <f>'Design Spec'!$D$79</f>
        <v>264</v>
      </c>
      <c r="M8" s="2">
        <f>'Design Spec'!$D$79</f>
        <v>264</v>
      </c>
      <c r="N8" s="2">
        <f>'Design Spec'!$D$79</f>
        <v>264</v>
      </c>
      <c r="O8" s="2">
        <f>'Design Spec'!$D$79</f>
        <v>264</v>
      </c>
      <c r="P8" s="2">
        <f>'Design Spec'!$D$79</f>
        <v>264</v>
      </c>
      <c r="Q8" s="2">
        <f>'Design Spec'!$D$79</f>
        <v>264</v>
      </c>
      <c r="R8" s="2">
        <f>'Design Spec'!$D$79</f>
        <v>264</v>
      </c>
      <c r="S8" s="2">
        <f>'Design Spec'!$D$79</f>
        <v>264</v>
      </c>
      <c r="T8" s="2">
        <f>'Design Spec'!$D$79</f>
        <v>264</v>
      </c>
      <c r="U8" s="2">
        <f>'Design Spec'!$D$79</f>
        <v>264</v>
      </c>
      <c r="V8" s="2">
        <f>'Design Spec'!$D$79</f>
        <v>264</v>
      </c>
      <c r="W8" s="2">
        <f>'Design Spec'!$D$79</f>
        <v>264</v>
      </c>
      <c r="X8" s="2">
        <f>'Design Spec'!$D$79</f>
        <v>264</v>
      </c>
      <c r="Y8" s="2">
        <f>'Design Spec'!$D$79</f>
        <v>264</v>
      </c>
      <c r="Z8" s="2">
        <f>'Design Spec'!$D$79</f>
        <v>264</v>
      </c>
      <c r="AA8" s="2">
        <f>'Design Spec'!$D$79</f>
        <v>264</v>
      </c>
      <c r="AB8" s="2">
        <f>'Design Spec'!$D$79</f>
        <v>264</v>
      </c>
      <c r="AC8" s="2">
        <f>'Design Spec'!$D$79</f>
        <v>264</v>
      </c>
      <c r="AD8" s="2">
        <f>'Design Spec'!$D$79</f>
        <v>264</v>
      </c>
      <c r="AE8" s="2">
        <f>'Design Spec'!$D$79</f>
        <v>264</v>
      </c>
      <c r="AF8" s="2">
        <f>'Design Spec'!$D$79</f>
        <v>264</v>
      </c>
      <c r="AG8" s="2">
        <f>'Design Spec'!$D$79</f>
        <v>264</v>
      </c>
      <c r="AH8" s="2">
        <f>'Design Spec'!$D$79</f>
        <v>264</v>
      </c>
      <c r="AI8" s="2">
        <f>'Design Spec'!$D$79</f>
        <v>264</v>
      </c>
      <c r="AJ8" s="2">
        <f>'Design Spec'!$D$79</f>
        <v>264</v>
      </c>
      <c r="AK8" s="2">
        <f>'Design Spec'!$D$79</f>
        <v>264</v>
      </c>
      <c r="AL8" s="2">
        <f>'Design Spec'!$D$79</f>
        <v>264</v>
      </c>
      <c r="AM8" s="2">
        <f>'Design Spec'!$D$79</f>
        <v>264</v>
      </c>
    </row>
    <row r="9" spans="2:39">
      <c r="B9" s="2" t="s">
        <v>138</v>
      </c>
      <c r="C9" s="2">
        <f>IF('Res. Tank Design'!$F$9,'Res. Tank Design'!$F$9,'Res. Tank Design'!$D$9)</f>
        <v>7.4527000000000001</v>
      </c>
      <c r="D9" s="2">
        <f>IF('Res. Tank Design'!$F$9,'Res. Tank Design'!$F$9,'Res. Tank Design'!$D$9)</f>
        <v>7.4527000000000001</v>
      </c>
      <c r="E9" s="2">
        <f>IF('Res. Tank Design'!$F$9,'Res. Tank Design'!$F$9,'Res. Tank Design'!$D$9)</f>
        <v>7.4527000000000001</v>
      </c>
      <c r="F9" s="2">
        <f>IF('Res. Tank Design'!$F$9,'Res. Tank Design'!$F$9,'Res. Tank Design'!$D$9)</f>
        <v>7.4527000000000001</v>
      </c>
      <c r="G9" s="2">
        <f>IF('Res. Tank Design'!$F$9,'Res. Tank Design'!$F$9,'Res. Tank Design'!$D$9)</f>
        <v>7.4527000000000001</v>
      </c>
      <c r="H9" s="2">
        <f>IF('Res. Tank Design'!$F$9,'Res. Tank Design'!$F$9,'Res. Tank Design'!$D$9)</f>
        <v>7.4527000000000001</v>
      </c>
      <c r="I9" s="2">
        <f>IF('Res. Tank Design'!$F$9,'Res. Tank Design'!$F$9,'Res. Tank Design'!$D$9)</f>
        <v>7.4527000000000001</v>
      </c>
      <c r="J9" s="2">
        <f>IF('Res. Tank Design'!$F$9,'Res. Tank Design'!$F$9,'Res. Tank Design'!$D$9)</f>
        <v>7.4527000000000001</v>
      </c>
      <c r="K9" s="2">
        <f>IF('Res. Tank Design'!$F$9,'Res. Tank Design'!$F$9,'Res. Tank Design'!$D$9)</f>
        <v>7.4527000000000001</v>
      </c>
      <c r="L9" s="2">
        <f>IF('Res. Tank Design'!$F$9,'Res. Tank Design'!$F$9,'Res. Tank Design'!$D$9)</f>
        <v>7.4527000000000001</v>
      </c>
      <c r="M9" s="2">
        <f>IF('Res. Tank Design'!$F$9,'Res. Tank Design'!$F$9,'Res. Tank Design'!$D$9)</f>
        <v>7.4527000000000001</v>
      </c>
      <c r="N9" s="2">
        <f>IF('Res. Tank Design'!$F$9,'Res. Tank Design'!$F$9,'Res. Tank Design'!$D$9)</f>
        <v>7.4527000000000001</v>
      </c>
      <c r="O9" s="2">
        <f>IF('Res. Tank Design'!$F$9,'Res. Tank Design'!$F$9,'Res. Tank Design'!$D$9)</f>
        <v>7.4527000000000001</v>
      </c>
      <c r="P9" s="2">
        <f>IF('Res. Tank Design'!$F$9,'Res. Tank Design'!$F$9,'Res. Tank Design'!$D$9)</f>
        <v>7.4527000000000001</v>
      </c>
      <c r="Q9" s="2">
        <f>IF('Res. Tank Design'!$F$9,'Res. Tank Design'!$F$9,'Res. Tank Design'!$D$9)</f>
        <v>7.4527000000000001</v>
      </c>
      <c r="R9" s="2">
        <f>IF('Res. Tank Design'!$F$9,'Res. Tank Design'!$F$9,'Res. Tank Design'!$D$9)</f>
        <v>7.4527000000000001</v>
      </c>
      <c r="S9" s="2">
        <f>IF('Res. Tank Design'!$F$9,'Res. Tank Design'!$F$9,'Res. Tank Design'!$D$9)</f>
        <v>7.4527000000000001</v>
      </c>
      <c r="T9" s="2">
        <f>IF('Res. Tank Design'!$F$9,'Res. Tank Design'!$F$9,'Res. Tank Design'!$D$9)</f>
        <v>7.4527000000000001</v>
      </c>
      <c r="U9" s="2">
        <f>IF('Res. Tank Design'!$F$9,'Res. Tank Design'!$F$9,'Res. Tank Design'!$D$9)</f>
        <v>7.4527000000000001</v>
      </c>
      <c r="V9" s="2">
        <f>IF('Res. Tank Design'!$F$9,'Res. Tank Design'!$F$9,'Res. Tank Design'!$D$9)</f>
        <v>7.4527000000000001</v>
      </c>
      <c r="W9" s="2">
        <f>IF('Res. Tank Design'!$F$9,'Res. Tank Design'!$F$9,'Res. Tank Design'!$D$9)</f>
        <v>7.4527000000000001</v>
      </c>
      <c r="X9" s="2">
        <f>IF('Res. Tank Design'!$F$9,'Res. Tank Design'!$F$9,'Res. Tank Design'!$D$9)</f>
        <v>7.4527000000000001</v>
      </c>
      <c r="Y9" s="2">
        <f>IF('Res. Tank Design'!$F$9,'Res. Tank Design'!$F$9,'Res. Tank Design'!$D$9)</f>
        <v>7.4527000000000001</v>
      </c>
      <c r="Z9" s="2">
        <f>IF('Res. Tank Design'!$F$9,'Res. Tank Design'!$F$9,'Res. Tank Design'!$D$9)</f>
        <v>7.4527000000000001</v>
      </c>
      <c r="AA9" s="2">
        <f>IF('Res. Tank Design'!$F$9,'Res. Tank Design'!$F$9,'Res. Tank Design'!$D$9)</f>
        <v>7.4527000000000001</v>
      </c>
      <c r="AB9" s="2">
        <f>IF('Res. Tank Design'!$F$9,'Res. Tank Design'!$F$9,'Res. Tank Design'!$D$9)</f>
        <v>7.4527000000000001</v>
      </c>
      <c r="AC9" s="2">
        <f>IF('Res. Tank Design'!$F$9,'Res. Tank Design'!$F$9,'Res. Tank Design'!$D$9)</f>
        <v>7.4527000000000001</v>
      </c>
      <c r="AD9" s="2">
        <f>IF('Res. Tank Design'!$F$9,'Res. Tank Design'!$F$9,'Res. Tank Design'!$D$9)</f>
        <v>7.4527000000000001</v>
      </c>
      <c r="AE9" s="2">
        <f>IF('Res. Tank Design'!$F$9,'Res. Tank Design'!$F$9,'Res. Tank Design'!$D$9)</f>
        <v>7.4527000000000001</v>
      </c>
      <c r="AF9" s="2">
        <f>IF('Res. Tank Design'!$F$9,'Res. Tank Design'!$F$9,'Res. Tank Design'!$D$9)</f>
        <v>7.4527000000000001</v>
      </c>
      <c r="AG9" s="2">
        <f>IF('Res. Tank Design'!$F$9,'Res. Tank Design'!$F$9,'Res. Tank Design'!$D$9)</f>
        <v>7.4527000000000001</v>
      </c>
      <c r="AH9" s="2">
        <f>IF('Res. Tank Design'!$F$9,'Res. Tank Design'!$F$9,'Res. Tank Design'!$D$9)</f>
        <v>7.4527000000000001</v>
      </c>
      <c r="AI9" s="2">
        <f>IF('Res. Tank Design'!$F$9,'Res. Tank Design'!$F$9,'Res. Tank Design'!$D$9)</f>
        <v>7.4527000000000001</v>
      </c>
      <c r="AJ9" s="2">
        <f>IF('Res. Tank Design'!$F$9,'Res. Tank Design'!$F$9,'Res. Tank Design'!$D$9)</f>
        <v>7.4527000000000001</v>
      </c>
      <c r="AK9" s="2">
        <f>IF('Res. Tank Design'!$F$9,'Res. Tank Design'!$F$9,'Res. Tank Design'!$D$9)</f>
        <v>7.4527000000000001</v>
      </c>
      <c r="AL9" s="2">
        <f>IF('Res. Tank Design'!$F$9,'Res. Tank Design'!$F$9,'Res. Tank Design'!$D$9)</f>
        <v>7.4527000000000001</v>
      </c>
      <c r="AM9" s="2">
        <f>IF('Res. Tank Design'!$F$9,'Res. Tank Design'!$F$9,'Res. Tank Design'!$D$9)</f>
        <v>7.4527000000000001</v>
      </c>
    </row>
    <row r="10" spans="2:39">
      <c r="B10" s="2" t="s">
        <v>682</v>
      </c>
      <c r="C10" s="2">
        <f>'Design Spec'!$D$98</f>
        <v>657.5</v>
      </c>
      <c r="D10" s="2">
        <f>'Design Spec'!$D$98</f>
        <v>657.5</v>
      </c>
      <c r="E10" s="2">
        <f>'Design Spec'!$D$98</f>
        <v>657.5</v>
      </c>
      <c r="F10" s="2">
        <f>'Design Spec'!$D$98</f>
        <v>657.5</v>
      </c>
      <c r="G10" s="2">
        <f>'Design Spec'!$D$98</f>
        <v>657.5</v>
      </c>
      <c r="H10" s="2">
        <f>'Design Spec'!$D$98</f>
        <v>657.5</v>
      </c>
      <c r="I10" s="2">
        <f>'Design Spec'!$D$98</f>
        <v>657.5</v>
      </c>
      <c r="J10" s="2">
        <f>'Design Spec'!$D$98</f>
        <v>657.5</v>
      </c>
      <c r="K10" s="2">
        <f>'Design Spec'!$D$98</f>
        <v>657.5</v>
      </c>
      <c r="L10" s="2">
        <f>'Design Spec'!$D$98</f>
        <v>657.5</v>
      </c>
      <c r="M10" s="2">
        <f>'Design Spec'!$D$98</f>
        <v>657.5</v>
      </c>
      <c r="N10" s="2">
        <f>'Design Spec'!$D$98</f>
        <v>657.5</v>
      </c>
      <c r="O10" s="2">
        <f>'Design Spec'!$D$98</f>
        <v>657.5</v>
      </c>
      <c r="P10" s="2">
        <f>'Design Spec'!$D$98</f>
        <v>657.5</v>
      </c>
      <c r="Q10" s="2">
        <f>'Design Spec'!$D$98</f>
        <v>657.5</v>
      </c>
      <c r="R10" s="2">
        <f>'Design Spec'!$D$98</f>
        <v>657.5</v>
      </c>
      <c r="S10" s="2">
        <f>'Design Spec'!$D$98</f>
        <v>657.5</v>
      </c>
      <c r="T10" s="2">
        <f>'Design Spec'!$D$98</f>
        <v>657.5</v>
      </c>
      <c r="U10" s="2">
        <f>'Design Spec'!$D$98</f>
        <v>657.5</v>
      </c>
      <c r="V10" s="2">
        <f>'Design Spec'!$D$98</f>
        <v>657.5</v>
      </c>
      <c r="W10" s="2">
        <f>'Design Spec'!$D$98</f>
        <v>657.5</v>
      </c>
      <c r="X10" s="2">
        <f>'Design Spec'!$D$98</f>
        <v>657.5</v>
      </c>
      <c r="Y10" s="2">
        <f>'Design Spec'!$D$98</f>
        <v>657.5</v>
      </c>
      <c r="Z10" s="2">
        <f>'Design Spec'!$D$98</f>
        <v>657.5</v>
      </c>
      <c r="AA10" s="2">
        <f>'Design Spec'!$D$98</f>
        <v>657.5</v>
      </c>
      <c r="AB10" s="2">
        <f>'Design Spec'!$D$98</f>
        <v>657.5</v>
      </c>
      <c r="AC10" s="2">
        <f>'Design Spec'!$D$98</f>
        <v>657.5</v>
      </c>
      <c r="AD10" s="2">
        <f>'Design Spec'!$D$98</f>
        <v>657.5</v>
      </c>
      <c r="AE10" s="2">
        <f>'Design Spec'!$D$98</f>
        <v>657.5</v>
      </c>
      <c r="AF10" s="2">
        <f>'Design Spec'!$D$98</f>
        <v>657.5</v>
      </c>
      <c r="AG10" s="2">
        <f>'Design Spec'!$D$98</f>
        <v>657.5</v>
      </c>
      <c r="AH10" s="2">
        <f>'Design Spec'!$D$98</f>
        <v>657.5</v>
      </c>
      <c r="AI10" s="2">
        <f>'Design Spec'!$D$98</f>
        <v>657.5</v>
      </c>
      <c r="AJ10" s="2">
        <f>'Design Spec'!$D$98</f>
        <v>657.5</v>
      </c>
      <c r="AK10" s="2">
        <f>'Design Spec'!$D$98</f>
        <v>657.5</v>
      </c>
      <c r="AL10" s="2">
        <f>'Design Spec'!$D$98</f>
        <v>657.5</v>
      </c>
      <c r="AM10" s="2">
        <f>'Design Spec'!$D$98</f>
        <v>657.5</v>
      </c>
    </row>
    <row r="11" spans="2:39">
      <c r="B11" s="32" t="s">
        <v>683</v>
      </c>
      <c r="C11" s="32">
        <f>C10/4*3</f>
        <v>493.125</v>
      </c>
      <c r="D11" s="32">
        <f t="shared" ref="D11:AM11" si="2">D10/4*3</f>
        <v>493.125</v>
      </c>
      <c r="E11" s="32">
        <f t="shared" si="2"/>
        <v>493.125</v>
      </c>
      <c r="F11" s="32">
        <f t="shared" si="2"/>
        <v>493.125</v>
      </c>
      <c r="G11" s="32">
        <f t="shared" si="2"/>
        <v>493.125</v>
      </c>
      <c r="H11" s="32">
        <f t="shared" si="2"/>
        <v>493.125</v>
      </c>
      <c r="I11" s="32">
        <f t="shared" si="2"/>
        <v>493.125</v>
      </c>
      <c r="J11" s="32">
        <f t="shared" si="2"/>
        <v>493.125</v>
      </c>
      <c r="K11" s="32">
        <f t="shared" ref="K11" si="3">K10/4*3</f>
        <v>493.125</v>
      </c>
      <c r="L11" s="32">
        <f t="shared" si="2"/>
        <v>493.125</v>
      </c>
      <c r="M11" s="32">
        <f t="shared" si="2"/>
        <v>493.125</v>
      </c>
      <c r="N11" s="32">
        <f t="shared" si="2"/>
        <v>493.125</v>
      </c>
      <c r="O11" s="32">
        <f t="shared" si="2"/>
        <v>493.125</v>
      </c>
      <c r="P11" s="32">
        <f t="shared" si="2"/>
        <v>493.125</v>
      </c>
      <c r="Q11" s="32">
        <f t="shared" si="2"/>
        <v>493.125</v>
      </c>
      <c r="R11" s="32">
        <f t="shared" si="2"/>
        <v>493.125</v>
      </c>
      <c r="S11" s="32">
        <f t="shared" si="2"/>
        <v>493.125</v>
      </c>
      <c r="T11" s="32">
        <f t="shared" si="2"/>
        <v>493.125</v>
      </c>
      <c r="U11" s="32">
        <f t="shared" ref="U11" si="4">U10/4*3</f>
        <v>493.125</v>
      </c>
      <c r="V11" s="32">
        <f t="shared" si="2"/>
        <v>493.125</v>
      </c>
      <c r="W11" s="32">
        <f t="shared" si="2"/>
        <v>493.125</v>
      </c>
      <c r="X11" s="32">
        <f t="shared" si="2"/>
        <v>493.125</v>
      </c>
      <c r="Y11" s="32">
        <f t="shared" si="2"/>
        <v>493.125</v>
      </c>
      <c r="Z11" s="32">
        <f t="shared" si="2"/>
        <v>493.125</v>
      </c>
      <c r="AA11" s="32">
        <f t="shared" si="2"/>
        <v>493.125</v>
      </c>
      <c r="AB11" s="32">
        <f t="shared" si="2"/>
        <v>493.125</v>
      </c>
      <c r="AC11" s="32">
        <f t="shared" si="2"/>
        <v>493.125</v>
      </c>
      <c r="AD11" s="32">
        <f t="shared" si="2"/>
        <v>493.125</v>
      </c>
      <c r="AE11" s="32">
        <f t="shared" ref="AE11" si="5">AE10/4*3</f>
        <v>493.125</v>
      </c>
      <c r="AF11" s="32">
        <f t="shared" si="2"/>
        <v>493.125</v>
      </c>
      <c r="AG11" s="32">
        <f t="shared" si="2"/>
        <v>493.125</v>
      </c>
      <c r="AH11" s="32">
        <f t="shared" si="2"/>
        <v>493.125</v>
      </c>
      <c r="AI11" s="32">
        <f t="shared" si="2"/>
        <v>493.125</v>
      </c>
      <c r="AJ11" s="32">
        <f t="shared" si="2"/>
        <v>493.125</v>
      </c>
      <c r="AK11" s="32">
        <f t="shared" si="2"/>
        <v>493.125</v>
      </c>
      <c r="AL11" s="32">
        <f t="shared" si="2"/>
        <v>493.125</v>
      </c>
      <c r="AM11" s="32">
        <f t="shared" si="2"/>
        <v>493.125</v>
      </c>
    </row>
    <row r="12" spans="2:39">
      <c r="B12" s="32" t="s">
        <v>684</v>
      </c>
      <c r="C12" s="32">
        <f>C10/2</f>
        <v>328.75</v>
      </c>
      <c r="D12" s="32">
        <f t="shared" ref="D12:AM12" si="6">D10/2</f>
        <v>328.75</v>
      </c>
      <c r="E12" s="32">
        <f t="shared" si="6"/>
        <v>328.75</v>
      </c>
      <c r="F12" s="32">
        <f t="shared" si="6"/>
        <v>328.75</v>
      </c>
      <c r="G12" s="32">
        <f t="shared" si="6"/>
        <v>328.75</v>
      </c>
      <c r="H12" s="32">
        <f t="shared" si="6"/>
        <v>328.75</v>
      </c>
      <c r="I12" s="32">
        <f t="shared" si="6"/>
        <v>328.75</v>
      </c>
      <c r="J12" s="32">
        <f t="shared" si="6"/>
        <v>328.75</v>
      </c>
      <c r="K12" s="32">
        <f t="shared" ref="K12" si="7">K10/2</f>
        <v>328.75</v>
      </c>
      <c r="L12" s="32">
        <f t="shared" si="6"/>
        <v>328.75</v>
      </c>
      <c r="M12" s="32">
        <f t="shared" si="6"/>
        <v>328.75</v>
      </c>
      <c r="N12" s="32">
        <f t="shared" si="6"/>
        <v>328.75</v>
      </c>
      <c r="O12" s="32">
        <f t="shared" si="6"/>
        <v>328.75</v>
      </c>
      <c r="P12" s="32">
        <f t="shared" si="6"/>
        <v>328.75</v>
      </c>
      <c r="Q12" s="32">
        <f t="shared" si="6"/>
        <v>328.75</v>
      </c>
      <c r="R12" s="32">
        <f t="shared" si="6"/>
        <v>328.75</v>
      </c>
      <c r="S12" s="32">
        <f t="shared" si="6"/>
        <v>328.75</v>
      </c>
      <c r="T12" s="32">
        <f t="shared" si="6"/>
        <v>328.75</v>
      </c>
      <c r="U12" s="32">
        <f t="shared" ref="U12" si="8">U10/2</f>
        <v>328.75</v>
      </c>
      <c r="V12" s="32">
        <f t="shared" si="6"/>
        <v>328.75</v>
      </c>
      <c r="W12" s="32">
        <f t="shared" si="6"/>
        <v>328.75</v>
      </c>
      <c r="X12" s="32">
        <f t="shared" si="6"/>
        <v>328.75</v>
      </c>
      <c r="Y12" s="32">
        <f t="shared" si="6"/>
        <v>328.75</v>
      </c>
      <c r="Z12" s="32">
        <f t="shared" si="6"/>
        <v>328.75</v>
      </c>
      <c r="AA12" s="32">
        <f t="shared" si="6"/>
        <v>328.75</v>
      </c>
      <c r="AB12" s="32">
        <f t="shared" si="6"/>
        <v>328.75</v>
      </c>
      <c r="AC12" s="32">
        <f t="shared" si="6"/>
        <v>328.75</v>
      </c>
      <c r="AD12" s="32">
        <f t="shared" si="6"/>
        <v>328.75</v>
      </c>
      <c r="AE12" s="32">
        <f t="shared" ref="AE12" si="9">AE10/2</f>
        <v>328.75</v>
      </c>
      <c r="AF12" s="32">
        <f t="shared" si="6"/>
        <v>328.75</v>
      </c>
      <c r="AG12" s="32">
        <f t="shared" si="6"/>
        <v>328.75</v>
      </c>
      <c r="AH12" s="32">
        <f t="shared" si="6"/>
        <v>328.75</v>
      </c>
      <c r="AI12" s="32">
        <f t="shared" si="6"/>
        <v>328.75</v>
      </c>
      <c r="AJ12" s="32">
        <f t="shared" si="6"/>
        <v>328.75</v>
      </c>
      <c r="AK12" s="32">
        <f t="shared" si="6"/>
        <v>328.75</v>
      </c>
      <c r="AL12" s="32">
        <f t="shared" si="6"/>
        <v>328.75</v>
      </c>
      <c r="AM12" s="32">
        <f t="shared" si="6"/>
        <v>328.75</v>
      </c>
    </row>
    <row r="13" spans="2:39">
      <c r="B13" s="32" t="s">
        <v>685</v>
      </c>
      <c r="C13" s="32">
        <f>C10/4</f>
        <v>164.375</v>
      </c>
      <c r="D13" s="32">
        <f t="shared" ref="D13:AM13" si="10">D10/4</f>
        <v>164.375</v>
      </c>
      <c r="E13" s="32">
        <f t="shared" si="10"/>
        <v>164.375</v>
      </c>
      <c r="F13" s="32">
        <f t="shared" si="10"/>
        <v>164.375</v>
      </c>
      <c r="G13" s="32">
        <f t="shared" si="10"/>
        <v>164.375</v>
      </c>
      <c r="H13" s="32">
        <f t="shared" si="10"/>
        <v>164.375</v>
      </c>
      <c r="I13" s="32">
        <f t="shared" si="10"/>
        <v>164.375</v>
      </c>
      <c r="J13" s="32">
        <f t="shared" si="10"/>
        <v>164.375</v>
      </c>
      <c r="K13" s="32">
        <f t="shared" ref="K13" si="11">K10/4</f>
        <v>164.375</v>
      </c>
      <c r="L13" s="32">
        <f t="shared" si="10"/>
        <v>164.375</v>
      </c>
      <c r="M13" s="32">
        <f t="shared" si="10"/>
        <v>164.375</v>
      </c>
      <c r="N13" s="32">
        <f t="shared" si="10"/>
        <v>164.375</v>
      </c>
      <c r="O13" s="32">
        <f t="shared" si="10"/>
        <v>164.375</v>
      </c>
      <c r="P13" s="32">
        <f t="shared" si="10"/>
        <v>164.375</v>
      </c>
      <c r="Q13" s="32">
        <f t="shared" si="10"/>
        <v>164.375</v>
      </c>
      <c r="R13" s="32">
        <f t="shared" si="10"/>
        <v>164.375</v>
      </c>
      <c r="S13" s="32">
        <f t="shared" si="10"/>
        <v>164.375</v>
      </c>
      <c r="T13" s="32">
        <f t="shared" si="10"/>
        <v>164.375</v>
      </c>
      <c r="U13" s="32">
        <f t="shared" ref="U13" si="12">U10/4</f>
        <v>164.375</v>
      </c>
      <c r="V13" s="32">
        <f t="shared" si="10"/>
        <v>164.375</v>
      </c>
      <c r="W13" s="32">
        <f t="shared" si="10"/>
        <v>164.375</v>
      </c>
      <c r="X13" s="32">
        <f t="shared" si="10"/>
        <v>164.375</v>
      </c>
      <c r="Y13" s="32">
        <f t="shared" si="10"/>
        <v>164.375</v>
      </c>
      <c r="Z13" s="32">
        <f t="shared" si="10"/>
        <v>164.375</v>
      </c>
      <c r="AA13" s="32">
        <f t="shared" si="10"/>
        <v>164.375</v>
      </c>
      <c r="AB13" s="32">
        <f t="shared" si="10"/>
        <v>164.375</v>
      </c>
      <c r="AC13" s="32">
        <f t="shared" si="10"/>
        <v>164.375</v>
      </c>
      <c r="AD13" s="32">
        <f t="shared" si="10"/>
        <v>164.375</v>
      </c>
      <c r="AE13" s="32">
        <f t="shared" ref="AE13" si="13">AE10/4</f>
        <v>164.375</v>
      </c>
      <c r="AF13" s="32">
        <f t="shared" si="10"/>
        <v>164.375</v>
      </c>
      <c r="AG13" s="32">
        <f t="shared" si="10"/>
        <v>164.375</v>
      </c>
      <c r="AH13" s="32">
        <f t="shared" si="10"/>
        <v>164.375</v>
      </c>
      <c r="AI13" s="32">
        <f t="shared" si="10"/>
        <v>164.375</v>
      </c>
      <c r="AJ13" s="32">
        <f t="shared" si="10"/>
        <v>164.375</v>
      </c>
      <c r="AK13" s="32">
        <f t="shared" si="10"/>
        <v>164.375</v>
      </c>
      <c r="AL13" s="32">
        <f t="shared" si="10"/>
        <v>164.375</v>
      </c>
      <c r="AM13" s="32">
        <f t="shared" si="10"/>
        <v>164.375</v>
      </c>
    </row>
    <row r="14" spans="2:39">
      <c r="B14" s="32" t="s">
        <v>807</v>
      </c>
      <c r="C14" s="32">
        <f>2*'Design Spec'!$D$98*SIN(C4)^2</f>
        <v>0</v>
      </c>
      <c r="D14" s="32">
        <f>2*'Design Spec'!$D$98*SIN(D4)^2</f>
        <v>13.459063626484866</v>
      </c>
      <c r="E14" s="32">
        <f>2*'Design Spec'!$D$98*SIN(E4)^2</f>
        <v>53.285238859698353</v>
      </c>
      <c r="F14" s="32">
        <f>2*'Design Spec'!$D$98*SIN(F4)^2</f>
        <v>117.84803740621581</v>
      </c>
      <c r="G14" s="32">
        <f>2*'Design Spec'!$D$98*SIN(G4)^2</f>
        <v>204.50425070773605</v>
      </c>
      <c r="H14" s="32">
        <f>2*'Design Spec'!$D$98*SIN(H4)^2</f>
        <v>309.70616321002217</v>
      </c>
      <c r="I14" s="32">
        <f>2*'Design Spec'!$D$98*SIN(I4)^2</f>
        <v>429.14679625453073</v>
      </c>
      <c r="J14" s="32">
        <f>2*'Design Spec'!$D$98*SIN(J4)^2</f>
        <v>557.93623629074079</v>
      </c>
      <c r="K14" s="32">
        <f>2*'Design Spec'!$D$98*SIN(K4)^2</f>
        <v>657.49999999999989</v>
      </c>
      <c r="L14" s="32">
        <f>2*'Design Spec'!$D$98*SIN(L4)^2</f>
        <v>690.80182851145344</v>
      </c>
      <c r="M14" s="32">
        <f>2*'Design Spec'!$D$98*SIN(M4)^2</f>
        <v>822.30403996010864</v>
      </c>
      <c r="N14" s="32">
        <f>2*'Design Spec'!$D$98*SIN(N4)^2</f>
        <v>947.05915464914449</v>
      </c>
      <c r="O14" s="32">
        <f>2*'Design Spec'!$D$98*SIN(O4)^2</f>
        <v>986.24999999999989</v>
      </c>
      <c r="P14" s="32">
        <f>2*'Design Spec'!$D$98*SIN(P4)^2</f>
        <v>1059.9596835250882</v>
      </c>
      <c r="Q14" s="32">
        <f>2*'Design Spec'!$D$98*SIN(Q4)^2</f>
        <v>1156.3834656705101</v>
      </c>
      <c r="R14" s="32">
        <f>2*'Design Spec'!$D$98*SIN(R4)^2</f>
        <v>1232.3829001150627</v>
      </c>
      <c r="S14" s="32">
        <f>2*'Design Spec'!$D$98*SIN(S4)^2</f>
        <v>1284.8465610830322</v>
      </c>
      <c r="T14" s="32">
        <f>2*'Design Spec'!$D$98*SIN(T4)^2</f>
        <v>1311.6265801301711</v>
      </c>
      <c r="U14" s="32">
        <f>2*'Design Spec'!$D$98*SIN(U4)^2</f>
        <v>1315</v>
      </c>
      <c r="V14" s="32">
        <f>2*'Design Spec'!$D$98*SIN(V4)^2</f>
        <v>1311.6265801301711</v>
      </c>
      <c r="W14" s="32">
        <f>2*'Design Spec'!$D$98*SIN(W4)^2</f>
        <v>1284.8465610830322</v>
      </c>
      <c r="X14" s="32">
        <f>2*'Design Spec'!$D$98*SIN(X4)^2</f>
        <v>1232.3829001150627</v>
      </c>
      <c r="Y14" s="32">
        <f>2*'Design Spec'!$D$98*SIN(Y4)^2</f>
        <v>1156.3834656705101</v>
      </c>
      <c r="Z14" s="32">
        <f>2*'Design Spec'!$D$98*SIN(Z4)^2</f>
        <v>1059.9596835250882</v>
      </c>
      <c r="AA14" s="32">
        <f>2*'Design Spec'!$D$98*SIN(AA4)^2</f>
        <v>986.25000000000011</v>
      </c>
      <c r="AB14" s="32">
        <f>2*'Design Spec'!$D$98*SIN(AB4)^2</f>
        <v>947.05915464914449</v>
      </c>
      <c r="AC14" s="32">
        <f>2*'Design Spec'!$D$98*SIN(AC4)^2</f>
        <v>822.30403996010932</v>
      </c>
      <c r="AD14" s="32">
        <f>2*'Design Spec'!$D$98*SIN(AD4)^2</f>
        <v>690.801828511454</v>
      </c>
      <c r="AE14" s="32">
        <f>2*'Design Spec'!$D$98*SIN(AE4)^2</f>
        <v>657.50000000000011</v>
      </c>
      <c r="AF14" s="32">
        <f>2*'Design Spec'!$D$98*SIN(AF4)^2</f>
        <v>557.93623629074091</v>
      </c>
      <c r="AG14" s="32">
        <f>2*'Design Spec'!$D$98*SIN(AG4)^2</f>
        <v>429.14679625453073</v>
      </c>
      <c r="AH14" s="32">
        <f>2*'Design Spec'!$D$98*SIN(AH4)^2</f>
        <v>309.70616321002217</v>
      </c>
      <c r="AI14" s="32">
        <f>2*'Design Spec'!$D$98*SIN(AI4)^2</f>
        <v>204.50425070773611</v>
      </c>
      <c r="AJ14" s="32">
        <f>2*'Design Spec'!$D$98*SIN(AJ4)^2</f>
        <v>117.84803740621588</v>
      </c>
      <c r="AK14" s="32">
        <f>2*'Design Spec'!$D$98*SIN(AK4)^2</f>
        <v>53.285238859698403</v>
      </c>
      <c r="AL14" s="32">
        <f>2*'Design Spec'!$D$98*SIN(AL4)^2</f>
        <v>13.459063626485015</v>
      </c>
      <c r="AM14" s="32">
        <f>2*'Design Spec'!$D$98*SIN(AM4)^2</f>
        <v>1.9738001885829473E-29</v>
      </c>
    </row>
    <row r="15" spans="2:39">
      <c r="B15" s="2" t="s">
        <v>808</v>
      </c>
      <c r="C15" s="2">
        <f>C14/C5</f>
        <v>0</v>
      </c>
      <c r="D15" s="2">
        <f t="shared" ref="D15:AM15" si="14">D14/D5</f>
        <v>0.53836254505939463</v>
      </c>
      <c r="E15" s="2">
        <f t="shared" si="14"/>
        <v>2.1314095543879343</v>
      </c>
      <c r="F15" s="2">
        <f t="shared" si="14"/>
        <v>4.7139214962486324</v>
      </c>
      <c r="G15" s="2">
        <f t="shared" si="14"/>
        <v>8.1801700283094423</v>
      </c>
      <c r="H15" s="2">
        <f t="shared" si="14"/>
        <v>12.388246528400886</v>
      </c>
      <c r="I15" s="2">
        <f t="shared" si="14"/>
        <v>17.16587185018123</v>
      </c>
      <c r="J15" s="2">
        <f t="shared" si="14"/>
        <v>22.317449451629631</v>
      </c>
      <c r="K15" s="2">
        <f t="shared" si="14"/>
        <v>26.299999999999997</v>
      </c>
      <c r="L15" s="2">
        <f t="shared" si="14"/>
        <v>27.632073140458136</v>
      </c>
      <c r="M15" s="2">
        <f t="shared" si="14"/>
        <v>32.892161598404343</v>
      </c>
      <c r="N15" s="2">
        <f t="shared" si="14"/>
        <v>37.882366185965779</v>
      </c>
      <c r="O15" s="2">
        <f t="shared" si="14"/>
        <v>39.449999999999996</v>
      </c>
      <c r="P15" s="2">
        <f t="shared" si="14"/>
        <v>42.398387341003527</v>
      </c>
      <c r="Q15" s="2">
        <f t="shared" si="14"/>
        <v>46.255338626820404</v>
      </c>
      <c r="R15" s="2">
        <f t="shared" si="14"/>
        <v>49.295316004602512</v>
      </c>
      <c r="S15" s="2">
        <f t="shared" si="14"/>
        <v>51.393862443321289</v>
      </c>
      <c r="T15" s="2">
        <f t="shared" si="14"/>
        <v>52.465063205206846</v>
      </c>
      <c r="U15" s="2">
        <f t="shared" si="14"/>
        <v>52.6</v>
      </c>
      <c r="V15" s="2">
        <f t="shared" si="14"/>
        <v>52.465063205206846</v>
      </c>
      <c r="W15" s="2">
        <f t="shared" si="14"/>
        <v>51.393862443321289</v>
      </c>
      <c r="X15" s="2">
        <f t="shared" si="14"/>
        <v>49.295316004602512</v>
      </c>
      <c r="Y15" s="2">
        <f t="shared" si="14"/>
        <v>46.255338626820404</v>
      </c>
      <c r="Z15" s="2">
        <f t="shared" si="14"/>
        <v>42.398387341003527</v>
      </c>
      <c r="AA15" s="2">
        <f t="shared" si="14"/>
        <v>39.450000000000003</v>
      </c>
      <c r="AB15" s="2">
        <f t="shared" si="14"/>
        <v>37.882366185965779</v>
      </c>
      <c r="AC15" s="2">
        <f t="shared" si="14"/>
        <v>32.892161598404371</v>
      </c>
      <c r="AD15" s="2">
        <f t="shared" si="14"/>
        <v>27.632073140458161</v>
      </c>
      <c r="AE15" s="2">
        <f t="shared" si="14"/>
        <v>26.300000000000004</v>
      </c>
      <c r="AF15" s="2">
        <f t="shared" si="14"/>
        <v>22.317449451629635</v>
      </c>
      <c r="AG15" s="2">
        <f t="shared" si="14"/>
        <v>17.16587185018123</v>
      </c>
      <c r="AH15" s="2">
        <f t="shared" si="14"/>
        <v>12.388246528400886</v>
      </c>
      <c r="AI15" s="2">
        <f t="shared" si="14"/>
        <v>8.1801700283094441</v>
      </c>
      <c r="AJ15" s="2">
        <f t="shared" si="14"/>
        <v>4.7139214962486351</v>
      </c>
      <c r="AK15" s="2">
        <f t="shared" si="14"/>
        <v>2.1314095543879361</v>
      </c>
      <c r="AL15" s="2">
        <f t="shared" si="14"/>
        <v>0.53836254505940062</v>
      </c>
      <c r="AM15" s="2">
        <f t="shared" si="14"/>
        <v>7.8952007543317891E-31</v>
      </c>
    </row>
    <row r="16" spans="2:39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2:39">
      <c r="B17" s="2" t="s">
        <v>20</v>
      </c>
      <c r="C17" s="2">
        <f>'Design Spec'!$D$95</f>
        <v>25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2:39">
      <c r="B18" s="2" t="s">
        <v>138</v>
      </c>
      <c r="C18" s="2">
        <f>IF('Res. Tank Design'!$F$9,'Res. Tank Design'!$F$9,'Res. Tank Design'!$D$9)</f>
        <v>7.4527000000000001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pans="2:39">
      <c r="C19" s="4"/>
    </row>
    <row r="20" spans="2:39">
      <c r="B20" s="18" t="s">
        <v>809</v>
      </c>
      <c r="C20" s="2" t="s">
        <v>802</v>
      </c>
      <c r="D20" s="2" t="s">
        <v>803</v>
      </c>
      <c r="E20" s="2" t="s">
        <v>804</v>
      </c>
    </row>
    <row r="21" spans="2:39">
      <c r="B21" s="2" t="s">
        <v>810</v>
      </c>
      <c r="C21" s="4">
        <f>RTC!BC152</f>
        <v>100.55806933584952</v>
      </c>
      <c r="D21" s="4">
        <f>RTC!BC151</f>
        <v>104.54363405125365</v>
      </c>
      <c r="E21" s="4">
        <f>RTC!BC149</f>
        <v>108.48953112300353</v>
      </c>
    </row>
    <row r="22" spans="2:39">
      <c r="B22" s="2" t="s">
        <v>811</v>
      </c>
      <c r="C22" s="4">
        <f>'Res. Tank Design'!$D$55</f>
        <v>151.7482841316334</v>
      </c>
      <c r="D22" s="4">
        <f>'Res. Tank Design'!$D$55</f>
        <v>151.7482841316334</v>
      </c>
      <c r="E22" s="4">
        <f>'Res. Tank Design'!$D$55</f>
        <v>151.7482841316334</v>
      </c>
    </row>
    <row r="23" spans="2:39">
      <c r="B23" s="2" t="s">
        <v>808</v>
      </c>
      <c r="C23" s="4">
        <f>2*'Design Spec'!$D$98/'Design Spec'!$D$95*SIN(PI()/4)^2</f>
        <v>26.299999999999994</v>
      </c>
      <c r="D23" s="4">
        <f>2*'Design Spec'!$D$98/'Design Spec'!$D$95*SIN(PI()/3)^2</f>
        <v>39.449999999999996</v>
      </c>
      <c r="E23" s="4">
        <f>2*'Design Spec'!$D$98/'Design Spec'!$D$95*SIN(PI()/2)^2</f>
        <v>52.6</v>
      </c>
      <c r="K23" s="4"/>
      <c r="L23" s="4"/>
      <c r="M23" s="4"/>
      <c r="N23" s="4"/>
      <c r="O23" s="4"/>
      <c r="P23" s="4"/>
      <c r="Q23" s="4"/>
    </row>
    <row r="24" spans="2:39">
      <c r="B24" s="2" t="s">
        <v>812</v>
      </c>
      <c r="C24" s="2">
        <f>PI()*(C22/C21)*C23*(1-COS(PI()*C22/IF(C21&lt;C22,C22,C21)))^(-1)</f>
        <v>62.342252249813498</v>
      </c>
      <c r="D24" s="2">
        <f t="shared" ref="D24:E24" si="15">PI()*(D22/D21)*D23*(1-COS(PI()*D22/IF(D21&lt;D22,D22,D21)))^(-1)</f>
        <v>89.948325134981161</v>
      </c>
      <c r="E24" s="2">
        <f t="shared" si="15"/>
        <v>115.56905923359679</v>
      </c>
      <c r="K24" s="4"/>
      <c r="L24" s="4"/>
      <c r="M24" s="4"/>
      <c r="N24" s="4"/>
      <c r="O24" s="4"/>
      <c r="P24" s="4"/>
      <c r="Q24" s="4"/>
    </row>
    <row r="25" spans="2:39">
      <c r="B25" s="2" t="s">
        <v>813</v>
      </c>
      <c r="C25" s="58">
        <f>IF('Design Spec'!$D$107=1,C24/2,C24/SQRT(2))</f>
        <v>31.171126124906749</v>
      </c>
      <c r="D25" s="2">
        <f>IF('Design Spec'!$D$107=1,D24/2,D24/SQRT(2))</f>
        <v>44.97416256749058</v>
      </c>
      <c r="E25" s="2">
        <f>IF('Design Spec'!$D$107=1,E24/2,E24/SQRT(2))</f>
        <v>57.784529616798395</v>
      </c>
      <c r="K25" s="4"/>
      <c r="L25" s="4"/>
      <c r="M25" s="4"/>
      <c r="N25" s="4"/>
      <c r="O25" s="4"/>
      <c r="P25" s="4"/>
      <c r="Q25" s="4"/>
    </row>
    <row r="26" spans="2:39">
      <c r="B26" s="2" t="s">
        <v>814</v>
      </c>
      <c r="C26" s="58">
        <f>IF('Design Spec'!$D$107=1,C25,C25/SQRT(2))</f>
        <v>31.171126124906749</v>
      </c>
      <c r="D26" s="2">
        <f>IF('Design Spec'!$D$108=1,D25,D25/SQRT(2))</f>
        <v>31.801535329658776</v>
      </c>
      <c r="E26" s="2">
        <f>IF('Design Spec'!$D$108=1,E25,E25/SQRT(2))</f>
        <v>40.859832739713035</v>
      </c>
    </row>
    <row r="27" spans="2:39">
      <c r="B27" s="2" t="s">
        <v>815</v>
      </c>
      <c r="C27" s="2">
        <f>C24/$C$18</f>
        <v>8.3650559193062239</v>
      </c>
      <c r="D27" s="2">
        <f>D24/$C$18</f>
        <v>12.069226607133141</v>
      </c>
      <c r="E27" s="2">
        <f>E24/$C$18</f>
        <v>15.507005411944233</v>
      </c>
    </row>
    <row r="28" spans="2:39">
      <c r="B28" s="2" t="s">
        <v>816</v>
      </c>
      <c r="C28" s="2">
        <f>0.5*(0.5*$C$17*$C$18)/(IF('Res. Tank Design'!$F$45,'Res. Tank Design'!$F$45,'Res. Tank Design'!$D$45)*IF(C21&lt;C22,C22,C21))*1000</f>
        <v>12.789649008374431</v>
      </c>
      <c r="D28" s="2">
        <f>0.5*(0.5*$C$17*$C$18)/(IF('Res. Tank Design'!$F$45,'Res. Tank Design'!$F$45,'Res. Tank Design'!$D$45)*IF(D21&lt;D22,D22,D21))*1000</f>
        <v>12.789649008374431</v>
      </c>
      <c r="E28" s="2">
        <f>0.5*(0.5*$C$17*$C$18)/(IF('Res. Tank Design'!$F$45,'Res. Tank Design'!$F$45,'Res. Tank Design'!$D$45)*IF(E21&lt;E22,E22,E21))*1000</f>
        <v>12.789649008374431</v>
      </c>
    </row>
    <row r="29" spans="2:39">
      <c r="B29" s="2" t="s">
        <v>817</v>
      </c>
      <c r="C29" s="58">
        <f>SQRT(C27^2/2+C28^2/3+(C28*C21*(1/C21-1/C22))^2)</f>
        <v>10.398379039467757</v>
      </c>
      <c r="D29" s="2">
        <f>SQRT(D27^2/2+D28^2/3+(D28*D21*(1/D21-1/D22))^2)</f>
        <v>11.966061885088596</v>
      </c>
      <c r="E29" s="2">
        <f>SQRT(E27^2/2+E28^2/3+(E28*E21*(1/E21-1/E22))^2)</f>
        <v>13.713186559420354</v>
      </c>
    </row>
    <row r="30" spans="2:39">
      <c r="B30" s="2" t="s">
        <v>818</v>
      </c>
      <c r="C30" s="58">
        <f>C29/SQRT(2)</f>
        <v>7.3527643321557088</v>
      </c>
      <c r="D30" s="2">
        <f>D29/SQRT(2)</f>
        <v>8.4612835030440277</v>
      </c>
      <c r="E30" s="2">
        <f>E29/SQRT(2)</f>
        <v>9.6966872078423521</v>
      </c>
    </row>
    <row r="31" spans="2:39">
      <c r="B31" s="2" t="s">
        <v>819</v>
      </c>
      <c r="C31" s="58">
        <f>SQRT(0.5*IF(C21&gt;C22,C22,C21)/C22*(C24^2)-C23^2)</f>
        <v>24.41413111338149</v>
      </c>
    </row>
    <row r="33" spans="2:5">
      <c r="B33" s="18" t="s">
        <v>820</v>
      </c>
      <c r="C33" s="2" t="s">
        <v>802</v>
      </c>
      <c r="D33" s="2" t="s">
        <v>803</v>
      </c>
      <c r="E33" s="2" t="s">
        <v>804</v>
      </c>
    </row>
    <row r="34" spans="2:5">
      <c r="B34" s="2" t="s">
        <v>810</v>
      </c>
      <c r="C34" s="4">
        <f>RTC!BC200</f>
        <v>117.75404838414873</v>
      </c>
      <c r="D34" s="2">
        <f>RTC!BC199</f>
        <v>133.06124683601601</v>
      </c>
      <c r="E34" s="2">
        <f>RTC!BC197</f>
        <v>152.08936938083821</v>
      </c>
    </row>
    <row r="35" spans="2:5">
      <c r="B35" s="2" t="s">
        <v>811</v>
      </c>
      <c r="C35" s="4">
        <f>'Res. Tank Design'!$D$55</f>
        <v>151.7482841316334</v>
      </c>
      <c r="D35" s="2">
        <f>'Res. Tank Design'!$D$55</f>
        <v>151.7482841316334</v>
      </c>
      <c r="E35" s="2">
        <f>'Res. Tank Design'!$D$55</f>
        <v>151.7482841316334</v>
      </c>
    </row>
    <row r="36" spans="2:5">
      <c r="B36" s="2" t="s">
        <v>808</v>
      </c>
      <c r="C36" s="4">
        <f>2*'Design Spec'!$D$98/'Design Spec'!$D$95*SIN(PI()/4)^2</f>
        <v>26.299999999999994</v>
      </c>
      <c r="D36" s="2">
        <f>2*'Design Spec'!$D$98/'Design Spec'!$D$95*SIN(PI()/3)^2</f>
        <v>39.449999999999996</v>
      </c>
      <c r="E36" s="2">
        <f>2*'Design Spec'!$D$98/'Design Spec'!$D$95*SIN(PI()/2)^2</f>
        <v>52.6</v>
      </c>
    </row>
    <row r="37" spans="2:5">
      <c r="B37" s="2" t="s">
        <v>812</v>
      </c>
      <c r="C37" s="2">
        <f>PI()*(C35/C34)*C36*(1-COS(PI()*C35/IF(C34&lt;C35,C35,C34)))^(-1)</f>
        <v>53.238225014891796</v>
      </c>
      <c r="D37" s="2">
        <f t="shared" ref="D37:E37" si="16">PI()*(D35/D34)*D36*(1-COS(PI()*D35/IF(D34&lt;D35,D35,D34)))^(-1)</f>
        <v>70.67064987015722</v>
      </c>
      <c r="E37" s="2">
        <f t="shared" si="16"/>
        <v>82.439612291865075</v>
      </c>
    </row>
    <row r="38" spans="2:5">
      <c r="B38" s="2" t="s">
        <v>813</v>
      </c>
      <c r="C38" s="58">
        <f>IF('Design Spec'!$D$107=1,C37/2,C37/SQRT(2))</f>
        <v>26.619112507445898</v>
      </c>
      <c r="D38" s="2">
        <f>IF('Design Spec'!$D$107=1,D37/2,D37/SQRT(2))</f>
        <v>35.33532493507861</v>
      </c>
      <c r="E38" s="2">
        <f>IF('Design Spec'!$D$107=1,E37/2,E37/SQRT(2))</f>
        <v>41.219806145932537</v>
      </c>
    </row>
    <row r="39" spans="2:5">
      <c r="B39" s="2" t="s">
        <v>814</v>
      </c>
      <c r="C39" s="58">
        <f>IF('Design Spec'!$D$107=1,C38,C38/SQRT(2))</f>
        <v>26.619112507445898</v>
      </c>
      <c r="D39" s="2">
        <f>IF('Design Spec'!$D$108=1,D38,D38/SQRT(2))</f>
        <v>24.985847877024185</v>
      </c>
      <c r="E39" s="2">
        <f>IF('Design Spec'!$D$108=1,E38,E38/SQRT(2))</f>
        <v>29.146804444983825</v>
      </c>
    </row>
    <row r="40" spans="2:5">
      <c r="B40" s="2" t="s">
        <v>815</v>
      </c>
      <c r="C40" s="2">
        <f>C37/$C$18</f>
        <v>7.1434815590177783</v>
      </c>
      <c r="D40" s="2">
        <f>D37/$C$18</f>
        <v>9.4825566398965773</v>
      </c>
      <c r="E40" s="2">
        <f>E37/$C$18</f>
        <v>11.061710828540672</v>
      </c>
    </row>
    <row r="41" spans="2:5">
      <c r="B41" s="2" t="s">
        <v>816</v>
      </c>
      <c r="C41" s="2">
        <f>0.5*(0.5*$C$17*$C$18)/(IF('Res. Tank Design'!$F$45,'Res. Tank Design'!$F$45,'Res. Tank Design'!$D$45)*IF(C34&lt;C35,C35,C34))*1000</f>
        <v>12.789649008374431</v>
      </c>
      <c r="D41" s="2">
        <f>0.5*(0.5*$C$17*$C$18)/(IF('Res. Tank Design'!$F$45,'Res. Tank Design'!$F$45,'Res. Tank Design'!$D$45)*IF(D34&lt;D35,D35,D34))*1000</f>
        <v>12.789649008374431</v>
      </c>
      <c r="E41" s="2">
        <f>0.5*(0.5*$C$17*$C$18)/(IF('Res. Tank Design'!$F$45,'Res. Tank Design'!$F$45,'Res. Tank Design'!$D$45)*IF(E34&lt;E35,E35,E34))*1000</f>
        <v>12.760966131740629</v>
      </c>
    </row>
    <row r="42" spans="2:5">
      <c r="B42" s="2" t="s">
        <v>817</v>
      </c>
      <c r="C42" s="58">
        <f>SQRT(C40^2/2+C41^2/3+(C41*C34*(1/C34-1/C35))^2)</f>
        <v>9.3940681083712096</v>
      </c>
      <c r="D42" s="2">
        <f>SQRT(D40^2/2+D41^2/3+(D41*D34*(1/D34-1/D35))^2)</f>
        <v>10.097774290050539</v>
      </c>
      <c r="E42" s="2">
        <f>SQRT(E40^2/2+E41^2/3+(E41*E34*(1/E34-1/E35))^2)</f>
        <v>10.745338437652057</v>
      </c>
    </row>
    <row r="43" spans="2:5">
      <c r="B43" s="2" t="s">
        <v>818</v>
      </c>
      <c r="C43" s="58">
        <f t="shared" ref="C43" si="17">C42/SQRT(2)</f>
        <v>6.6426092623575652</v>
      </c>
      <c r="D43" s="2">
        <f t="shared" ref="D43" si="18">D42/SQRT(2)</f>
        <v>7.1402046753859114</v>
      </c>
      <c r="E43" s="2">
        <f>E42/SQRT(2)</f>
        <v>7.5981016754082313</v>
      </c>
    </row>
    <row r="44" spans="2:5">
      <c r="B44" s="2" t="s">
        <v>819</v>
      </c>
      <c r="C44" s="58">
        <f>SQRT(0.5*IF(C34&gt;C35,C35,C34)/C35*(C37^2)-C36^2)</f>
        <v>20.198942277379512</v>
      </c>
    </row>
    <row r="46" spans="2:5">
      <c r="B46" s="18" t="s">
        <v>821</v>
      </c>
      <c r="C46" s="2" t="s">
        <v>802</v>
      </c>
      <c r="D46" s="2" t="s">
        <v>803</v>
      </c>
      <c r="E46" s="2" t="s">
        <v>804</v>
      </c>
    </row>
    <row r="47" spans="2:5">
      <c r="B47" s="2" t="s">
        <v>810</v>
      </c>
      <c r="C47" s="4">
        <f>RTC!BC176</f>
        <v>109.68324566871813</v>
      </c>
      <c r="D47" s="2">
        <f>RTC!BC175</f>
        <v>119.31379413140024</v>
      </c>
      <c r="E47" s="2">
        <f>RTC!BC173</f>
        <v>130.73839898927929</v>
      </c>
    </row>
    <row r="48" spans="2:5">
      <c r="B48" s="2" t="s">
        <v>811</v>
      </c>
      <c r="C48" s="4">
        <f>'Res. Tank Design'!$D$55</f>
        <v>151.7482841316334</v>
      </c>
      <c r="D48" s="2">
        <f>'Res. Tank Design'!$D$55</f>
        <v>151.7482841316334</v>
      </c>
      <c r="E48" s="2">
        <f>'Res. Tank Design'!$D$55</f>
        <v>151.7482841316334</v>
      </c>
    </row>
    <row r="49" spans="2:5">
      <c r="B49" s="2" t="s">
        <v>808</v>
      </c>
      <c r="C49" s="4">
        <f>2*'Design Spec'!$D$98/'Design Spec'!$D$95*SIN(PI()/4)^2</f>
        <v>26.299999999999994</v>
      </c>
      <c r="D49" s="2">
        <f>2*'Design Spec'!$D$98/'Design Spec'!$D$95*SIN(PI()/3)^2</f>
        <v>39.449999999999996</v>
      </c>
      <c r="E49" s="2">
        <f>2*'Design Spec'!$D$98/'Design Spec'!$D$95*SIN(PI()/2)^2</f>
        <v>52.6</v>
      </c>
    </row>
    <row r="50" spans="2:5">
      <c r="B50" s="2" t="s">
        <v>812</v>
      </c>
      <c r="C50" s="2">
        <f>PI()*(C48/C47)*C49*(1-COS(PI()*C48/IF(C47&lt;C48,C48,C47)))^(-1)</f>
        <v>57.155643836656651</v>
      </c>
      <c r="D50" s="2">
        <f t="shared" ref="D50:E50" si="19">PI()*(D48/D47)*D49*(1-COS(PI()*D48/IF(D47&lt;D48,D48,D47)))^(-1)</f>
        <v>78.813391652590923</v>
      </c>
      <c r="E50" s="2">
        <f t="shared" si="19"/>
        <v>95.901687228154529</v>
      </c>
    </row>
    <row r="51" spans="2:5">
      <c r="B51" s="2" t="s">
        <v>813</v>
      </c>
      <c r="C51" s="58">
        <f>IF('Design Spec'!$D$107=1,C50/2,C50/SQRT(2))</f>
        <v>28.577821918328326</v>
      </c>
      <c r="D51" s="2">
        <f>IF('Design Spec'!$D$107=1,D50/2,D50/SQRT(2))</f>
        <v>39.406695826295461</v>
      </c>
      <c r="E51" s="2">
        <f>IF('Design Spec'!$D$107=1,E50/2,E50/SQRT(2))</f>
        <v>47.950843614077264</v>
      </c>
    </row>
    <row r="52" spans="2:5">
      <c r="B52" s="2" t="s">
        <v>814</v>
      </c>
      <c r="C52" s="58">
        <f>IF('Design Spec'!$D$107=1,C51,C51/SQRT(2))</f>
        <v>28.577821918328326</v>
      </c>
      <c r="D52" s="2">
        <f>IF('Design Spec'!$D$108=1,D51,D51/SQRT(2))</f>
        <v>27.864741842929138</v>
      </c>
      <c r="E52" s="2">
        <f>IF('Design Spec'!$D$108=1,E51,E51/SQRT(2))</f>
        <v>33.90636668312969</v>
      </c>
    </row>
    <row r="53" spans="2:5">
      <c r="B53" s="2" t="s">
        <v>815</v>
      </c>
      <c r="C53" s="2">
        <f>C50/$C$18</f>
        <v>7.6691190892772623</v>
      </c>
      <c r="D53" s="2">
        <f>D50/$C$18</f>
        <v>10.575146142014427</v>
      </c>
      <c r="E53" s="2">
        <f>E50/$C$18</f>
        <v>12.868046107874264</v>
      </c>
    </row>
    <row r="54" spans="2:5">
      <c r="B54" s="2" t="s">
        <v>816</v>
      </c>
      <c r="C54" s="2">
        <f>0.5*(0.5*$C$17*$C$18)/(IF('Res. Tank Design'!$F$45,'Res. Tank Design'!$F$45,'Res. Tank Design'!$D$45)*IF(C47&lt;C48,C48,C47))*1000</f>
        <v>12.789649008374431</v>
      </c>
      <c r="D54" s="2">
        <f>0.5*(0.5*$C$17*$C$18)/(IF('Res. Tank Design'!$F$45,'Res. Tank Design'!$F$45,'Res. Tank Design'!$D$45)*IF(D47&lt;D48,D48,D47))*1000</f>
        <v>12.789649008374431</v>
      </c>
      <c r="E54" s="2">
        <f>0.5*(0.5*$C$17*$C$18)/(IF('Res. Tank Design'!$F$45,'Res. Tank Design'!$F$45,'Res. Tank Design'!$D$45)*IF(E47&lt;E48,E48,E47))*1000</f>
        <v>12.789649008374431</v>
      </c>
    </row>
    <row r="55" spans="2:5">
      <c r="B55" s="2" t="s">
        <v>817</v>
      </c>
      <c r="C55" s="58">
        <f>SQRT(C53^2/2+C54^2/3+(C54*C47*(1/C47-1/C48))^2)</f>
        <v>9.8235466123089488</v>
      </c>
      <c r="D55" s="2">
        <f>SQRT(D53^2/2+D54^2/3+(D54*D47*(1/D47-1/D48))^2)</f>
        <v>10.858853829833089</v>
      </c>
      <c r="E55" s="2">
        <f>SQRT(E53^2/2+E54^2/3+(E54*E47*(1/E47-1/E48))^2)</f>
        <v>11.851325652798714</v>
      </c>
    </row>
    <row r="56" spans="2:5">
      <c r="B56" s="2" t="s">
        <v>818</v>
      </c>
      <c r="C56" s="58">
        <f t="shared" ref="C56:D56" si="20">C55/SQRT(2)</f>
        <v>6.9462964248657935</v>
      </c>
      <c r="D56" s="2">
        <f t="shared" si="20"/>
        <v>7.6783691789884889</v>
      </c>
      <c r="E56" s="2">
        <f>E55/SQRT(2)</f>
        <v>8.3801527351440566</v>
      </c>
    </row>
    <row r="57" spans="2:5">
      <c r="B57" s="2" t="s">
        <v>819</v>
      </c>
      <c r="C57" s="58">
        <f>SQRT(0.5*IF(C47&gt;C48,C48,C47)/C48*(C50^2)-C49^2)</f>
        <v>22.111430560548587</v>
      </c>
    </row>
  </sheetData>
  <pageMargins left="0.7" right="0.7" top="0.75" bottom="0.75" header="0.3" footer="0.3"/>
  <customProperties>
    <customPr name="IbpWorksheetKeyString_GUID" r:id="rId1"/>
  </customPropertie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FD27-583D-4C13-8562-649ED46A2653}">
  <sheetPr>
    <tabColor rgb="FFFF0000"/>
  </sheetPr>
  <dimension ref="A1:GZ266"/>
  <sheetViews>
    <sheetView zoomScale="50" zoomScaleNormal="50" workbookViewId="0">
      <selection activeCell="AR21" sqref="AR21"/>
    </sheetView>
  </sheetViews>
  <sheetFormatPr defaultColWidth="8.7109375" defaultRowHeight="15"/>
  <cols>
    <col min="1" max="2" width="8.7109375" style="35"/>
    <col min="3" max="3" width="10.28515625" style="35" customWidth="1"/>
    <col min="4" max="6" width="8.7109375" style="35"/>
    <col min="7" max="7" width="11.42578125" style="35" bestFit="1" customWidth="1"/>
    <col min="8" max="9" width="8.7109375" style="35"/>
    <col min="10" max="10" width="12" style="35" bestFit="1" customWidth="1"/>
    <col min="11" max="12" width="12" style="35" customWidth="1"/>
    <col min="13" max="14" width="8.7109375" style="35"/>
    <col min="15" max="15" width="9.140625" style="35" customWidth="1"/>
    <col min="16" max="20" width="8.7109375" style="35"/>
    <col min="21" max="21" width="12" style="35" bestFit="1" customWidth="1"/>
    <col min="22" max="22" width="8.7109375" style="35"/>
    <col min="23" max="23" width="12" style="35" bestFit="1" customWidth="1"/>
    <col min="24" max="26" width="8.7109375" style="35"/>
    <col min="27" max="27" width="9.140625" style="35" customWidth="1"/>
    <col min="28" max="39" width="8.7109375" style="35"/>
    <col min="40" max="208" width="8.7109375" style="2"/>
    <col min="209" max="16384" width="8.7109375" style="35"/>
  </cols>
  <sheetData>
    <row r="1" spans="1:28" ht="15.75">
      <c r="A1" s="184" t="s">
        <v>822</v>
      </c>
      <c r="I1" s="35" t="s">
        <v>823</v>
      </c>
    </row>
    <row r="2" spans="1:28" ht="15.75">
      <c r="A2" s="184"/>
    </row>
    <row r="3" spans="1:28" ht="36">
      <c r="A3" s="185" t="s">
        <v>824</v>
      </c>
      <c r="B3" s="185" t="s">
        <v>825</v>
      </c>
      <c r="C3" s="185" t="s">
        <v>826</v>
      </c>
      <c r="D3" s="185" t="s">
        <v>827</v>
      </c>
      <c r="E3" s="185" t="s">
        <v>828</v>
      </c>
      <c r="F3" s="185" t="s">
        <v>829</v>
      </c>
      <c r="G3" s="185" t="s">
        <v>830</v>
      </c>
      <c r="H3" s="185" t="s">
        <v>831</v>
      </c>
      <c r="I3" s="185" t="s">
        <v>832</v>
      </c>
      <c r="J3" s="185" t="s">
        <v>833</v>
      </c>
      <c r="K3" s="185"/>
      <c r="L3" s="185" t="s">
        <v>834</v>
      </c>
      <c r="M3" s="185" t="s">
        <v>835</v>
      </c>
      <c r="N3" s="185" t="s">
        <v>836</v>
      </c>
      <c r="O3" s="185" t="s">
        <v>824</v>
      </c>
      <c r="P3" s="185" t="s">
        <v>825</v>
      </c>
      <c r="Q3" s="185" t="s">
        <v>826</v>
      </c>
      <c r="R3" s="185" t="s">
        <v>827</v>
      </c>
      <c r="S3" s="185" t="s">
        <v>248</v>
      </c>
      <c r="U3" s="185" t="s">
        <v>837</v>
      </c>
      <c r="V3" s="185" t="s">
        <v>824</v>
      </c>
      <c r="W3" s="185" t="s">
        <v>825</v>
      </c>
      <c r="X3" s="185" t="s">
        <v>826</v>
      </c>
      <c r="Y3" s="185" t="s">
        <v>827</v>
      </c>
      <c r="Z3" s="185" t="s">
        <v>248</v>
      </c>
      <c r="AA3" s="185" t="s">
        <v>838</v>
      </c>
      <c r="AB3" s="185" t="s">
        <v>839</v>
      </c>
    </row>
    <row r="4" spans="1:28">
      <c r="A4" s="35">
        <v>25</v>
      </c>
      <c r="B4" s="186">
        <v>3300</v>
      </c>
      <c r="C4" s="187">
        <v>20</v>
      </c>
      <c r="D4" s="35">
        <v>30</v>
      </c>
      <c r="E4" s="187">
        <v>2.0499999999999998</v>
      </c>
      <c r="F4" s="35">
        <v>0.2</v>
      </c>
      <c r="G4" s="187">
        <f>F4/(2*PI()*120*B4*10^-6)</f>
        <v>8.0381284389846139E-2</v>
      </c>
      <c r="H4" s="35">
        <f>0.001*D4*PI()*(C4/2)^2</f>
        <v>9.4247779607693793</v>
      </c>
      <c r="I4" s="35">
        <f>B4/H4</f>
        <v>350.14087480216978</v>
      </c>
      <c r="J4" s="35">
        <f>0.5*I4*A4^2</f>
        <v>109419.02337567805</v>
      </c>
      <c r="L4" s="35" t="str">
        <f>IF(AND($W$9&lt;A4,D4&lt;=$W$14),0.5*I4*$W$7,"")</f>
        <v/>
      </c>
      <c r="M4" s="35" t="str">
        <f>IF(L4&lt;&gt;"",ROUNDUP($W$12/B4,0)*H4,"")</f>
        <v/>
      </c>
      <c r="N4" s="35" t="str">
        <f>IF(M4=MIN($M$4:$M$266),M4,"")</f>
        <v/>
      </c>
      <c r="O4" s="35" t="str">
        <f>IF($N4=MIN($M$4:$M$266),A4,"")</f>
        <v/>
      </c>
      <c r="P4" s="35" t="str">
        <f>IF($N4=MIN($M$4:$M$266),B4,"")</f>
        <v/>
      </c>
      <c r="Q4" s="35" t="str">
        <f>IF($N4=MIN($M$4:$M$266),C4,"")</f>
        <v/>
      </c>
      <c r="R4" s="35" t="str">
        <f>IF($N4=MIN($M$4:$M$266),D4,"")</f>
        <v/>
      </c>
      <c r="S4" s="35" t="str">
        <f>IF($N4=MIN($M$4:$M$266),G4,"")</f>
        <v/>
      </c>
      <c r="U4" s="35">
        <f t="shared" ref="U4:Z4" si="0">IF(MAX(N4:N266)&lt;&gt;0,MAX(N4:N266),"")</f>
        <v>141.37166941154069</v>
      </c>
      <c r="V4" s="35">
        <f t="shared" si="0"/>
        <v>50</v>
      </c>
      <c r="W4" s="35">
        <f t="shared" si="0"/>
        <v>4700</v>
      </c>
      <c r="X4" s="35">
        <f t="shared" si="0"/>
        <v>30</v>
      </c>
      <c r="Y4" s="35">
        <f t="shared" si="0"/>
        <v>25</v>
      </c>
      <c r="Z4" s="35">
        <f t="shared" si="0"/>
        <v>8.4656884623348583E-2</v>
      </c>
      <c r="AA4" s="35">
        <f>IF(W4&lt;&gt;"",ROUNDUP(W12/W4,0),"")</f>
        <v>8</v>
      </c>
      <c r="AB4" s="35">
        <f>0.001*AA4*Y4*PI()*(X4/2)^2</f>
        <v>141.37166941154069</v>
      </c>
    </row>
    <row r="5" spans="1:28">
      <c r="A5" s="35">
        <v>25</v>
      </c>
      <c r="B5" s="186">
        <v>3300</v>
      </c>
      <c r="C5" s="187">
        <v>22</v>
      </c>
      <c r="D5" s="35">
        <v>25</v>
      </c>
      <c r="E5" s="187">
        <v>2.1</v>
      </c>
      <c r="F5" s="35">
        <v>0.2</v>
      </c>
      <c r="G5" s="187">
        <f t="shared" ref="G5:G27" si="1">F5/(2*PI()*120*B5*10^-6)</f>
        <v>8.0381284389846139E-2</v>
      </c>
      <c r="H5" s="35">
        <f t="shared" ref="H5:H27" si="2">0.001*D5*PI()*(C5/2)^2</f>
        <v>9.5033177771091246</v>
      </c>
      <c r="I5" s="35">
        <f t="shared" ref="I5:I27" si="3">B5/H5</f>
        <v>347.24714856413527</v>
      </c>
      <c r="J5" s="35">
        <f t="shared" ref="J5:J27" si="4">0.5*I5*A5^2</f>
        <v>108514.73392629228</v>
      </c>
      <c r="L5" s="35" t="str">
        <f t="shared" ref="L5:L27" si="5">IF(AND($W$9&lt;A5,D5&lt;=$W$14),0.5*I5*$W$7,"")</f>
        <v/>
      </c>
      <c r="M5" s="35" t="str">
        <f t="shared" ref="M5:M68" si="6">IF(L5&lt;&gt;"",ROUNDUP($W$12/B5,0)*H5,"")</f>
        <v/>
      </c>
      <c r="N5" s="35" t="str">
        <f t="shared" ref="N5:N68" si="7">IF(M5=MIN($M$4:$M$266),M5,"")</f>
        <v/>
      </c>
      <c r="O5" s="35" t="str">
        <f t="shared" ref="O5:O68" si="8">IF($N5=MIN($M$4:$M$266),A5,"")</f>
        <v/>
      </c>
      <c r="P5" s="35" t="str">
        <f t="shared" ref="P5:P68" si="9">IF($N5=MIN($M$4:$M$266),B5,"")</f>
        <v/>
      </c>
      <c r="Q5" s="35" t="str">
        <f t="shared" ref="Q5:Q68" si="10">IF($N5=MIN($M$4:$M$266),C5,"")</f>
        <v/>
      </c>
      <c r="R5" s="35" t="str">
        <f t="shared" ref="R5:R68" si="11">IF($N5=MIN($M$4:$M$266),D5,"")</f>
        <v/>
      </c>
      <c r="S5" s="35" t="str">
        <f t="shared" ref="S5:S68" si="12">IF($N5=MIN($M$4:$M$266),G5,"")</f>
        <v/>
      </c>
    </row>
    <row r="6" spans="1:28">
      <c r="A6" s="35">
        <v>25</v>
      </c>
      <c r="B6" s="186">
        <v>4700</v>
      </c>
      <c r="C6" s="187">
        <v>20</v>
      </c>
      <c r="D6" s="35">
        <v>30</v>
      </c>
      <c r="E6" s="187">
        <v>2.5</v>
      </c>
      <c r="F6" s="35">
        <v>0.3</v>
      </c>
      <c r="G6" s="187">
        <f t="shared" si="1"/>
        <v>8.4656884623348583E-2</v>
      </c>
      <c r="H6" s="35">
        <f t="shared" si="2"/>
        <v>9.4247779607693793</v>
      </c>
      <c r="I6" s="35">
        <f t="shared" si="3"/>
        <v>498.68548835460541</v>
      </c>
      <c r="J6" s="35">
        <f t="shared" si="4"/>
        <v>155839.2151108142</v>
      </c>
      <c r="L6" s="35" t="str">
        <f t="shared" si="5"/>
        <v/>
      </c>
      <c r="M6" s="35" t="str">
        <f t="shared" si="6"/>
        <v/>
      </c>
      <c r="N6" s="35" t="str">
        <f t="shared" si="7"/>
        <v/>
      </c>
      <c r="O6" s="35" t="str">
        <f t="shared" si="8"/>
        <v/>
      </c>
      <c r="P6" s="35" t="str">
        <f t="shared" si="9"/>
        <v/>
      </c>
      <c r="Q6" s="35" t="str">
        <f t="shared" si="10"/>
        <v/>
      </c>
      <c r="R6" s="35" t="str">
        <f t="shared" si="11"/>
        <v/>
      </c>
      <c r="S6" s="35" t="str">
        <f t="shared" si="12"/>
        <v/>
      </c>
    </row>
    <row r="7" spans="1:28">
      <c r="A7" s="35">
        <v>25</v>
      </c>
      <c r="B7" s="186">
        <v>4700</v>
      </c>
      <c r="C7" s="187">
        <v>22</v>
      </c>
      <c r="D7" s="35">
        <v>25</v>
      </c>
      <c r="E7" s="187">
        <v>2.2000000000000002</v>
      </c>
      <c r="F7" s="35">
        <v>0.3</v>
      </c>
      <c r="G7" s="187">
        <f t="shared" si="1"/>
        <v>8.4656884623348583E-2</v>
      </c>
      <c r="H7" s="35">
        <f t="shared" si="2"/>
        <v>9.5033177771091246</v>
      </c>
      <c r="I7" s="35">
        <f t="shared" si="3"/>
        <v>494.56412068225325</v>
      </c>
      <c r="J7" s="35">
        <f t="shared" si="4"/>
        <v>154551.28771320413</v>
      </c>
      <c r="L7" s="35" t="str">
        <f t="shared" si="5"/>
        <v/>
      </c>
      <c r="M7" s="35" t="str">
        <f t="shared" si="6"/>
        <v/>
      </c>
      <c r="N7" s="35" t="str">
        <f t="shared" si="7"/>
        <v/>
      </c>
      <c r="O7" s="35" t="str">
        <f t="shared" si="8"/>
        <v/>
      </c>
      <c r="P7" s="35" t="str">
        <f t="shared" si="9"/>
        <v/>
      </c>
      <c r="Q7" s="35" t="str">
        <f t="shared" si="10"/>
        <v/>
      </c>
      <c r="R7" s="35" t="str">
        <f t="shared" si="11"/>
        <v/>
      </c>
      <c r="S7" s="35" t="str">
        <f t="shared" si="12"/>
        <v/>
      </c>
      <c r="U7" s="35" t="s">
        <v>840</v>
      </c>
      <c r="W7" s="35">
        <f>'Design Spec'!D95</f>
        <v>25</v>
      </c>
      <c r="X7" s="35" t="s">
        <v>841</v>
      </c>
    </row>
    <row r="8" spans="1:28">
      <c r="A8" s="35">
        <v>25</v>
      </c>
      <c r="B8" s="186">
        <v>5600</v>
      </c>
      <c r="C8" s="187">
        <v>22</v>
      </c>
      <c r="D8" s="35">
        <v>31</v>
      </c>
      <c r="E8" s="187">
        <v>2.6</v>
      </c>
      <c r="F8" s="35">
        <v>0.3</v>
      </c>
      <c r="G8" s="187">
        <f t="shared" si="1"/>
        <v>7.1051313880310427E-2</v>
      </c>
      <c r="H8" s="35">
        <f t="shared" si="2"/>
        <v>11.784114043615313</v>
      </c>
      <c r="I8" s="35">
        <f t="shared" si="3"/>
        <v>475.2160390907033</v>
      </c>
      <c r="J8" s="35">
        <f t="shared" si="4"/>
        <v>148505.01221584479</v>
      </c>
      <c r="L8" s="35" t="str">
        <f t="shared" si="5"/>
        <v/>
      </c>
      <c r="M8" s="35" t="str">
        <f t="shared" si="6"/>
        <v/>
      </c>
      <c r="N8" s="35" t="str">
        <f t="shared" si="7"/>
        <v/>
      </c>
      <c r="O8" s="35" t="str">
        <f t="shared" si="8"/>
        <v/>
      </c>
      <c r="P8" s="35" t="str">
        <f t="shared" si="9"/>
        <v/>
      </c>
      <c r="Q8" s="35" t="str">
        <f t="shared" si="10"/>
        <v/>
      </c>
      <c r="R8" s="35" t="str">
        <f t="shared" si="11"/>
        <v/>
      </c>
      <c r="S8" s="35" t="str">
        <f t="shared" si="12"/>
        <v/>
      </c>
      <c r="U8" s="35" t="s">
        <v>842</v>
      </c>
      <c r="W8" s="35">
        <f>'Design Spec'!D97</f>
        <v>10</v>
      </c>
    </row>
    <row r="9" spans="1:28">
      <c r="A9" s="35">
        <v>25</v>
      </c>
      <c r="B9" s="186">
        <v>6800</v>
      </c>
      <c r="C9" s="187">
        <v>22</v>
      </c>
      <c r="D9" s="35">
        <v>30</v>
      </c>
      <c r="E9" s="187">
        <v>2.85</v>
      </c>
      <c r="F9" s="35">
        <v>0.3</v>
      </c>
      <c r="G9" s="187">
        <f t="shared" si="1"/>
        <v>5.8512846724961529E-2</v>
      </c>
      <c r="H9" s="35">
        <f t="shared" si="2"/>
        <v>11.403981332530948</v>
      </c>
      <c r="I9" s="35">
        <f t="shared" si="3"/>
        <v>596.28298238285856</v>
      </c>
      <c r="J9" s="35">
        <f t="shared" si="4"/>
        <v>186338.4319946433</v>
      </c>
      <c r="L9" s="35" t="str">
        <f t="shared" si="5"/>
        <v/>
      </c>
      <c r="M9" s="35" t="str">
        <f t="shared" si="6"/>
        <v/>
      </c>
      <c r="N9" s="35" t="str">
        <f t="shared" si="7"/>
        <v/>
      </c>
      <c r="O9" s="35" t="str">
        <f t="shared" si="8"/>
        <v/>
      </c>
      <c r="P9" s="35" t="str">
        <f t="shared" si="9"/>
        <v/>
      </c>
      <c r="Q9" s="35" t="str">
        <f t="shared" si="10"/>
        <v/>
      </c>
      <c r="R9" s="35" t="str">
        <f t="shared" si="11"/>
        <v/>
      </c>
      <c r="S9" s="35" t="str">
        <f t="shared" si="12"/>
        <v/>
      </c>
      <c r="U9" s="35" t="s">
        <v>843</v>
      </c>
      <c r="W9" s="35">
        <f>W7+0.5*W7*W8/100+5</f>
        <v>31.25</v>
      </c>
    </row>
    <row r="10" spans="1:28">
      <c r="A10" s="35">
        <v>25</v>
      </c>
      <c r="B10" s="186">
        <v>6800</v>
      </c>
      <c r="C10" s="187">
        <v>25</v>
      </c>
      <c r="D10" s="35">
        <v>26</v>
      </c>
      <c r="E10" s="187">
        <v>2.7</v>
      </c>
      <c r="F10" s="35">
        <v>0.3</v>
      </c>
      <c r="G10" s="187">
        <f t="shared" si="1"/>
        <v>5.8512846724961529E-2</v>
      </c>
      <c r="H10" s="35">
        <f t="shared" si="2"/>
        <v>12.762720155208536</v>
      </c>
      <c r="I10" s="35">
        <f t="shared" si="3"/>
        <v>532.80177871994499</v>
      </c>
      <c r="J10" s="35">
        <f t="shared" si="4"/>
        <v>166500.5558499828</v>
      </c>
      <c r="L10" s="35" t="str">
        <f t="shared" si="5"/>
        <v/>
      </c>
      <c r="M10" s="35" t="str">
        <f t="shared" si="6"/>
        <v/>
      </c>
      <c r="N10" s="35" t="str">
        <f t="shared" si="7"/>
        <v/>
      </c>
      <c r="O10" s="35" t="str">
        <f t="shared" si="8"/>
        <v/>
      </c>
      <c r="P10" s="35" t="str">
        <f t="shared" si="9"/>
        <v/>
      </c>
      <c r="Q10" s="35" t="str">
        <f t="shared" si="10"/>
        <v/>
      </c>
      <c r="R10" s="35" t="str">
        <f t="shared" si="11"/>
        <v/>
      </c>
      <c r="S10" s="35" t="str">
        <f t="shared" si="12"/>
        <v/>
      </c>
      <c r="U10" s="35" t="s">
        <v>844</v>
      </c>
      <c r="W10" s="188">
        <f>'Power Components'!D21</f>
        <v>35623.617049505083</v>
      </c>
      <c r="X10" s="35" t="s">
        <v>841</v>
      </c>
    </row>
    <row r="11" spans="1:28">
      <c r="A11" s="35">
        <v>25</v>
      </c>
      <c r="B11" s="186">
        <v>8200</v>
      </c>
      <c r="C11" s="187">
        <v>22</v>
      </c>
      <c r="D11" s="35">
        <v>35</v>
      </c>
      <c r="E11" s="187">
        <v>3</v>
      </c>
      <c r="F11" s="35">
        <v>0.3</v>
      </c>
      <c r="G11" s="187">
        <f t="shared" si="1"/>
        <v>4.8522848503626627E-2</v>
      </c>
      <c r="H11" s="35">
        <f t="shared" si="2"/>
        <v>13.304644887952776</v>
      </c>
      <c r="I11" s="35">
        <f t="shared" si="3"/>
        <v>616.3261078411058</v>
      </c>
      <c r="J11" s="35">
        <f t="shared" si="4"/>
        <v>192601.90870034555</v>
      </c>
      <c r="L11" s="35" t="str">
        <f t="shared" si="5"/>
        <v/>
      </c>
      <c r="M11" s="35" t="str">
        <f t="shared" si="6"/>
        <v/>
      </c>
      <c r="N11" s="35" t="str">
        <f t="shared" si="7"/>
        <v/>
      </c>
      <c r="O11" s="35" t="str">
        <f t="shared" si="8"/>
        <v/>
      </c>
      <c r="P11" s="35" t="str">
        <f t="shared" si="9"/>
        <v/>
      </c>
      <c r="Q11" s="35" t="str">
        <f t="shared" si="10"/>
        <v/>
      </c>
      <c r="R11" s="35" t="str">
        <f t="shared" si="11"/>
        <v/>
      </c>
      <c r="S11" s="35" t="str">
        <f t="shared" si="12"/>
        <v/>
      </c>
      <c r="U11" s="35" t="s">
        <v>845</v>
      </c>
      <c r="W11" s="188">
        <f>'Power Components'!D22</f>
        <v>35636.856368563691</v>
      </c>
      <c r="X11" s="35" t="s">
        <v>841</v>
      </c>
    </row>
    <row r="12" spans="1:28">
      <c r="A12" s="35">
        <v>25</v>
      </c>
      <c r="B12" s="186">
        <v>8200</v>
      </c>
      <c r="C12" s="187">
        <v>25</v>
      </c>
      <c r="D12" s="35">
        <v>26</v>
      </c>
      <c r="E12" s="187">
        <v>3</v>
      </c>
      <c r="F12" s="35">
        <v>0.3</v>
      </c>
      <c r="G12" s="187">
        <f t="shared" si="1"/>
        <v>4.8522848503626627E-2</v>
      </c>
      <c r="H12" s="35">
        <f t="shared" si="2"/>
        <v>12.762720155208536</v>
      </c>
      <c r="I12" s="35">
        <f t="shared" si="3"/>
        <v>642.49626257405134</v>
      </c>
      <c r="J12" s="35">
        <f t="shared" si="4"/>
        <v>200780.08205439104</v>
      </c>
      <c r="L12" s="35" t="str">
        <f t="shared" si="5"/>
        <v/>
      </c>
      <c r="M12" s="35" t="str">
        <f t="shared" si="6"/>
        <v/>
      </c>
      <c r="N12" s="35" t="str">
        <f t="shared" si="7"/>
        <v/>
      </c>
      <c r="O12" s="35" t="str">
        <f t="shared" si="8"/>
        <v/>
      </c>
      <c r="P12" s="35" t="str">
        <f t="shared" si="9"/>
        <v/>
      </c>
      <c r="Q12" s="35" t="str">
        <f t="shared" si="10"/>
        <v/>
      </c>
      <c r="R12" s="35" t="str">
        <f t="shared" si="11"/>
        <v/>
      </c>
      <c r="S12" s="35" t="str">
        <f t="shared" si="12"/>
        <v/>
      </c>
      <c r="U12" s="35" t="s">
        <v>846</v>
      </c>
      <c r="W12" s="35">
        <f>MAX(W10,W11)</f>
        <v>35636.856368563691</v>
      </c>
    </row>
    <row r="13" spans="1:28">
      <c r="A13" s="35">
        <v>25</v>
      </c>
      <c r="B13" s="186">
        <v>10000</v>
      </c>
      <c r="C13" s="187">
        <v>30</v>
      </c>
      <c r="D13" s="35">
        <v>25</v>
      </c>
      <c r="E13" s="187">
        <v>3.1</v>
      </c>
      <c r="F13" s="35">
        <v>0.35</v>
      </c>
      <c r="G13" s="187">
        <f t="shared" si="1"/>
        <v>4.6420191735136146E-2</v>
      </c>
      <c r="H13" s="35">
        <f t="shared" si="2"/>
        <v>17.671458676442587</v>
      </c>
      <c r="I13" s="35">
        <f t="shared" si="3"/>
        <v>565.88424210451672</v>
      </c>
      <c r="J13" s="35">
        <f t="shared" si="4"/>
        <v>176838.82565766148</v>
      </c>
      <c r="L13" s="35" t="str">
        <f t="shared" si="5"/>
        <v/>
      </c>
      <c r="M13" s="35" t="str">
        <f t="shared" si="6"/>
        <v/>
      </c>
      <c r="N13" s="35" t="str">
        <f t="shared" si="7"/>
        <v/>
      </c>
      <c r="O13" s="35" t="str">
        <f t="shared" si="8"/>
        <v/>
      </c>
      <c r="P13" s="35" t="str">
        <f t="shared" si="9"/>
        <v/>
      </c>
      <c r="Q13" s="35" t="str">
        <f t="shared" si="10"/>
        <v/>
      </c>
      <c r="R13" s="35" t="str">
        <f t="shared" si="11"/>
        <v/>
      </c>
      <c r="S13" s="35" t="str">
        <f t="shared" si="12"/>
        <v/>
      </c>
      <c r="U13" s="35" t="s">
        <v>847</v>
      </c>
      <c r="W13" s="35">
        <f>'Design Spec'!D92</f>
        <v>25</v>
      </c>
      <c r="X13" s="35" t="s">
        <v>841</v>
      </c>
    </row>
    <row r="14" spans="1:28">
      <c r="A14" s="35">
        <v>25</v>
      </c>
      <c r="B14" s="186">
        <v>10000</v>
      </c>
      <c r="C14" s="187">
        <v>25</v>
      </c>
      <c r="D14" s="35">
        <v>31</v>
      </c>
      <c r="E14" s="187">
        <v>3.15</v>
      </c>
      <c r="F14" s="35">
        <v>0.35</v>
      </c>
      <c r="G14" s="187">
        <f t="shared" si="1"/>
        <v>4.6420191735136146E-2</v>
      </c>
      <c r="H14" s="35">
        <f t="shared" si="2"/>
        <v>15.217089415825559</v>
      </c>
      <c r="I14" s="35">
        <f t="shared" si="3"/>
        <v>657.1558940568583</v>
      </c>
      <c r="J14" s="35">
        <f t="shared" si="4"/>
        <v>205361.21689276822</v>
      </c>
      <c r="L14" s="35" t="str">
        <f t="shared" si="5"/>
        <v/>
      </c>
      <c r="M14" s="35" t="str">
        <f t="shared" si="6"/>
        <v/>
      </c>
      <c r="N14" s="35" t="str">
        <f t="shared" si="7"/>
        <v/>
      </c>
      <c r="O14" s="35" t="str">
        <f t="shared" si="8"/>
        <v/>
      </c>
      <c r="P14" s="35" t="str">
        <f t="shared" si="9"/>
        <v/>
      </c>
      <c r="Q14" s="35" t="str">
        <f t="shared" si="10"/>
        <v/>
      </c>
      <c r="R14" s="35" t="str">
        <f t="shared" si="11"/>
        <v/>
      </c>
      <c r="S14" s="35" t="str">
        <f t="shared" si="12"/>
        <v/>
      </c>
      <c r="U14" s="35" t="s">
        <v>848</v>
      </c>
      <c r="W14" s="35">
        <f>IF(W13&lt;1,100,W13)</f>
        <v>25</v>
      </c>
    </row>
    <row r="15" spans="1:28">
      <c r="A15" s="35">
        <v>25</v>
      </c>
      <c r="B15" s="186">
        <v>12000</v>
      </c>
      <c r="C15" s="187">
        <v>22</v>
      </c>
      <c r="D15" s="35">
        <v>50</v>
      </c>
      <c r="E15" s="187">
        <v>3.8</v>
      </c>
      <c r="F15" s="35">
        <v>0.35</v>
      </c>
      <c r="G15" s="187">
        <f t="shared" si="1"/>
        <v>3.8683493112613453E-2</v>
      </c>
      <c r="H15" s="35">
        <f t="shared" si="2"/>
        <v>19.006635554218249</v>
      </c>
      <c r="I15" s="35">
        <f t="shared" si="3"/>
        <v>631.35845193479145</v>
      </c>
      <c r="J15" s="35">
        <f t="shared" si="4"/>
        <v>197299.51622962233</v>
      </c>
      <c r="L15" s="35" t="str">
        <f t="shared" si="5"/>
        <v/>
      </c>
      <c r="M15" s="35" t="str">
        <f t="shared" si="6"/>
        <v/>
      </c>
      <c r="N15" s="35" t="str">
        <f t="shared" si="7"/>
        <v/>
      </c>
      <c r="O15" s="35" t="str">
        <f t="shared" si="8"/>
        <v/>
      </c>
      <c r="P15" s="35" t="str">
        <f t="shared" si="9"/>
        <v/>
      </c>
      <c r="Q15" s="35" t="str">
        <f t="shared" si="10"/>
        <v/>
      </c>
      <c r="R15" s="35" t="str">
        <f t="shared" si="11"/>
        <v/>
      </c>
      <c r="S15" s="35" t="str">
        <f t="shared" si="12"/>
        <v/>
      </c>
    </row>
    <row r="16" spans="1:28">
      <c r="A16" s="35">
        <v>25</v>
      </c>
      <c r="B16" s="186">
        <v>12000</v>
      </c>
      <c r="C16" s="187">
        <v>25</v>
      </c>
      <c r="D16" s="35">
        <v>40</v>
      </c>
      <c r="E16" s="187">
        <v>3.75</v>
      </c>
      <c r="F16" s="35">
        <v>0.35</v>
      </c>
      <c r="G16" s="187">
        <f t="shared" si="1"/>
        <v>3.8683493112613453E-2</v>
      </c>
      <c r="H16" s="35">
        <f t="shared" si="2"/>
        <v>19.634954084936208</v>
      </c>
      <c r="I16" s="35">
        <f t="shared" si="3"/>
        <v>611.15498147287803</v>
      </c>
      <c r="J16" s="35">
        <f t="shared" si="4"/>
        <v>190985.9317102744</v>
      </c>
      <c r="L16" s="35" t="str">
        <f t="shared" si="5"/>
        <v/>
      </c>
      <c r="M16" s="35" t="str">
        <f t="shared" si="6"/>
        <v/>
      </c>
      <c r="N16" s="35" t="str">
        <f t="shared" si="7"/>
        <v/>
      </c>
      <c r="O16" s="35" t="str">
        <f t="shared" si="8"/>
        <v/>
      </c>
      <c r="P16" s="35" t="str">
        <f t="shared" si="9"/>
        <v/>
      </c>
      <c r="Q16" s="35" t="str">
        <f t="shared" si="10"/>
        <v/>
      </c>
      <c r="R16" s="35" t="str">
        <f t="shared" si="11"/>
        <v/>
      </c>
      <c r="S16" s="35" t="str">
        <f t="shared" si="12"/>
        <v/>
      </c>
    </row>
    <row r="17" spans="1:19">
      <c r="A17" s="35">
        <v>25</v>
      </c>
      <c r="B17" s="186">
        <v>15000</v>
      </c>
      <c r="C17" s="187">
        <v>22</v>
      </c>
      <c r="D17" s="35">
        <v>50</v>
      </c>
      <c r="E17" s="187">
        <v>3.8</v>
      </c>
      <c r="F17" s="35">
        <v>0.35</v>
      </c>
      <c r="G17" s="187">
        <f t="shared" si="1"/>
        <v>3.0946794490090763E-2</v>
      </c>
      <c r="H17" s="35">
        <f t="shared" si="2"/>
        <v>19.006635554218249</v>
      </c>
      <c r="I17" s="35">
        <f t="shared" si="3"/>
        <v>789.19806491848931</v>
      </c>
      <c r="J17" s="35">
        <f t="shared" si="4"/>
        <v>246624.3952870279</v>
      </c>
      <c r="L17" s="35" t="str">
        <f t="shared" si="5"/>
        <v/>
      </c>
      <c r="M17" s="35" t="str">
        <f t="shared" si="6"/>
        <v/>
      </c>
      <c r="N17" s="35" t="str">
        <f t="shared" si="7"/>
        <v/>
      </c>
      <c r="O17" s="35" t="str">
        <f t="shared" si="8"/>
        <v/>
      </c>
      <c r="P17" s="35" t="str">
        <f t="shared" si="9"/>
        <v/>
      </c>
      <c r="Q17" s="35" t="str">
        <f t="shared" si="10"/>
        <v/>
      </c>
      <c r="R17" s="35" t="str">
        <f t="shared" si="11"/>
        <v/>
      </c>
      <c r="S17" s="35" t="str">
        <f t="shared" si="12"/>
        <v/>
      </c>
    </row>
    <row r="18" spans="1:19">
      <c r="A18" s="35">
        <v>25</v>
      </c>
      <c r="B18" s="186">
        <v>15000</v>
      </c>
      <c r="C18" s="187">
        <v>30</v>
      </c>
      <c r="D18" s="35">
        <v>35</v>
      </c>
      <c r="E18" s="187">
        <v>3.5</v>
      </c>
      <c r="F18" s="35">
        <v>0.35</v>
      </c>
      <c r="G18" s="187">
        <f t="shared" si="1"/>
        <v>3.0946794490090763E-2</v>
      </c>
      <c r="H18" s="35">
        <f t="shared" si="2"/>
        <v>24.740042147019626</v>
      </c>
      <c r="I18" s="35">
        <f t="shared" si="3"/>
        <v>606.30454511198218</v>
      </c>
      <c r="J18" s="35">
        <f t="shared" si="4"/>
        <v>189470.17034749442</v>
      </c>
      <c r="L18" s="35" t="str">
        <f t="shared" si="5"/>
        <v/>
      </c>
      <c r="M18" s="35" t="str">
        <f t="shared" si="6"/>
        <v/>
      </c>
      <c r="N18" s="35" t="str">
        <f t="shared" si="7"/>
        <v/>
      </c>
      <c r="O18" s="35" t="str">
        <f t="shared" si="8"/>
        <v/>
      </c>
      <c r="P18" s="35" t="str">
        <f t="shared" si="9"/>
        <v/>
      </c>
      <c r="Q18" s="35" t="str">
        <f t="shared" si="10"/>
        <v/>
      </c>
      <c r="R18" s="35" t="str">
        <f t="shared" si="11"/>
        <v/>
      </c>
      <c r="S18" s="35" t="str">
        <f t="shared" si="12"/>
        <v/>
      </c>
    </row>
    <row r="19" spans="1:19">
      <c r="A19" s="35">
        <v>25</v>
      </c>
      <c r="B19" s="186">
        <v>18000</v>
      </c>
      <c r="C19" s="187">
        <v>25</v>
      </c>
      <c r="D19" s="35">
        <v>41</v>
      </c>
      <c r="E19" s="187">
        <v>4.5</v>
      </c>
      <c r="F19" s="35">
        <v>0.35</v>
      </c>
      <c r="G19" s="187">
        <f t="shared" si="1"/>
        <v>2.5788995408408968E-2</v>
      </c>
      <c r="H19" s="35">
        <f t="shared" si="2"/>
        <v>20.125827937059615</v>
      </c>
      <c r="I19" s="35">
        <f t="shared" si="3"/>
        <v>894.37314361884592</v>
      </c>
      <c r="J19" s="35">
        <f t="shared" si="4"/>
        <v>279491.60738088936</v>
      </c>
      <c r="L19" s="35" t="str">
        <f t="shared" si="5"/>
        <v/>
      </c>
      <c r="M19" s="35" t="str">
        <f t="shared" si="6"/>
        <v/>
      </c>
      <c r="N19" s="35" t="str">
        <f t="shared" si="7"/>
        <v/>
      </c>
      <c r="O19" s="35" t="str">
        <f t="shared" si="8"/>
        <v/>
      </c>
      <c r="P19" s="35" t="str">
        <f t="shared" si="9"/>
        <v/>
      </c>
      <c r="Q19" s="35" t="str">
        <f t="shared" si="10"/>
        <v/>
      </c>
      <c r="R19" s="35" t="str">
        <f t="shared" si="11"/>
        <v/>
      </c>
      <c r="S19" s="35" t="str">
        <f t="shared" si="12"/>
        <v/>
      </c>
    </row>
    <row r="20" spans="1:19">
      <c r="A20" s="35">
        <v>25</v>
      </c>
      <c r="B20" s="186">
        <v>18000</v>
      </c>
      <c r="C20" s="187">
        <v>30</v>
      </c>
      <c r="D20" s="35">
        <v>41</v>
      </c>
      <c r="E20" s="187">
        <v>4.5</v>
      </c>
      <c r="F20" s="35">
        <v>0.35</v>
      </c>
      <c r="G20" s="187">
        <f t="shared" si="1"/>
        <v>2.5788995408408968E-2</v>
      </c>
      <c r="H20" s="35">
        <f t="shared" si="2"/>
        <v>28.981192229365845</v>
      </c>
      <c r="I20" s="35">
        <f t="shared" si="3"/>
        <v>621.09246084642075</v>
      </c>
      <c r="J20" s="35">
        <f t="shared" si="4"/>
        <v>194091.39401450648</v>
      </c>
      <c r="L20" s="35" t="str">
        <f t="shared" si="5"/>
        <v/>
      </c>
      <c r="M20" s="35" t="str">
        <f t="shared" si="6"/>
        <v/>
      </c>
      <c r="N20" s="35" t="str">
        <f t="shared" si="7"/>
        <v/>
      </c>
      <c r="O20" s="35" t="str">
        <f t="shared" si="8"/>
        <v/>
      </c>
      <c r="P20" s="35" t="str">
        <f t="shared" si="9"/>
        <v/>
      </c>
      <c r="Q20" s="35" t="str">
        <f t="shared" si="10"/>
        <v/>
      </c>
      <c r="R20" s="35" t="str">
        <f t="shared" si="11"/>
        <v/>
      </c>
      <c r="S20" s="35" t="str">
        <f t="shared" si="12"/>
        <v/>
      </c>
    </row>
    <row r="21" spans="1:19">
      <c r="A21" s="35">
        <v>25</v>
      </c>
      <c r="B21" s="186">
        <v>22000</v>
      </c>
      <c r="C21" s="187">
        <v>30</v>
      </c>
      <c r="D21" s="35">
        <v>45</v>
      </c>
      <c r="E21" s="187">
        <v>4.8</v>
      </c>
      <c r="F21" s="35">
        <v>0.35</v>
      </c>
      <c r="G21" s="187">
        <f t="shared" si="1"/>
        <v>2.110008715233461E-2</v>
      </c>
      <c r="H21" s="35">
        <f t="shared" si="2"/>
        <v>31.808625617596658</v>
      </c>
      <c r="I21" s="35">
        <f t="shared" si="3"/>
        <v>691.63629590552046</v>
      </c>
      <c r="J21" s="35">
        <f t="shared" si="4"/>
        <v>216136.34247047515</v>
      </c>
      <c r="L21" s="35" t="str">
        <f t="shared" si="5"/>
        <v/>
      </c>
      <c r="M21" s="35" t="str">
        <f t="shared" si="6"/>
        <v/>
      </c>
      <c r="N21" s="35" t="str">
        <f t="shared" si="7"/>
        <v/>
      </c>
      <c r="O21" s="35" t="str">
        <f t="shared" si="8"/>
        <v/>
      </c>
      <c r="P21" s="35" t="str">
        <f t="shared" si="9"/>
        <v/>
      </c>
      <c r="Q21" s="35" t="str">
        <f t="shared" si="10"/>
        <v/>
      </c>
      <c r="R21" s="35" t="str">
        <f t="shared" si="11"/>
        <v/>
      </c>
      <c r="S21" s="35" t="str">
        <f t="shared" si="12"/>
        <v/>
      </c>
    </row>
    <row r="22" spans="1:19">
      <c r="A22" s="35">
        <v>25</v>
      </c>
      <c r="B22" s="186">
        <v>22000</v>
      </c>
      <c r="C22" s="187">
        <v>35</v>
      </c>
      <c r="D22" s="35">
        <v>30</v>
      </c>
      <c r="E22" s="187">
        <v>5.2</v>
      </c>
      <c r="F22" s="35">
        <v>0.35</v>
      </c>
      <c r="G22" s="187">
        <f t="shared" si="1"/>
        <v>2.110008715233461E-2</v>
      </c>
      <c r="H22" s="35">
        <f t="shared" si="2"/>
        <v>28.863382504856222</v>
      </c>
      <c r="I22" s="35">
        <f t="shared" si="3"/>
        <v>762.2114281407778</v>
      </c>
      <c r="J22" s="35">
        <f t="shared" si="4"/>
        <v>238191.07129399307</v>
      </c>
      <c r="L22" s="35" t="str">
        <f t="shared" si="5"/>
        <v/>
      </c>
      <c r="M22" s="35" t="str">
        <f t="shared" si="6"/>
        <v/>
      </c>
      <c r="N22" s="35" t="str">
        <f t="shared" si="7"/>
        <v/>
      </c>
      <c r="O22" s="35" t="str">
        <f t="shared" si="8"/>
        <v/>
      </c>
      <c r="P22" s="35" t="str">
        <f t="shared" si="9"/>
        <v/>
      </c>
      <c r="Q22" s="35" t="str">
        <f t="shared" si="10"/>
        <v/>
      </c>
      <c r="R22" s="35" t="str">
        <f t="shared" si="11"/>
        <v/>
      </c>
      <c r="S22" s="35" t="str">
        <f t="shared" si="12"/>
        <v/>
      </c>
    </row>
    <row r="23" spans="1:19">
      <c r="A23" s="35">
        <v>25</v>
      </c>
      <c r="B23" s="186">
        <v>27000</v>
      </c>
      <c r="C23" s="187">
        <v>30</v>
      </c>
      <c r="D23" s="35">
        <v>41</v>
      </c>
      <c r="E23" s="187">
        <v>5.8</v>
      </c>
      <c r="F23" s="35">
        <v>0.4</v>
      </c>
      <c r="G23" s="187">
        <f t="shared" si="1"/>
        <v>1.9648758406406834E-2</v>
      </c>
      <c r="H23" s="35">
        <f t="shared" si="2"/>
        <v>28.981192229365845</v>
      </c>
      <c r="I23" s="35">
        <f t="shared" si="3"/>
        <v>931.63869126963118</v>
      </c>
      <c r="J23" s="35">
        <f t="shared" si="4"/>
        <v>291137.09102175973</v>
      </c>
      <c r="L23" s="35" t="str">
        <f t="shared" si="5"/>
        <v/>
      </c>
      <c r="M23" s="35" t="str">
        <f t="shared" si="6"/>
        <v/>
      </c>
      <c r="N23" s="35" t="str">
        <f t="shared" si="7"/>
        <v/>
      </c>
      <c r="O23" s="35" t="str">
        <f t="shared" si="8"/>
        <v/>
      </c>
      <c r="P23" s="35" t="str">
        <f t="shared" si="9"/>
        <v/>
      </c>
      <c r="Q23" s="35" t="str">
        <f t="shared" si="10"/>
        <v/>
      </c>
      <c r="R23" s="35" t="str">
        <f t="shared" si="11"/>
        <v/>
      </c>
      <c r="S23" s="35" t="str">
        <f t="shared" si="12"/>
        <v/>
      </c>
    </row>
    <row r="24" spans="1:19">
      <c r="A24" s="35">
        <v>25</v>
      </c>
      <c r="B24" s="186">
        <v>27000</v>
      </c>
      <c r="C24" s="187">
        <v>35</v>
      </c>
      <c r="D24" s="35">
        <v>36</v>
      </c>
      <c r="E24" s="187">
        <v>6.5</v>
      </c>
      <c r="F24" s="35">
        <v>0.4</v>
      </c>
      <c r="G24" s="187">
        <f t="shared" si="1"/>
        <v>1.9648758406406834E-2</v>
      </c>
      <c r="H24" s="35">
        <f t="shared" si="2"/>
        <v>34.636059005827477</v>
      </c>
      <c r="I24" s="35">
        <f t="shared" si="3"/>
        <v>779.53441514397707</v>
      </c>
      <c r="J24" s="35">
        <f t="shared" si="4"/>
        <v>243604.50473249285</v>
      </c>
      <c r="L24" s="35" t="str">
        <f t="shared" si="5"/>
        <v/>
      </c>
      <c r="M24" s="35" t="str">
        <f t="shared" si="6"/>
        <v/>
      </c>
      <c r="N24" s="35" t="str">
        <f t="shared" si="7"/>
        <v/>
      </c>
      <c r="O24" s="35" t="str">
        <f t="shared" si="8"/>
        <v/>
      </c>
      <c r="P24" s="35" t="str">
        <f t="shared" si="9"/>
        <v/>
      </c>
      <c r="Q24" s="35" t="str">
        <f t="shared" si="10"/>
        <v/>
      </c>
      <c r="R24" s="35" t="str">
        <f t="shared" si="11"/>
        <v/>
      </c>
      <c r="S24" s="35" t="str">
        <f t="shared" si="12"/>
        <v/>
      </c>
    </row>
    <row r="25" spans="1:19">
      <c r="A25" s="35">
        <v>25</v>
      </c>
      <c r="B25" s="186">
        <v>33000</v>
      </c>
      <c r="C25" s="187">
        <v>30</v>
      </c>
      <c r="D25" s="35">
        <v>51</v>
      </c>
      <c r="E25" s="187">
        <v>8.9499999999999993</v>
      </c>
      <c r="F25" s="35">
        <v>0.4</v>
      </c>
      <c r="G25" s="187">
        <f t="shared" si="1"/>
        <v>1.6076256877969229E-2</v>
      </c>
      <c r="H25" s="35">
        <f t="shared" si="2"/>
        <v>36.049775699942877</v>
      </c>
      <c r="I25" s="35">
        <f t="shared" si="3"/>
        <v>915.40097987495358</v>
      </c>
      <c r="J25" s="35">
        <f t="shared" si="4"/>
        <v>286062.80621092301</v>
      </c>
      <c r="L25" s="35" t="str">
        <f t="shared" si="5"/>
        <v/>
      </c>
      <c r="M25" s="35" t="str">
        <f t="shared" si="6"/>
        <v/>
      </c>
      <c r="N25" s="35" t="str">
        <f t="shared" si="7"/>
        <v/>
      </c>
      <c r="O25" s="35" t="str">
        <f t="shared" si="8"/>
        <v/>
      </c>
      <c r="P25" s="35" t="str">
        <f t="shared" si="9"/>
        <v/>
      </c>
      <c r="Q25" s="35" t="str">
        <f t="shared" si="10"/>
        <v/>
      </c>
      <c r="R25" s="35" t="str">
        <f t="shared" si="11"/>
        <v/>
      </c>
      <c r="S25" s="35" t="str">
        <f t="shared" si="12"/>
        <v/>
      </c>
    </row>
    <row r="26" spans="1:19">
      <c r="A26" s="35">
        <v>25</v>
      </c>
      <c r="B26" s="186">
        <v>39000</v>
      </c>
      <c r="C26" s="187">
        <v>35</v>
      </c>
      <c r="D26" s="35">
        <v>51</v>
      </c>
      <c r="E26" s="187">
        <v>9</v>
      </c>
      <c r="F26" s="35">
        <v>0.4</v>
      </c>
      <c r="G26" s="187">
        <f t="shared" si="1"/>
        <v>1.3602986589050885E-2</v>
      </c>
      <c r="H26" s="35">
        <f t="shared" si="2"/>
        <v>49.067750258255579</v>
      </c>
      <c r="I26" s="35">
        <f t="shared" si="3"/>
        <v>794.81940367621212</v>
      </c>
      <c r="J26" s="35">
        <f t="shared" si="4"/>
        <v>248381.06364881629</v>
      </c>
      <c r="L26" s="35" t="str">
        <f t="shared" si="5"/>
        <v/>
      </c>
      <c r="M26" s="35" t="str">
        <f t="shared" si="6"/>
        <v/>
      </c>
      <c r="N26" s="35" t="str">
        <f t="shared" si="7"/>
        <v/>
      </c>
      <c r="O26" s="35" t="str">
        <f t="shared" si="8"/>
        <v/>
      </c>
      <c r="P26" s="35" t="str">
        <f t="shared" si="9"/>
        <v/>
      </c>
      <c r="Q26" s="35" t="str">
        <f t="shared" si="10"/>
        <v/>
      </c>
      <c r="R26" s="35" t="str">
        <f t="shared" si="11"/>
        <v/>
      </c>
      <c r="S26" s="35" t="str">
        <f t="shared" si="12"/>
        <v/>
      </c>
    </row>
    <row r="27" spans="1:19">
      <c r="A27" s="35">
        <v>25</v>
      </c>
      <c r="B27" s="186">
        <v>47000</v>
      </c>
      <c r="C27" s="187">
        <v>35</v>
      </c>
      <c r="D27" s="35">
        <v>56</v>
      </c>
      <c r="E27" s="187">
        <v>9.1999999999999993</v>
      </c>
      <c r="F27" s="35">
        <v>0.4</v>
      </c>
      <c r="G27" s="187">
        <f t="shared" si="1"/>
        <v>1.1287584616446482E-2</v>
      </c>
      <c r="H27" s="35">
        <f t="shared" si="2"/>
        <v>53.878314009064951</v>
      </c>
      <c r="I27" s="35">
        <f t="shared" si="3"/>
        <v>872.33613123254588</v>
      </c>
      <c r="J27" s="35">
        <f t="shared" si="4"/>
        <v>272605.04101017059</v>
      </c>
      <c r="L27" s="35" t="str">
        <f t="shared" si="5"/>
        <v/>
      </c>
      <c r="M27" s="35" t="str">
        <f t="shared" si="6"/>
        <v/>
      </c>
      <c r="N27" s="35" t="str">
        <f t="shared" si="7"/>
        <v/>
      </c>
      <c r="O27" s="35" t="str">
        <f t="shared" si="8"/>
        <v/>
      </c>
      <c r="P27" s="35" t="str">
        <f t="shared" si="9"/>
        <v/>
      </c>
      <c r="Q27" s="35" t="str">
        <f t="shared" si="10"/>
        <v/>
      </c>
      <c r="R27" s="35" t="str">
        <f t="shared" si="11"/>
        <v/>
      </c>
      <c r="S27" s="35" t="str">
        <f t="shared" si="12"/>
        <v/>
      </c>
    </row>
    <row r="28" spans="1:19">
      <c r="A28" s="187">
        <v>35</v>
      </c>
      <c r="B28" s="186">
        <v>6800</v>
      </c>
      <c r="C28" s="35">
        <v>22</v>
      </c>
      <c r="D28" s="35">
        <v>40</v>
      </c>
      <c r="E28" s="187">
        <v>3</v>
      </c>
      <c r="F28" s="187">
        <v>0.3</v>
      </c>
      <c r="G28" s="187">
        <f>F28/(2*PI()*120*B28*10^-6)</f>
        <v>5.8512846724961529E-2</v>
      </c>
      <c r="H28" s="35">
        <f t="shared" ref="H28:H91" si="13">0.001*D28*PI()*(C28/2)^2</f>
        <v>15.2053084433746</v>
      </c>
      <c r="I28" s="35">
        <f t="shared" ref="I28:I91" si="14">B28/H28</f>
        <v>447.21223678714392</v>
      </c>
      <c r="J28" s="35">
        <f t="shared" ref="J28:J91" si="15">0.5*I28*A28^2</f>
        <v>273917.49503212568</v>
      </c>
      <c r="L28" s="35" t="str">
        <f t="shared" ref="L28:L91" si="16">IF(AND($W$9&lt;A28,D28&lt;=$W$14),0.5*I28*$W$7,"")</f>
        <v/>
      </c>
      <c r="M28" s="35" t="str">
        <f t="shared" si="6"/>
        <v/>
      </c>
      <c r="N28" s="35" t="str">
        <f t="shared" si="7"/>
        <v/>
      </c>
      <c r="O28" s="35" t="str">
        <f t="shared" si="8"/>
        <v/>
      </c>
      <c r="P28" s="35" t="str">
        <f t="shared" si="9"/>
        <v/>
      </c>
      <c r="Q28" s="35" t="str">
        <f t="shared" si="10"/>
        <v/>
      </c>
      <c r="R28" s="35" t="str">
        <f t="shared" si="11"/>
        <v/>
      </c>
      <c r="S28" s="35" t="str">
        <f t="shared" si="12"/>
        <v/>
      </c>
    </row>
    <row r="29" spans="1:19">
      <c r="A29" s="187">
        <v>35</v>
      </c>
      <c r="B29" s="186">
        <v>6800</v>
      </c>
      <c r="C29" s="35">
        <v>26</v>
      </c>
      <c r="D29" s="35">
        <v>30</v>
      </c>
      <c r="E29" s="187">
        <v>2.9</v>
      </c>
      <c r="F29" s="187">
        <v>0.3</v>
      </c>
      <c r="G29" s="187">
        <f t="shared" ref="G29:G92" si="17">F29/(2*PI()*120*B29*10^-6)</f>
        <v>5.8512846724961529E-2</v>
      </c>
      <c r="H29" s="35">
        <f t="shared" si="13"/>
        <v>15.92787475370025</v>
      </c>
      <c r="I29" s="35">
        <f t="shared" si="14"/>
        <v>426.92450217944315</v>
      </c>
      <c r="J29" s="35">
        <f t="shared" si="15"/>
        <v>261491.25758490892</v>
      </c>
      <c r="L29" s="35" t="str">
        <f t="shared" si="16"/>
        <v/>
      </c>
      <c r="M29" s="35" t="str">
        <f t="shared" si="6"/>
        <v/>
      </c>
      <c r="N29" s="35" t="str">
        <f t="shared" si="7"/>
        <v/>
      </c>
      <c r="O29" s="35" t="str">
        <f t="shared" si="8"/>
        <v/>
      </c>
      <c r="P29" s="35" t="str">
        <f t="shared" si="9"/>
        <v/>
      </c>
      <c r="Q29" s="35" t="str">
        <f t="shared" si="10"/>
        <v/>
      </c>
      <c r="R29" s="35" t="str">
        <f t="shared" si="11"/>
        <v/>
      </c>
      <c r="S29" s="35" t="str">
        <f t="shared" si="12"/>
        <v/>
      </c>
    </row>
    <row r="30" spans="1:19">
      <c r="A30" s="187">
        <v>35</v>
      </c>
      <c r="B30" s="186">
        <v>8200</v>
      </c>
      <c r="C30" s="35">
        <v>22</v>
      </c>
      <c r="D30" s="35">
        <v>41</v>
      </c>
      <c r="E30" s="187">
        <v>3.45</v>
      </c>
      <c r="F30" s="187">
        <v>0.3</v>
      </c>
      <c r="G30" s="187">
        <f t="shared" si="17"/>
        <v>4.8522848503626627E-2</v>
      </c>
      <c r="H30" s="35">
        <f t="shared" si="13"/>
        <v>15.585441154458964</v>
      </c>
      <c r="I30" s="35">
        <f t="shared" si="14"/>
        <v>526.1320432789928</v>
      </c>
      <c r="J30" s="35">
        <f t="shared" si="15"/>
        <v>322255.87650838308</v>
      </c>
      <c r="L30" s="35" t="str">
        <f t="shared" si="16"/>
        <v/>
      </c>
      <c r="M30" s="35" t="str">
        <f t="shared" si="6"/>
        <v/>
      </c>
      <c r="N30" s="35" t="str">
        <f t="shared" si="7"/>
        <v/>
      </c>
      <c r="O30" s="35" t="str">
        <f t="shared" si="8"/>
        <v/>
      </c>
      <c r="P30" s="35" t="str">
        <f t="shared" si="9"/>
        <v/>
      </c>
      <c r="Q30" s="35" t="str">
        <f t="shared" si="10"/>
        <v/>
      </c>
      <c r="R30" s="35" t="str">
        <f t="shared" si="11"/>
        <v/>
      </c>
      <c r="S30" s="35" t="str">
        <f t="shared" si="12"/>
        <v/>
      </c>
    </row>
    <row r="31" spans="1:19">
      <c r="A31" s="187">
        <v>35</v>
      </c>
      <c r="B31" s="186">
        <v>8200</v>
      </c>
      <c r="C31" s="35">
        <v>25</v>
      </c>
      <c r="D31" s="35">
        <v>30</v>
      </c>
      <c r="E31" s="187">
        <v>3.25</v>
      </c>
      <c r="F31" s="187">
        <v>0.3</v>
      </c>
      <c r="G31" s="187">
        <f t="shared" si="17"/>
        <v>4.8522848503626627E-2</v>
      </c>
      <c r="H31" s="35">
        <f t="shared" si="13"/>
        <v>14.726215563702155</v>
      </c>
      <c r="I31" s="35">
        <f t="shared" si="14"/>
        <v>556.83009423084457</v>
      </c>
      <c r="J31" s="35">
        <f t="shared" si="15"/>
        <v>341058.43271639227</v>
      </c>
      <c r="L31" s="35" t="str">
        <f t="shared" si="16"/>
        <v/>
      </c>
      <c r="M31" s="35" t="str">
        <f t="shared" si="6"/>
        <v/>
      </c>
      <c r="N31" s="35" t="str">
        <f t="shared" si="7"/>
        <v/>
      </c>
      <c r="O31" s="35" t="str">
        <f t="shared" si="8"/>
        <v/>
      </c>
      <c r="P31" s="35" t="str">
        <f t="shared" si="9"/>
        <v/>
      </c>
      <c r="Q31" s="35" t="str">
        <f t="shared" si="10"/>
        <v/>
      </c>
      <c r="R31" s="35" t="str">
        <f t="shared" si="11"/>
        <v/>
      </c>
      <c r="S31" s="35" t="str">
        <f t="shared" si="12"/>
        <v/>
      </c>
    </row>
    <row r="32" spans="1:19">
      <c r="A32" s="187">
        <v>35</v>
      </c>
      <c r="B32" s="186">
        <v>10000</v>
      </c>
      <c r="C32" s="35">
        <v>22</v>
      </c>
      <c r="D32" s="35">
        <v>46</v>
      </c>
      <c r="E32" s="187">
        <v>3.5</v>
      </c>
      <c r="F32" s="187">
        <v>0.3</v>
      </c>
      <c r="G32" s="187">
        <f t="shared" si="17"/>
        <v>3.9788735772973836E-2</v>
      </c>
      <c r="H32" s="35">
        <f t="shared" si="13"/>
        <v>17.486104709880788</v>
      </c>
      <c r="I32" s="35">
        <f t="shared" si="14"/>
        <v>571.88265573803574</v>
      </c>
      <c r="J32" s="35">
        <f t="shared" si="15"/>
        <v>350278.12663954688</v>
      </c>
      <c r="L32" s="35" t="str">
        <f t="shared" si="16"/>
        <v/>
      </c>
      <c r="M32" s="35" t="str">
        <f t="shared" si="6"/>
        <v/>
      </c>
      <c r="N32" s="35" t="str">
        <f t="shared" si="7"/>
        <v/>
      </c>
      <c r="O32" s="35" t="str">
        <f t="shared" si="8"/>
        <v/>
      </c>
      <c r="P32" s="35" t="str">
        <f t="shared" si="9"/>
        <v/>
      </c>
      <c r="Q32" s="35" t="str">
        <f t="shared" si="10"/>
        <v/>
      </c>
      <c r="R32" s="35" t="str">
        <f t="shared" si="11"/>
        <v/>
      </c>
      <c r="S32" s="35" t="str">
        <f t="shared" si="12"/>
        <v/>
      </c>
    </row>
    <row r="33" spans="1:19">
      <c r="A33" s="187">
        <v>35</v>
      </c>
      <c r="B33" s="186">
        <v>10000</v>
      </c>
      <c r="C33" s="35">
        <v>30</v>
      </c>
      <c r="D33" s="35">
        <v>30</v>
      </c>
      <c r="E33" s="187">
        <v>3.5</v>
      </c>
      <c r="F33" s="187">
        <v>0.3</v>
      </c>
      <c r="G33" s="187">
        <f t="shared" si="17"/>
        <v>3.9788735772973836E-2</v>
      </c>
      <c r="H33" s="35">
        <f t="shared" si="13"/>
        <v>21.205750411731103</v>
      </c>
      <c r="I33" s="35">
        <f t="shared" si="14"/>
        <v>471.57020175376397</v>
      </c>
      <c r="J33" s="35">
        <f t="shared" si="15"/>
        <v>288836.74857418041</v>
      </c>
      <c r="L33" s="35" t="str">
        <f t="shared" si="16"/>
        <v/>
      </c>
      <c r="M33" s="35" t="str">
        <f t="shared" si="6"/>
        <v/>
      </c>
      <c r="N33" s="35" t="str">
        <f t="shared" si="7"/>
        <v/>
      </c>
      <c r="O33" s="35" t="str">
        <f t="shared" si="8"/>
        <v/>
      </c>
      <c r="P33" s="35" t="str">
        <f t="shared" si="9"/>
        <v/>
      </c>
      <c r="Q33" s="35" t="str">
        <f t="shared" si="10"/>
        <v/>
      </c>
      <c r="R33" s="35" t="str">
        <f t="shared" si="11"/>
        <v/>
      </c>
      <c r="S33" s="35" t="str">
        <f t="shared" si="12"/>
        <v/>
      </c>
    </row>
    <row r="34" spans="1:19">
      <c r="A34" s="187">
        <v>35</v>
      </c>
      <c r="B34" s="186">
        <v>12000</v>
      </c>
      <c r="C34" s="35">
        <v>25</v>
      </c>
      <c r="D34" s="35">
        <v>41</v>
      </c>
      <c r="E34" s="187">
        <v>3.85</v>
      </c>
      <c r="F34" s="187">
        <v>0.3</v>
      </c>
      <c r="G34" s="187">
        <f t="shared" si="17"/>
        <v>3.3157279810811534E-2</v>
      </c>
      <c r="H34" s="35">
        <f t="shared" si="13"/>
        <v>20.125827937059615</v>
      </c>
      <c r="I34" s="35">
        <f t="shared" si="14"/>
        <v>596.24876241256391</v>
      </c>
      <c r="J34" s="35">
        <f t="shared" si="15"/>
        <v>365202.36697769538</v>
      </c>
      <c r="L34" s="35" t="str">
        <f t="shared" si="16"/>
        <v/>
      </c>
      <c r="M34" s="35" t="str">
        <f t="shared" si="6"/>
        <v/>
      </c>
      <c r="N34" s="35" t="str">
        <f t="shared" si="7"/>
        <v/>
      </c>
      <c r="O34" s="35" t="str">
        <f t="shared" si="8"/>
        <v/>
      </c>
      <c r="P34" s="35" t="str">
        <f t="shared" si="9"/>
        <v/>
      </c>
      <c r="Q34" s="35" t="str">
        <f t="shared" si="10"/>
        <v/>
      </c>
      <c r="R34" s="35" t="str">
        <f t="shared" si="11"/>
        <v/>
      </c>
      <c r="S34" s="35" t="str">
        <f t="shared" si="12"/>
        <v/>
      </c>
    </row>
    <row r="35" spans="1:19">
      <c r="A35" s="187">
        <v>35</v>
      </c>
      <c r="B35" s="186">
        <v>12000</v>
      </c>
      <c r="C35" s="35">
        <v>35</v>
      </c>
      <c r="D35" s="35">
        <v>35</v>
      </c>
      <c r="E35" s="187">
        <v>3.7</v>
      </c>
      <c r="F35" s="187">
        <v>0.3</v>
      </c>
      <c r="G35" s="187">
        <f t="shared" si="17"/>
        <v>3.3157279810811534E-2</v>
      </c>
      <c r="H35" s="35">
        <f t="shared" si="13"/>
        <v>33.673946255665598</v>
      </c>
      <c r="I35" s="35">
        <f t="shared" si="14"/>
        <v>356.35858978010384</v>
      </c>
      <c r="J35" s="35">
        <f t="shared" si="15"/>
        <v>218269.63624031362</v>
      </c>
      <c r="L35" s="35" t="str">
        <f t="shared" si="16"/>
        <v/>
      </c>
      <c r="M35" s="35" t="str">
        <f t="shared" si="6"/>
        <v/>
      </c>
      <c r="N35" s="35" t="str">
        <f t="shared" si="7"/>
        <v/>
      </c>
      <c r="O35" s="35" t="str">
        <f t="shared" si="8"/>
        <v/>
      </c>
      <c r="P35" s="35" t="str">
        <f t="shared" si="9"/>
        <v/>
      </c>
      <c r="Q35" s="35" t="str">
        <f t="shared" si="10"/>
        <v/>
      </c>
      <c r="R35" s="35" t="str">
        <f t="shared" si="11"/>
        <v/>
      </c>
      <c r="S35" s="35" t="str">
        <f t="shared" si="12"/>
        <v/>
      </c>
    </row>
    <row r="36" spans="1:19">
      <c r="A36" s="187">
        <v>35</v>
      </c>
      <c r="B36" s="186">
        <v>15000</v>
      </c>
      <c r="C36" s="35">
        <v>25</v>
      </c>
      <c r="D36" s="35">
        <v>50</v>
      </c>
      <c r="E36" s="187">
        <v>4.5</v>
      </c>
      <c r="F36" s="187">
        <v>0.3</v>
      </c>
      <c r="G36" s="187">
        <f t="shared" si="17"/>
        <v>2.6525823848649228E-2</v>
      </c>
      <c r="H36" s="35">
        <f t="shared" si="13"/>
        <v>24.543692606170257</v>
      </c>
      <c r="I36" s="35">
        <f t="shared" si="14"/>
        <v>611.15498147287815</v>
      </c>
      <c r="J36" s="35">
        <f t="shared" si="15"/>
        <v>374332.42615213786</v>
      </c>
      <c r="L36" s="35" t="str">
        <f t="shared" si="16"/>
        <v/>
      </c>
      <c r="M36" s="35" t="str">
        <f t="shared" si="6"/>
        <v/>
      </c>
      <c r="N36" s="35" t="str">
        <f t="shared" si="7"/>
        <v/>
      </c>
      <c r="O36" s="35" t="str">
        <f t="shared" si="8"/>
        <v/>
      </c>
      <c r="P36" s="35" t="str">
        <f t="shared" si="9"/>
        <v/>
      </c>
      <c r="Q36" s="35" t="str">
        <f t="shared" si="10"/>
        <v/>
      </c>
      <c r="R36" s="35" t="str">
        <f t="shared" si="11"/>
        <v/>
      </c>
      <c r="S36" s="35" t="str">
        <f t="shared" si="12"/>
        <v/>
      </c>
    </row>
    <row r="37" spans="1:19">
      <c r="A37" s="187">
        <v>35</v>
      </c>
      <c r="B37" s="186">
        <v>15000</v>
      </c>
      <c r="C37" s="35">
        <v>30</v>
      </c>
      <c r="D37" s="35">
        <v>40</v>
      </c>
      <c r="E37" s="187">
        <v>4.0999999999999996</v>
      </c>
      <c r="F37" s="187">
        <v>0.3</v>
      </c>
      <c r="G37" s="187">
        <f t="shared" si="17"/>
        <v>2.6525823848649228E-2</v>
      </c>
      <c r="H37" s="35">
        <f t="shared" si="13"/>
        <v>28.274333882308142</v>
      </c>
      <c r="I37" s="35">
        <f t="shared" si="14"/>
        <v>530.51647697298438</v>
      </c>
      <c r="J37" s="35">
        <f t="shared" si="15"/>
        <v>324941.34214595292</v>
      </c>
      <c r="L37" s="35" t="str">
        <f t="shared" si="16"/>
        <v/>
      </c>
      <c r="M37" s="35" t="str">
        <f t="shared" si="6"/>
        <v/>
      </c>
      <c r="N37" s="35" t="str">
        <f t="shared" si="7"/>
        <v/>
      </c>
      <c r="O37" s="35" t="str">
        <f t="shared" si="8"/>
        <v/>
      </c>
      <c r="P37" s="35" t="str">
        <f t="shared" si="9"/>
        <v/>
      </c>
      <c r="Q37" s="35" t="str">
        <f t="shared" si="10"/>
        <v/>
      </c>
      <c r="R37" s="35" t="str">
        <f t="shared" si="11"/>
        <v/>
      </c>
      <c r="S37" s="35" t="str">
        <f t="shared" si="12"/>
        <v/>
      </c>
    </row>
    <row r="38" spans="1:19">
      <c r="A38" s="187">
        <v>35</v>
      </c>
      <c r="B38" s="186">
        <v>18000</v>
      </c>
      <c r="C38" s="35">
        <v>30</v>
      </c>
      <c r="D38" s="35">
        <v>46</v>
      </c>
      <c r="E38" s="187">
        <v>4.8</v>
      </c>
      <c r="F38" s="187">
        <v>0.3</v>
      </c>
      <c r="G38" s="187">
        <f t="shared" si="17"/>
        <v>2.2104853207207689E-2</v>
      </c>
      <c r="H38" s="35">
        <f t="shared" si="13"/>
        <v>32.515483964654358</v>
      </c>
      <c r="I38" s="35">
        <f t="shared" si="14"/>
        <v>553.58241075441856</v>
      </c>
      <c r="J38" s="35">
        <f t="shared" si="15"/>
        <v>339069.22658708139</v>
      </c>
      <c r="L38" s="35" t="str">
        <f t="shared" si="16"/>
        <v/>
      </c>
      <c r="M38" s="35" t="str">
        <f t="shared" si="6"/>
        <v/>
      </c>
      <c r="N38" s="35" t="str">
        <f t="shared" si="7"/>
        <v/>
      </c>
      <c r="O38" s="35" t="str">
        <f t="shared" si="8"/>
        <v/>
      </c>
      <c r="P38" s="35" t="str">
        <f t="shared" si="9"/>
        <v/>
      </c>
      <c r="Q38" s="35" t="str">
        <f t="shared" si="10"/>
        <v/>
      </c>
      <c r="R38" s="35" t="str">
        <f t="shared" si="11"/>
        <v/>
      </c>
      <c r="S38" s="35" t="str">
        <f t="shared" si="12"/>
        <v/>
      </c>
    </row>
    <row r="39" spans="1:19">
      <c r="A39" s="187">
        <v>35</v>
      </c>
      <c r="B39" s="186">
        <v>18000</v>
      </c>
      <c r="C39" s="35">
        <v>35</v>
      </c>
      <c r="D39" s="35">
        <v>37</v>
      </c>
      <c r="E39" s="187">
        <v>4.5999999999999996</v>
      </c>
      <c r="F39" s="187">
        <v>0.3</v>
      </c>
      <c r="G39" s="187">
        <f t="shared" si="17"/>
        <v>2.2104853207207689E-2</v>
      </c>
      <c r="H39" s="35">
        <f t="shared" si="13"/>
        <v>35.598171755989341</v>
      </c>
      <c r="I39" s="35">
        <f t="shared" si="14"/>
        <v>505.64394495825547</v>
      </c>
      <c r="J39" s="35">
        <f t="shared" si="15"/>
        <v>309706.91628693149</v>
      </c>
      <c r="L39" s="35" t="str">
        <f t="shared" si="16"/>
        <v/>
      </c>
      <c r="M39" s="35" t="str">
        <f t="shared" si="6"/>
        <v/>
      </c>
      <c r="N39" s="35" t="str">
        <f t="shared" si="7"/>
        <v/>
      </c>
      <c r="O39" s="35" t="str">
        <f t="shared" si="8"/>
        <v/>
      </c>
      <c r="P39" s="35" t="str">
        <f t="shared" si="9"/>
        <v/>
      </c>
      <c r="Q39" s="35" t="str">
        <f t="shared" si="10"/>
        <v/>
      </c>
      <c r="R39" s="35" t="str">
        <f t="shared" si="11"/>
        <v/>
      </c>
      <c r="S39" s="35" t="str">
        <f t="shared" si="12"/>
        <v/>
      </c>
    </row>
    <row r="40" spans="1:19">
      <c r="A40" s="187">
        <v>35</v>
      </c>
      <c r="B40" s="186">
        <v>22000</v>
      </c>
      <c r="C40" s="35">
        <v>30</v>
      </c>
      <c r="D40" s="35">
        <v>50</v>
      </c>
      <c r="E40" s="187">
        <v>5.7</v>
      </c>
      <c r="F40" s="187">
        <v>0.3</v>
      </c>
      <c r="G40" s="187">
        <f t="shared" si="17"/>
        <v>1.808578898771538E-2</v>
      </c>
      <c r="H40" s="35">
        <f t="shared" si="13"/>
        <v>35.342917352885173</v>
      </c>
      <c r="I40" s="35">
        <f t="shared" si="14"/>
        <v>622.47266631496848</v>
      </c>
      <c r="J40" s="35">
        <f t="shared" si="15"/>
        <v>381264.50811791822</v>
      </c>
      <c r="L40" s="35" t="str">
        <f t="shared" si="16"/>
        <v/>
      </c>
      <c r="M40" s="35" t="str">
        <f t="shared" si="6"/>
        <v/>
      </c>
      <c r="N40" s="35" t="str">
        <f t="shared" si="7"/>
        <v/>
      </c>
      <c r="O40" s="35" t="str">
        <f t="shared" si="8"/>
        <v/>
      </c>
      <c r="P40" s="35" t="str">
        <f t="shared" si="9"/>
        <v/>
      </c>
      <c r="Q40" s="35" t="str">
        <f t="shared" si="10"/>
        <v/>
      </c>
      <c r="R40" s="35" t="str">
        <f t="shared" si="11"/>
        <v/>
      </c>
      <c r="S40" s="35" t="str">
        <f t="shared" si="12"/>
        <v/>
      </c>
    </row>
    <row r="41" spans="1:19">
      <c r="A41" s="187">
        <v>35</v>
      </c>
      <c r="B41" s="186">
        <v>22000</v>
      </c>
      <c r="C41" s="35">
        <v>35</v>
      </c>
      <c r="D41" s="35">
        <v>45</v>
      </c>
      <c r="E41" s="187">
        <v>5</v>
      </c>
      <c r="F41" s="187">
        <v>0.3</v>
      </c>
      <c r="G41" s="187">
        <f t="shared" si="17"/>
        <v>1.808578898771538E-2</v>
      </c>
      <c r="H41" s="35">
        <f t="shared" si="13"/>
        <v>43.295073757284335</v>
      </c>
      <c r="I41" s="35">
        <f t="shared" si="14"/>
        <v>508.14095209385181</v>
      </c>
      <c r="J41" s="35">
        <f t="shared" si="15"/>
        <v>311236.33315748425</v>
      </c>
      <c r="L41" s="35" t="str">
        <f t="shared" si="16"/>
        <v/>
      </c>
      <c r="M41" s="35" t="str">
        <f t="shared" si="6"/>
        <v/>
      </c>
      <c r="N41" s="35" t="str">
        <f t="shared" si="7"/>
        <v/>
      </c>
      <c r="O41" s="35" t="str">
        <f t="shared" si="8"/>
        <v/>
      </c>
      <c r="P41" s="35" t="str">
        <f t="shared" si="9"/>
        <v/>
      </c>
      <c r="Q41" s="35" t="str">
        <f t="shared" si="10"/>
        <v/>
      </c>
      <c r="R41" s="35" t="str">
        <f t="shared" si="11"/>
        <v/>
      </c>
      <c r="S41" s="35" t="str">
        <f t="shared" si="12"/>
        <v/>
      </c>
    </row>
    <row r="42" spans="1:19">
      <c r="A42" s="187">
        <v>35</v>
      </c>
      <c r="B42" s="186">
        <v>27000</v>
      </c>
      <c r="C42" s="35">
        <v>35</v>
      </c>
      <c r="D42" s="35">
        <v>50</v>
      </c>
      <c r="E42" s="187">
        <v>5.8</v>
      </c>
      <c r="F42" s="187">
        <v>0.35</v>
      </c>
      <c r="G42" s="187">
        <f t="shared" si="17"/>
        <v>1.7192663605605979E-2</v>
      </c>
      <c r="H42" s="35">
        <f t="shared" si="13"/>
        <v>48.105637508093707</v>
      </c>
      <c r="I42" s="35">
        <f t="shared" si="14"/>
        <v>561.26477890366357</v>
      </c>
      <c r="J42" s="35">
        <f t="shared" si="15"/>
        <v>343774.67707849393</v>
      </c>
      <c r="L42" s="35" t="str">
        <f t="shared" si="16"/>
        <v/>
      </c>
      <c r="M42" s="35" t="str">
        <f t="shared" si="6"/>
        <v/>
      </c>
      <c r="N42" s="35" t="str">
        <f t="shared" si="7"/>
        <v/>
      </c>
      <c r="O42" s="35" t="str">
        <f t="shared" si="8"/>
        <v/>
      </c>
      <c r="P42" s="35" t="str">
        <f t="shared" si="9"/>
        <v/>
      </c>
      <c r="Q42" s="35" t="str">
        <f t="shared" si="10"/>
        <v/>
      </c>
      <c r="R42" s="35" t="str">
        <f t="shared" si="11"/>
        <v/>
      </c>
      <c r="S42" s="35" t="str">
        <f t="shared" si="12"/>
        <v/>
      </c>
    </row>
    <row r="43" spans="1:19">
      <c r="A43" s="187">
        <v>35</v>
      </c>
      <c r="B43" s="186">
        <v>33000</v>
      </c>
      <c r="C43" s="35">
        <v>35</v>
      </c>
      <c r="D43" s="35">
        <v>51</v>
      </c>
      <c r="E43" s="187">
        <v>6</v>
      </c>
      <c r="F43" s="187">
        <v>0.35</v>
      </c>
      <c r="G43" s="187">
        <f t="shared" si="17"/>
        <v>1.4066724768223073E-2</v>
      </c>
      <c r="H43" s="35">
        <f t="shared" si="13"/>
        <v>49.067750258255579</v>
      </c>
      <c r="I43" s="35">
        <f t="shared" si="14"/>
        <v>672.53949541833333</v>
      </c>
      <c r="J43" s="35">
        <f t="shared" si="15"/>
        <v>411930.44094372919</v>
      </c>
      <c r="L43" s="35" t="str">
        <f t="shared" si="16"/>
        <v/>
      </c>
      <c r="M43" s="35" t="str">
        <f t="shared" si="6"/>
        <v/>
      </c>
      <c r="N43" s="35" t="str">
        <f t="shared" si="7"/>
        <v/>
      </c>
      <c r="O43" s="35" t="str">
        <f t="shared" si="8"/>
        <v/>
      </c>
      <c r="P43" s="35" t="str">
        <f t="shared" si="9"/>
        <v/>
      </c>
      <c r="Q43" s="35" t="str">
        <f t="shared" si="10"/>
        <v/>
      </c>
      <c r="R43" s="35" t="str">
        <f t="shared" si="11"/>
        <v/>
      </c>
      <c r="S43" s="35" t="str">
        <f t="shared" si="12"/>
        <v/>
      </c>
    </row>
    <row r="44" spans="1:19">
      <c r="A44" s="187">
        <v>50</v>
      </c>
      <c r="B44" s="186">
        <v>1500</v>
      </c>
      <c r="C44" s="35">
        <v>22</v>
      </c>
      <c r="D44" s="35">
        <v>26</v>
      </c>
      <c r="E44" s="187">
        <v>1.4</v>
      </c>
      <c r="F44" s="187">
        <v>0.2</v>
      </c>
      <c r="G44" s="187">
        <f t="shared" si="17"/>
        <v>0.17683882565766154</v>
      </c>
      <c r="H44" s="35">
        <f t="shared" si="13"/>
        <v>9.8834504881934908</v>
      </c>
      <c r="I44" s="35">
        <f t="shared" si="14"/>
        <v>151.768858638171</v>
      </c>
      <c r="J44" s="35">
        <f t="shared" si="15"/>
        <v>189711.07329771374</v>
      </c>
      <c r="L44" s="35" t="str">
        <f t="shared" si="16"/>
        <v/>
      </c>
      <c r="M44" s="35" t="str">
        <f t="shared" si="6"/>
        <v/>
      </c>
      <c r="N44" s="35" t="str">
        <f t="shared" si="7"/>
        <v/>
      </c>
      <c r="O44" s="35" t="str">
        <f t="shared" si="8"/>
        <v/>
      </c>
      <c r="P44" s="35" t="str">
        <f t="shared" si="9"/>
        <v/>
      </c>
      <c r="Q44" s="35" t="str">
        <f t="shared" si="10"/>
        <v/>
      </c>
      <c r="R44" s="35" t="str">
        <f t="shared" si="11"/>
        <v/>
      </c>
      <c r="S44" s="35" t="str">
        <f t="shared" si="12"/>
        <v/>
      </c>
    </row>
    <row r="45" spans="1:19">
      <c r="A45" s="187">
        <v>50</v>
      </c>
      <c r="B45" s="186">
        <v>2200</v>
      </c>
      <c r="C45" s="35">
        <v>22</v>
      </c>
      <c r="D45" s="35">
        <v>25</v>
      </c>
      <c r="E45" s="187">
        <v>1.9</v>
      </c>
      <c r="F45" s="187">
        <v>0.2</v>
      </c>
      <c r="G45" s="187">
        <f t="shared" si="17"/>
        <v>0.12057192658476922</v>
      </c>
      <c r="H45" s="35">
        <f t="shared" si="13"/>
        <v>9.5033177771091246</v>
      </c>
      <c r="I45" s="35">
        <f t="shared" si="14"/>
        <v>231.49809904275685</v>
      </c>
      <c r="J45" s="35">
        <f t="shared" si="15"/>
        <v>289372.62380344607</v>
      </c>
      <c r="L45" s="35">
        <f t="shared" si="16"/>
        <v>2893.7262380344605</v>
      </c>
      <c r="M45" s="35">
        <f t="shared" si="6"/>
        <v>161.55640221085511</v>
      </c>
      <c r="N45" s="35" t="str">
        <f t="shared" si="7"/>
        <v/>
      </c>
      <c r="O45" s="35" t="str">
        <f t="shared" si="8"/>
        <v/>
      </c>
      <c r="P45" s="35" t="str">
        <f t="shared" si="9"/>
        <v/>
      </c>
      <c r="Q45" s="35" t="str">
        <f t="shared" si="10"/>
        <v/>
      </c>
      <c r="R45" s="35" t="str">
        <f t="shared" si="11"/>
        <v/>
      </c>
      <c r="S45" s="35" t="str">
        <f t="shared" si="12"/>
        <v/>
      </c>
    </row>
    <row r="46" spans="1:19">
      <c r="A46" s="187">
        <v>50</v>
      </c>
      <c r="B46" s="186">
        <v>2200</v>
      </c>
      <c r="C46" s="35">
        <v>25</v>
      </c>
      <c r="D46" s="35">
        <v>25</v>
      </c>
      <c r="E46" s="187">
        <v>2</v>
      </c>
      <c r="F46" s="187">
        <v>0.2</v>
      </c>
      <c r="G46" s="187">
        <f t="shared" si="17"/>
        <v>0.12057192658476922</v>
      </c>
      <c r="H46" s="35">
        <f t="shared" si="13"/>
        <v>12.271846303085129</v>
      </c>
      <c r="I46" s="35">
        <f t="shared" si="14"/>
        <v>179.27212789871092</v>
      </c>
      <c r="J46" s="35">
        <f t="shared" si="15"/>
        <v>224090.15987338865</v>
      </c>
      <c r="L46" s="35">
        <f t="shared" si="16"/>
        <v>2240.9015987338867</v>
      </c>
      <c r="M46" s="35">
        <f t="shared" si="6"/>
        <v>208.6213871524472</v>
      </c>
      <c r="N46" s="35" t="str">
        <f t="shared" si="7"/>
        <v/>
      </c>
      <c r="O46" s="35" t="str">
        <f t="shared" si="8"/>
        <v/>
      </c>
      <c r="P46" s="35" t="str">
        <f t="shared" si="9"/>
        <v/>
      </c>
      <c r="Q46" s="35" t="str">
        <f t="shared" si="10"/>
        <v/>
      </c>
      <c r="R46" s="35" t="str">
        <f t="shared" si="11"/>
        <v/>
      </c>
      <c r="S46" s="35" t="str">
        <f t="shared" si="12"/>
        <v/>
      </c>
    </row>
    <row r="47" spans="1:19">
      <c r="A47" s="187">
        <v>50</v>
      </c>
      <c r="B47" s="186">
        <v>2700</v>
      </c>
      <c r="C47" s="35">
        <v>22</v>
      </c>
      <c r="D47" s="35">
        <v>31</v>
      </c>
      <c r="E47" s="187">
        <v>2.2999999999999998</v>
      </c>
      <c r="F47" s="187">
        <v>0.2</v>
      </c>
      <c r="G47" s="187">
        <f t="shared" si="17"/>
        <v>9.8243792032034191E-2</v>
      </c>
      <c r="H47" s="35">
        <f t="shared" si="13"/>
        <v>11.784114043615313</v>
      </c>
      <c r="I47" s="35">
        <f t="shared" si="14"/>
        <v>229.12201884730337</v>
      </c>
      <c r="J47" s="35">
        <f t="shared" si="15"/>
        <v>286402.52355912921</v>
      </c>
      <c r="L47" s="35" t="str">
        <f t="shared" si="16"/>
        <v/>
      </c>
      <c r="M47" s="35" t="str">
        <f t="shared" si="6"/>
        <v/>
      </c>
      <c r="N47" s="35" t="str">
        <f t="shared" si="7"/>
        <v/>
      </c>
      <c r="O47" s="35" t="str">
        <f t="shared" si="8"/>
        <v/>
      </c>
      <c r="P47" s="35" t="str">
        <f t="shared" si="9"/>
        <v/>
      </c>
      <c r="Q47" s="35" t="str">
        <f t="shared" si="10"/>
        <v/>
      </c>
      <c r="R47" s="35" t="str">
        <f t="shared" si="11"/>
        <v/>
      </c>
      <c r="S47" s="35" t="str">
        <f t="shared" si="12"/>
        <v/>
      </c>
    </row>
    <row r="48" spans="1:19">
      <c r="A48" s="187">
        <v>50</v>
      </c>
      <c r="B48" s="186">
        <v>3300</v>
      </c>
      <c r="C48" s="35">
        <v>22</v>
      </c>
      <c r="D48" s="35">
        <v>31</v>
      </c>
      <c r="E48" s="187">
        <v>2.5</v>
      </c>
      <c r="F48" s="187">
        <v>0.2</v>
      </c>
      <c r="G48" s="187">
        <f t="shared" si="17"/>
        <v>8.0381284389846139E-2</v>
      </c>
      <c r="H48" s="35">
        <f t="shared" si="13"/>
        <v>11.784114043615313</v>
      </c>
      <c r="I48" s="35">
        <f t="shared" si="14"/>
        <v>280.03802303559303</v>
      </c>
      <c r="J48" s="35">
        <f t="shared" si="15"/>
        <v>350047.52879449126</v>
      </c>
      <c r="L48" s="35" t="str">
        <f t="shared" si="16"/>
        <v/>
      </c>
      <c r="M48" s="35" t="str">
        <f t="shared" si="6"/>
        <v/>
      </c>
      <c r="N48" s="35" t="str">
        <f t="shared" si="7"/>
        <v/>
      </c>
      <c r="O48" s="35" t="str">
        <f t="shared" si="8"/>
        <v/>
      </c>
      <c r="P48" s="35" t="str">
        <f t="shared" si="9"/>
        <v/>
      </c>
      <c r="Q48" s="35" t="str">
        <f t="shared" si="10"/>
        <v/>
      </c>
      <c r="R48" s="35" t="str">
        <f t="shared" si="11"/>
        <v/>
      </c>
      <c r="S48" s="35" t="str">
        <f t="shared" si="12"/>
        <v/>
      </c>
    </row>
    <row r="49" spans="1:19">
      <c r="A49" s="187">
        <v>50</v>
      </c>
      <c r="B49" s="186">
        <v>3300</v>
      </c>
      <c r="C49" s="35">
        <v>25</v>
      </c>
      <c r="D49" s="35">
        <v>26</v>
      </c>
      <c r="E49" s="187">
        <v>2.4</v>
      </c>
      <c r="F49" s="187">
        <v>0.2</v>
      </c>
      <c r="G49" s="187">
        <f t="shared" si="17"/>
        <v>8.0381284389846139E-2</v>
      </c>
      <c r="H49" s="35">
        <f t="shared" si="13"/>
        <v>12.762720155208536</v>
      </c>
      <c r="I49" s="35">
        <f t="shared" si="14"/>
        <v>258.56556908467917</v>
      </c>
      <c r="J49" s="35">
        <f t="shared" si="15"/>
        <v>323206.96135584894</v>
      </c>
      <c r="L49" s="35" t="str">
        <f t="shared" si="16"/>
        <v/>
      </c>
      <c r="M49" s="35" t="str">
        <f t="shared" si="6"/>
        <v/>
      </c>
      <c r="N49" s="35" t="str">
        <f t="shared" si="7"/>
        <v/>
      </c>
      <c r="O49" s="35" t="str">
        <f t="shared" si="8"/>
        <v/>
      </c>
      <c r="P49" s="35" t="str">
        <f t="shared" si="9"/>
        <v/>
      </c>
      <c r="Q49" s="35" t="str">
        <f t="shared" si="10"/>
        <v/>
      </c>
      <c r="R49" s="35" t="str">
        <f t="shared" si="11"/>
        <v/>
      </c>
      <c r="S49" s="35" t="str">
        <f t="shared" si="12"/>
        <v/>
      </c>
    </row>
    <row r="50" spans="1:19">
      <c r="A50" s="187">
        <v>50</v>
      </c>
      <c r="B50" s="186">
        <v>4700</v>
      </c>
      <c r="C50" s="35">
        <v>22</v>
      </c>
      <c r="D50" s="35">
        <v>36</v>
      </c>
      <c r="E50" s="187">
        <v>3</v>
      </c>
      <c r="F50" s="187">
        <v>0.3</v>
      </c>
      <c r="G50" s="187">
        <f t="shared" si="17"/>
        <v>8.4656884623348583E-2</v>
      </c>
      <c r="H50" s="35">
        <f t="shared" si="13"/>
        <v>13.68477759903714</v>
      </c>
      <c r="I50" s="35">
        <f t="shared" si="14"/>
        <v>343.44730602934254</v>
      </c>
      <c r="J50" s="35">
        <f t="shared" si="15"/>
        <v>429309.13253667817</v>
      </c>
      <c r="L50" s="35" t="str">
        <f t="shared" si="16"/>
        <v/>
      </c>
      <c r="M50" s="35" t="str">
        <f t="shared" si="6"/>
        <v/>
      </c>
      <c r="N50" s="35" t="str">
        <f t="shared" si="7"/>
        <v/>
      </c>
      <c r="O50" s="35" t="str">
        <f t="shared" si="8"/>
        <v/>
      </c>
      <c r="P50" s="35" t="str">
        <f t="shared" si="9"/>
        <v/>
      </c>
      <c r="Q50" s="35" t="str">
        <f t="shared" si="10"/>
        <v/>
      </c>
      <c r="R50" s="35" t="str">
        <f t="shared" si="11"/>
        <v/>
      </c>
      <c r="S50" s="35" t="str">
        <f t="shared" si="12"/>
        <v/>
      </c>
    </row>
    <row r="51" spans="1:19">
      <c r="A51" s="187">
        <v>50</v>
      </c>
      <c r="B51" s="186">
        <v>4700</v>
      </c>
      <c r="C51" s="35">
        <v>30</v>
      </c>
      <c r="D51" s="35">
        <v>25</v>
      </c>
      <c r="E51" s="187">
        <v>3</v>
      </c>
      <c r="F51" s="187">
        <v>0.3</v>
      </c>
      <c r="G51" s="187">
        <f t="shared" si="17"/>
        <v>8.4656884623348583E-2</v>
      </c>
      <c r="H51" s="35">
        <f t="shared" si="13"/>
        <v>17.671458676442587</v>
      </c>
      <c r="I51" s="35">
        <f t="shared" si="14"/>
        <v>265.96559378912286</v>
      </c>
      <c r="J51" s="35">
        <f t="shared" si="15"/>
        <v>332456.99223640357</v>
      </c>
      <c r="L51" s="35">
        <f t="shared" si="16"/>
        <v>3324.5699223640358</v>
      </c>
      <c r="M51" s="35">
        <f t="shared" si="6"/>
        <v>141.37166941154069</v>
      </c>
      <c r="N51" s="35">
        <f t="shared" si="7"/>
        <v>141.37166941154069</v>
      </c>
      <c r="O51" s="35">
        <f t="shared" si="8"/>
        <v>50</v>
      </c>
      <c r="P51" s="35">
        <f t="shared" si="9"/>
        <v>4700</v>
      </c>
      <c r="Q51" s="35">
        <f t="shared" si="10"/>
        <v>30</v>
      </c>
      <c r="R51" s="35">
        <f t="shared" si="11"/>
        <v>25</v>
      </c>
      <c r="S51" s="35">
        <f t="shared" si="12"/>
        <v>8.4656884623348583E-2</v>
      </c>
    </row>
    <row r="52" spans="1:19">
      <c r="A52" s="187">
        <v>50</v>
      </c>
      <c r="B52" s="186">
        <v>5600</v>
      </c>
      <c r="C52" s="35">
        <v>22</v>
      </c>
      <c r="D52" s="35">
        <v>40</v>
      </c>
      <c r="E52" s="187">
        <v>3</v>
      </c>
      <c r="F52" s="187">
        <v>0.3</v>
      </c>
      <c r="G52" s="187">
        <f t="shared" si="17"/>
        <v>7.1051313880310427E-2</v>
      </c>
      <c r="H52" s="35">
        <f t="shared" si="13"/>
        <v>15.2053084433746</v>
      </c>
      <c r="I52" s="35">
        <f t="shared" si="14"/>
        <v>368.29243029529499</v>
      </c>
      <c r="J52" s="35">
        <f t="shared" si="15"/>
        <v>460365.53786911874</v>
      </c>
      <c r="L52" s="35" t="str">
        <f t="shared" si="16"/>
        <v/>
      </c>
      <c r="M52" s="35" t="str">
        <f t="shared" si="6"/>
        <v/>
      </c>
      <c r="N52" s="35" t="str">
        <f t="shared" si="7"/>
        <v/>
      </c>
      <c r="O52" s="35" t="str">
        <f t="shared" si="8"/>
        <v/>
      </c>
      <c r="P52" s="35" t="str">
        <f t="shared" si="9"/>
        <v/>
      </c>
      <c r="Q52" s="35" t="str">
        <f t="shared" si="10"/>
        <v/>
      </c>
      <c r="R52" s="35" t="str">
        <f t="shared" si="11"/>
        <v/>
      </c>
      <c r="S52" s="35" t="str">
        <f t="shared" si="12"/>
        <v/>
      </c>
    </row>
    <row r="53" spans="1:19">
      <c r="A53" s="187">
        <v>50</v>
      </c>
      <c r="B53" s="186">
        <v>5600</v>
      </c>
      <c r="C53" s="35">
        <v>25</v>
      </c>
      <c r="D53" s="35">
        <v>40</v>
      </c>
      <c r="E53" s="187">
        <v>3</v>
      </c>
      <c r="F53" s="187">
        <v>0.3</v>
      </c>
      <c r="G53" s="187">
        <f t="shared" si="17"/>
        <v>7.1051313880310427E-2</v>
      </c>
      <c r="H53" s="35">
        <f t="shared" si="13"/>
        <v>19.634954084936208</v>
      </c>
      <c r="I53" s="35">
        <f t="shared" si="14"/>
        <v>285.20565802067642</v>
      </c>
      <c r="J53" s="35">
        <f t="shared" si="15"/>
        <v>356507.07252584555</v>
      </c>
      <c r="L53" s="35" t="str">
        <f t="shared" si="16"/>
        <v/>
      </c>
      <c r="M53" s="35" t="str">
        <f t="shared" si="6"/>
        <v/>
      </c>
      <c r="N53" s="35" t="str">
        <f t="shared" si="7"/>
        <v/>
      </c>
      <c r="O53" s="35" t="str">
        <f t="shared" si="8"/>
        <v/>
      </c>
      <c r="P53" s="35" t="str">
        <f t="shared" si="9"/>
        <v/>
      </c>
      <c r="Q53" s="35" t="str">
        <f t="shared" si="10"/>
        <v/>
      </c>
      <c r="R53" s="35" t="str">
        <f t="shared" si="11"/>
        <v/>
      </c>
      <c r="S53" s="35" t="str">
        <f t="shared" si="12"/>
        <v/>
      </c>
    </row>
    <row r="54" spans="1:19">
      <c r="A54" s="187">
        <v>50</v>
      </c>
      <c r="B54" s="186">
        <v>6800</v>
      </c>
      <c r="C54" s="35">
        <v>22</v>
      </c>
      <c r="D54" s="35">
        <v>50</v>
      </c>
      <c r="E54" s="187">
        <v>3</v>
      </c>
      <c r="F54" s="187">
        <v>0.3</v>
      </c>
      <c r="G54" s="187">
        <f t="shared" si="17"/>
        <v>5.8512846724961529E-2</v>
      </c>
      <c r="H54" s="35">
        <f t="shared" si="13"/>
        <v>19.006635554218249</v>
      </c>
      <c r="I54" s="35">
        <f t="shared" si="14"/>
        <v>357.7697894297151</v>
      </c>
      <c r="J54" s="35">
        <f t="shared" si="15"/>
        <v>447212.23678714386</v>
      </c>
      <c r="L54" s="35" t="str">
        <f t="shared" si="16"/>
        <v/>
      </c>
      <c r="M54" s="35" t="str">
        <f t="shared" si="6"/>
        <v/>
      </c>
      <c r="N54" s="35" t="str">
        <f t="shared" si="7"/>
        <v/>
      </c>
      <c r="O54" s="35" t="str">
        <f t="shared" si="8"/>
        <v/>
      </c>
      <c r="P54" s="35" t="str">
        <f t="shared" si="9"/>
        <v/>
      </c>
      <c r="Q54" s="35" t="str">
        <f t="shared" si="10"/>
        <v/>
      </c>
      <c r="R54" s="35" t="str">
        <f t="shared" si="11"/>
        <v/>
      </c>
      <c r="S54" s="35" t="str">
        <f t="shared" si="12"/>
        <v/>
      </c>
    </row>
    <row r="55" spans="1:19">
      <c r="A55" s="187">
        <v>50</v>
      </c>
      <c r="B55" s="186">
        <v>6800</v>
      </c>
      <c r="C55" s="35">
        <v>25</v>
      </c>
      <c r="D55" s="35">
        <v>41</v>
      </c>
      <c r="E55" s="187">
        <v>2.85</v>
      </c>
      <c r="F55" s="187">
        <v>0.3</v>
      </c>
      <c r="G55" s="187">
        <f t="shared" si="17"/>
        <v>5.8512846724961529E-2</v>
      </c>
      <c r="H55" s="35">
        <f t="shared" si="13"/>
        <v>20.125827937059615</v>
      </c>
      <c r="I55" s="35">
        <f t="shared" si="14"/>
        <v>337.87429870045287</v>
      </c>
      <c r="J55" s="35">
        <f t="shared" si="15"/>
        <v>422342.87337556609</v>
      </c>
      <c r="L55" s="35" t="str">
        <f t="shared" si="16"/>
        <v/>
      </c>
      <c r="M55" s="35" t="str">
        <f t="shared" si="6"/>
        <v/>
      </c>
      <c r="N55" s="35" t="str">
        <f t="shared" si="7"/>
        <v/>
      </c>
      <c r="O55" s="35" t="str">
        <f t="shared" si="8"/>
        <v/>
      </c>
      <c r="P55" s="35" t="str">
        <f t="shared" si="9"/>
        <v/>
      </c>
      <c r="Q55" s="35" t="str">
        <f t="shared" si="10"/>
        <v/>
      </c>
      <c r="R55" s="35" t="str">
        <f t="shared" si="11"/>
        <v/>
      </c>
      <c r="S55" s="35" t="str">
        <f t="shared" si="12"/>
        <v/>
      </c>
    </row>
    <row r="56" spans="1:19">
      <c r="A56" s="187">
        <v>50</v>
      </c>
      <c r="B56" s="186">
        <v>8200</v>
      </c>
      <c r="C56" s="35">
        <v>25</v>
      </c>
      <c r="D56" s="35">
        <v>46</v>
      </c>
      <c r="E56" s="187">
        <v>3.6</v>
      </c>
      <c r="F56" s="187">
        <v>0.3</v>
      </c>
      <c r="G56" s="187">
        <f t="shared" si="17"/>
        <v>4.8522848503626627E-2</v>
      </c>
      <c r="H56" s="35">
        <f t="shared" si="13"/>
        <v>22.58019719767664</v>
      </c>
      <c r="I56" s="35">
        <f t="shared" si="14"/>
        <v>363.15006145489855</v>
      </c>
      <c r="J56" s="35">
        <f t="shared" si="15"/>
        <v>453937.57681862317</v>
      </c>
      <c r="L56" s="35" t="str">
        <f t="shared" si="16"/>
        <v/>
      </c>
      <c r="M56" s="35" t="str">
        <f t="shared" si="6"/>
        <v/>
      </c>
      <c r="N56" s="35" t="str">
        <f t="shared" si="7"/>
        <v/>
      </c>
      <c r="O56" s="35" t="str">
        <f t="shared" si="8"/>
        <v/>
      </c>
      <c r="P56" s="35" t="str">
        <f t="shared" si="9"/>
        <v/>
      </c>
      <c r="Q56" s="35" t="str">
        <f t="shared" si="10"/>
        <v/>
      </c>
      <c r="R56" s="35" t="str">
        <f t="shared" si="11"/>
        <v/>
      </c>
      <c r="S56" s="35" t="str">
        <f t="shared" si="12"/>
        <v/>
      </c>
    </row>
    <row r="57" spans="1:19">
      <c r="A57" s="187">
        <v>50</v>
      </c>
      <c r="B57" s="186">
        <v>8200</v>
      </c>
      <c r="C57" s="35">
        <v>30</v>
      </c>
      <c r="D57" s="35">
        <v>46</v>
      </c>
      <c r="E57" s="187">
        <v>4</v>
      </c>
      <c r="F57" s="187">
        <v>0.3</v>
      </c>
      <c r="G57" s="187">
        <f t="shared" si="17"/>
        <v>4.8522848503626627E-2</v>
      </c>
      <c r="H57" s="35">
        <f t="shared" si="13"/>
        <v>32.515483964654358</v>
      </c>
      <c r="I57" s="35">
        <f t="shared" si="14"/>
        <v>252.18754267701291</v>
      </c>
      <c r="J57" s="35">
        <f t="shared" si="15"/>
        <v>315234.42834626616</v>
      </c>
      <c r="L57" s="35" t="str">
        <f t="shared" si="16"/>
        <v/>
      </c>
      <c r="M57" s="35" t="str">
        <f t="shared" si="6"/>
        <v/>
      </c>
      <c r="N57" s="35" t="str">
        <f t="shared" si="7"/>
        <v/>
      </c>
      <c r="O57" s="35" t="str">
        <f t="shared" si="8"/>
        <v/>
      </c>
      <c r="P57" s="35" t="str">
        <f t="shared" si="9"/>
        <v/>
      </c>
      <c r="Q57" s="35" t="str">
        <f t="shared" si="10"/>
        <v/>
      </c>
      <c r="R57" s="35" t="str">
        <f t="shared" si="11"/>
        <v/>
      </c>
      <c r="S57" s="35" t="str">
        <f t="shared" si="12"/>
        <v/>
      </c>
    </row>
    <row r="58" spans="1:19">
      <c r="A58" s="187">
        <v>50</v>
      </c>
      <c r="B58" s="186">
        <v>10000</v>
      </c>
      <c r="C58" s="35">
        <v>25</v>
      </c>
      <c r="D58" s="35">
        <v>50</v>
      </c>
      <c r="E58" s="187">
        <v>3.9</v>
      </c>
      <c r="F58" s="187">
        <v>0.3</v>
      </c>
      <c r="G58" s="187">
        <f t="shared" si="17"/>
        <v>3.9788735772973836E-2</v>
      </c>
      <c r="H58" s="35">
        <f t="shared" si="13"/>
        <v>24.543692606170257</v>
      </c>
      <c r="I58" s="35">
        <f t="shared" si="14"/>
        <v>407.4366543152521</v>
      </c>
      <c r="J58" s="35">
        <f t="shared" si="15"/>
        <v>509295.81789406511</v>
      </c>
      <c r="L58" s="35" t="str">
        <f t="shared" si="16"/>
        <v/>
      </c>
      <c r="M58" s="35" t="str">
        <f t="shared" si="6"/>
        <v/>
      </c>
      <c r="N58" s="35" t="str">
        <f t="shared" si="7"/>
        <v/>
      </c>
      <c r="O58" s="35" t="str">
        <f t="shared" si="8"/>
        <v/>
      </c>
      <c r="P58" s="35" t="str">
        <f t="shared" si="9"/>
        <v/>
      </c>
      <c r="Q58" s="35" t="str">
        <f t="shared" si="10"/>
        <v/>
      </c>
      <c r="R58" s="35" t="str">
        <f t="shared" si="11"/>
        <v/>
      </c>
      <c r="S58" s="35" t="str">
        <f t="shared" si="12"/>
        <v/>
      </c>
    </row>
    <row r="59" spans="1:19">
      <c r="A59" s="187">
        <v>50</v>
      </c>
      <c r="B59" s="186">
        <v>10000</v>
      </c>
      <c r="C59" s="35">
        <v>35</v>
      </c>
      <c r="D59" s="35">
        <v>35</v>
      </c>
      <c r="E59" s="187">
        <v>3.8</v>
      </c>
      <c r="F59" s="187">
        <v>0.3</v>
      </c>
      <c r="G59" s="187">
        <f t="shared" si="17"/>
        <v>3.9788735772973836E-2</v>
      </c>
      <c r="H59" s="35">
        <f t="shared" si="13"/>
        <v>33.673946255665598</v>
      </c>
      <c r="I59" s="35">
        <f t="shared" si="14"/>
        <v>296.96549148341984</v>
      </c>
      <c r="J59" s="35">
        <f t="shared" si="15"/>
        <v>371206.86435427482</v>
      </c>
      <c r="L59" s="35" t="str">
        <f t="shared" si="16"/>
        <v/>
      </c>
      <c r="M59" s="35" t="str">
        <f t="shared" si="6"/>
        <v/>
      </c>
      <c r="N59" s="35" t="str">
        <f t="shared" si="7"/>
        <v/>
      </c>
      <c r="O59" s="35" t="str">
        <f t="shared" si="8"/>
        <v/>
      </c>
      <c r="P59" s="35" t="str">
        <f t="shared" si="9"/>
        <v/>
      </c>
      <c r="Q59" s="35" t="str">
        <f t="shared" si="10"/>
        <v/>
      </c>
      <c r="R59" s="35" t="str">
        <f t="shared" si="11"/>
        <v/>
      </c>
      <c r="S59" s="35" t="str">
        <f t="shared" si="12"/>
        <v/>
      </c>
    </row>
    <row r="60" spans="1:19">
      <c r="A60" s="187">
        <v>50</v>
      </c>
      <c r="B60" s="186">
        <v>12000</v>
      </c>
      <c r="C60" s="35">
        <v>30</v>
      </c>
      <c r="D60" s="35">
        <v>45</v>
      </c>
      <c r="E60" s="187">
        <v>4.4000000000000004</v>
      </c>
      <c r="F60" s="187">
        <v>0.3</v>
      </c>
      <c r="G60" s="187">
        <f t="shared" si="17"/>
        <v>3.3157279810811534E-2</v>
      </c>
      <c r="H60" s="35">
        <f t="shared" si="13"/>
        <v>31.808625617596658</v>
      </c>
      <c r="I60" s="35">
        <f t="shared" si="14"/>
        <v>377.25616140301116</v>
      </c>
      <c r="J60" s="35">
        <f t="shared" si="15"/>
        <v>471570.20175376395</v>
      </c>
      <c r="L60" s="35" t="str">
        <f t="shared" si="16"/>
        <v/>
      </c>
      <c r="M60" s="35" t="str">
        <f t="shared" si="6"/>
        <v/>
      </c>
      <c r="N60" s="35" t="str">
        <f t="shared" si="7"/>
        <v/>
      </c>
      <c r="O60" s="35" t="str">
        <f t="shared" si="8"/>
        <v/>
      </c>
      <c r="P60" s="35" t="str">
        <f t="shared" si="9"/>
        <v/>
      </c>
      <c r="Q60" s="35" t="str">
        <f t="shared" si="10"/>
        <v/>
      </c>
      <c r="R60" s="35" t="str">
        <f t="shared" si="11"/>
        <v/>
      </c>
      <c r="S60" s="35" t="str">
        <f t="shared" si="12"/>
        <v/>
      </c>
    </row>
    <row r="61" spans="1:19">
      <c r="A61" s="187">
        <v>50</v>
      </c>
      <c r="B61" s="186">
        <v>12000</v>
      </c>
      <c r="C61" s="35">
        <v>35</v>
      </c>
      <c r="D61" s="35">
        <v>40</v>
      </c>
      <c r="E61" s="187">
        <v>4.3499999999999996</v>
      </c>
      <c r="F61" s="187">
        <v>0.3</v>
      </c>
      <c r="G61" s="187">
        <f t="shared" si="17"/>
        <v>3.3157279810811534E-2</v>
      </c>
      <c r="H61" s="35">
        <f t="shared" si="13"/>
        <v>38.48451000647497</v>
      </c>
      <c r="I61" s="35">
        <f t="shared" si="14"/>
        <v>311.81376605759084</v>
      </c>
      <c r="J61" s="35">
        <f t="shared" si="15"/>
        <v>389767.20757198858</v>
      </c>
      <c r="L61" s="35" t="str">
        <f t="shared" si="16"/>
        <v/>
      </c>
      <c r="M61" s="35" t="str">
        <f t="shared" si="6"/>
        <v/>
      </c>
      <c r="N61" s="35" t="str">
        <f t="shared" si="7"/>
        <v/>
      </c>
      <c r="O61" s="35" t="str">
        <f t="shared" si="8"/>
        <v/>
      </c>
      <c r="P61" s="35" t="str">
        <f t="shared" si="9"/>
        <v/>
      </c>
      <c r="Q61" s="35" t="str">
        <f t="shared" si="10"/>
        <v/>
      </c>
      <c r="R61" s="35" t="str">
        <f t="shared" si="11"/>
        <v/>
      </c>
      <c r="S61" s="35" t="str">
        <f t="shared" si="12"/>
        <v/>
      </c>
    </row>
    <row r="62" spans="1:19">
      <c r="A62" s="187">
        <v>50</v>
      </c>
      <c r="B62" s="186">
        <v>15000</v>
      </c>
      <c r="C62" s="35">
        <v>30</v>
      </c>
      <c r="D62" s="35">
        <v>51</v>
      </c>
      <c r="E62" s="187">
        <v>5.3</v>
      </c>
      <c r="F62" s="187">
        <v>0.3</v>
      </c>
      <c r="G62" s="187">
        <f t="shared" si="17"/>
        <v>2.6525823848649228E-2</v>
      </c>
      <c r="H62" s="35">
        <f t="shared" si="13"/>
        <v>36.049775699942877</v>
      </c>
      <c r="I62" s="35">
        <f t="shared" si="14"/>
        <v>416.09135448861525</v>
      </c>
      <c r="J62" s="35">
        <f t="shared" si="15"/>
        <v>520114.19311076909</v>
      </c>
      <c r="L62" s="35" t="str">
        <f t="shared" si="16"/>
        <v/>
      </c>
      <c r="M62" s="35" t="str">
        <f t="shared" si="6"/>
        <v/>
      </c>
      <c r="N62" s="35" t="str">
        <f t="shared" si="7"/>
        <v/>
      </c>
      <c r="O62" s="35" t="str">
        <f t="shared" si="8"/>
        <v/>
      </c>
      <c r="P62" s="35" t="str">
        <f t="shared" si="9"/>
        <v/>
      </c>
      <c r="Q62" s="35" t="str">
        <f t="shared" si="10"/>
        <v/>
      </c>
      <c r="R62" s="35" t="str">
        <f t="shared" si="11"/>
        <v/>
      </c>
      <c r="S62" s="35" t="str">
        <f t="shared" si="12"/>
        <v/>
      </c>
    </row>
    <row r="63" spans="1:19">
      <c r="A63" s="187">
        <v>50</v>
      </c>
      <c r="B63" s="186">
        <v>15000</v>
      </c>
      <c r="C63" s="35">
        <v>35</v>
      </c>
      <c r="D63" s="35">
        <v>42</v>
      </c>
      <c r="E63" s="187">
        <v>4.7</v>
      </c>
      <c r="F63" s="187">
        <v>0.3</v>
      </c>
      <c r="G63" s="187">
        <f t="shared" si="17"/>
        <v>2.6525823848649228E-2</v>
      </c>
      <c r="H63" s="35">
        <f t="shared" si="13"/>
        <v>40.408735506798713</v>
      </c>
      <c r="I63" s="35">
        <f t="shared" si="14"/>
        <v>371.20686435427484</v>
      </c>
      <c r="J63" s="35">
        <f t="shared" si="15"/>
        <v>464008.58044284355</v>
      </c>
      <c r="L63" s="35" t="str">
        <f t="shared" si="16"/>
        <v/>
      </c>
      <c r="M63" s="35" t="str">
        <f t="shared" si="6"/>
        <v/>
      </c>
      <c r="N63" s="35" t="str">
        <f t="shared" si="7"/>
        <v/>
      </c>
      <c r="O63" s="35" t="str">
        <f t="shared" si="8"/>
        <v/>
      </c>
      <c r="P63" s="35" t="str">
        <f t="shared" si="9"/>
        <v/>
      </c>
      <c r="Q63" s="35" t="str">
        <f t="shared" si="10"/>
        <v/>
      </c>
      <c r="R63" s="35" t="str">
        <f t="shared" si="11"/>
        <v/>
      </c>
      <c r="S63" s="35" t="str">
        <f t="shared" si="12"/>
        <v/>
      </c>
    </row>
    <row r="64" spans="1:19">
      <c r="A64" s="187">
        <v>50</v>
      </c>
      <c r="B64" s="186">
        <v>18000</v>
      </c>
      <c r="C64" s="35">
        <v>35</v>
      </c>
      <c r="D64" s="35">
        <v>55</v>
      </c>
      <c r="E64" s="187">
        <v>5.6</v>
      </c>
      <c r="F64" s="187">
        <v>0.3</v>
      </c>
      <c r="G64" s="187">
        <f t="shared" si="17"/>
        <v>2.2104853207207689E-2</v>
      </c>
      <c r="H64" s="35">
        <f t="shared" si="13"/>
        <v>52.916201258903079</v>
      </c>
      <c r="I64" s="35">
        <f t="shared" si="14"/>
        <v>340.16047206282639</v>
      </c>
      <c r="J64" s="35">
        <f t="shared" si="15"/>
        <v>425200.59007853299</v>
      </c>
      <c r="L64" s="35" t="str">
        <f t="shared" si="16"/>
        <v/>
      </c>
      <c r="M64" s="35" t="str">
        <f t="shared" si="6"/>
        <v/>
      </c>
      <c r="N64" s="35" t="str">
        <f t="shared" si="7"/>
        <v/>
      </c>
      <c r="O64" s="35" t="str">
        <f t="shared" si="8"/>
        <v/>
      </c>
      <c r="P64" s="35" t="str">
        <f t="shared" si="9"/>
        <v/>
      </c>
      <c r="Q64" s="35" t="str">
        <f t="shared" si="10"/>
        <v/>
      </c>
      <c r="R64" s="35" t="str">
        <f t="shared" si="11"/>
        <v/>
      </c>
      <c r="S64" s="35" t="str">
        <f t="shared" si="12"/>
        <v/>
      </c>
    </row>
    <row r="65" spans="1:19">
      <c r="A65" s="187">
        <v>50</v>
      </c>
      <c r="B65" s="186">
        <v>22000</v>
      </c>
      <c r="C65" s="35">
        <v>35</v>
      </c>
      <c r="D65" s="35">
        <v>52</v>
      </c>
      <c r="E65" s="187">
        <v>5.8</v>
      </c>
      <c r="F65" s="187">
        <v>0.3</v>
      </c>
      <c r="G65" s="187">
        <f t="shared" si="17"/>
        <v>1.808578898771538E-2</v>
      </c>
      <c r="H65" s="35">
        <f t="shared" si="13"/>
        <v>50.029863008417465</v>
      </c>
      <c r="I65" s="35">
        <f t="shared" si="14"/>
        <v>439.73736238891013</v>
      </c>
      <c r="J65" s="35">
        <f t="shared" si="15"/>
        <v>549671.70298613771</v>
      </c>
      <c r="L65" s="35" t="str">
        <f t="shared" si="16"/>
        <v/>
      </c>
      <c r="M65" s="35" t="str">
        <f t="shared" si="6"/>
        <v/>
      </c>
      <c r="N65" s="35" t="str">
        <f t="shared" si="7"/>
        <v/>
      </c>
      <c r="O65" s="35" t="str">
        <f t="shared" si="8"/>
        <v/>
      </c>
      <c r="P65" s="35" t="str">
        <f t="shared" si="9"/>
        <v/>
      </c>
      <c r="Q65" s="35" t="str">
        <f t="shared" si="10"/>
        <v/>
      </c>
      <c r="R65" s="35" t="str">
        <f t="shared" si="11"/>
        <v/>
      </c>
      <c r="S65" s="35" t="str">
        <f t="shared" si="12"/>
        <v/>
      </c>
    </row>
    <row r="66" spans="1:19">
      <c r="A66" s="187">
        <v>63</v>
      </c>
      <c r="B66" s="186">
        <v>1000</v>
      </c>
      <c r="C66" s="35">
        <v>22</v>
      </c>
      <c r="D66" s="35">
        <v>30</v>
      </c>
      <c r="E66" s="187">
        <v>1.5</v>
      </c>
      <c r="F66" s="187">
        <v>0.2</v>
      </c>
      <c r="G66" s="187">
        <f t="shared" si="17"/>
        <v>0.26525823848649233</v>
      </c>
      <c r="H66" s="35">
        <f t="shared" si="13"/>
        <v>11.403981332530948</v>
      </c>
      <c r="I66" s="35">
        <f t="shared" si="14"/>
        <v>87.688673879832152</v>
      </c>
      <c r="J66" s="35">
        <f t="shared" si="15"/>
        <v>174018.17331452691</v>
      </c>
      <c r="L66" s="35" t="str">
        <f t="shared" si="16"/>
        <v/>
      </c>
      <c r="M66" s="35" t="str">
        <f t="shared" si="6"/>
        <v/>
      </c>
      <c r="N66" s="35" t="str">
        <f t="shared" si="7"/>
        <v/>
      </c>
      <c r="O66" s="35" t="str">
        <f t="shared" si="8"/>
        <v/>
      </c>
      <c r="P66" s="35" t="str">
        <f t="shared" si="9"/>
        <v/>
      </c>
      <c r="Q66" s="35" t="str">
        <f t="shared" si="10"/>
        <v/>
      </c>
      <c r="R66" s="35" t="str">
        <f t="shared" si="11"/>
        <v/>
      </c>
      <c r="S66" s="35" t="str">
        <f t="shared" si="12"/>
        <v/>
      </c>
    </row>
    <row r="67" spans="1:19">
      <c r="A67" s="187">
        <v>63</v>
      </c>
      <c r="B67" s="186">
        <v>1000</v>
      </c>
      <c r="C67" s="35">
        <v>22</v>
      </c>
      <c r="D67" s="35">
        <v>25</v>
      </c>
      <c r="E67" s="187">
        <v>1.45</v>
      </c>
      <c r="F67" s="187">
        <v>0.2</v>
      </c>
      <c r="G67" s="187">
        <f t="shared" si="17"/>
        <v>0.26525823848649233</v>
      </c>
      <c r="H67" s="35">
        <f t="shared" si="13"/>
        <v>9.5033177771091246</v>
      </c>
      <c r="I67" s="35">
        <f t="shared" si="14"/>
        <v>105.22640865579856</v>
      </c>
      <c r="J67" s="35">
        <f t="shared" si="15"/>
        <v>208821.80797743224</v>
      </c>
      <c r="L67" s="35">
        <f t="shared" si="16"/>
        <v>1315.3301081974821</v>
      </c>
      <c r="M67" s="35">
        <f t="shared" si="6"/>
        <v>342.11943997592846</v>
      </c>
      <c r="N67" s="35" t="str">
        <f t="shared" si="7"/>
        <v/>
      </c>
      <c r="O67" s="35" t="str">
        <f t="shared" si="8"/>
        <v/>
      </c>
      <c r="P67" s="35" t="str">
        <f t="shared" si="9"/>
        <v/>
      </c>
      <c r="Q67" s="35" t="str">
        <f t="shared" si="10"/>
        <v/>
      </c>
      <c r="R67" s="35" t="str">
        <f t="shared" si="11"/>
        <v/>
      </c>
      <c r="S67" s="35" t="str">
        <f t="shared" si="12"/>
        <v/>
      </c>
    </row>
    <row r="68" spans="1:19">
      <c r="A68" s="187">
        <v>63</v>
      </c>
      <c r="B68" s="186">
        <v>1500</v>
      </c>
      <c r="C68" s="35">
        <v>22</v>
      </c>
      <c r="D68" s="35">
        <v>30</v>
      </c>
      <c r="E68" s="187">
        <v>1.8</v>
      </c>
      <c r="F68" s="187">
        <v>0.2</v>
      </c>
      <c r="G68" s="187">
        <f t="shared" si="17"/>
        <v>0.17683882565766154</v>
      </c>
      <c r="H68" s="35">
        <f t="shared" si="13"/>
        <v>11.403981332530948</v>
      </c>
      <c r="I68" s="35">
        <f t="shared" si="14"/>
        <v>131.53301081974823</v>
      </c>
      <c r="J68" s="35">
        <f t="shared" si="15"/>
        <v>261027.25997179036</v>
      </c>
      <c r="L68" s="35" t="str">
        <f t="shared" si="16"/>
        <v/>
      </c>
      <c r="M68" s="35" t="str">
        <f t="shared" si="6"/>
        <v/>
      </c>
      <c r="N68" s="35" t="str">
        <f t="shared" si="7"/>
        <v/>
      </c>
      <c r="O68" s="35" t="str">
        <f t="shared" si="8"/>
        <v/>
      </c>
      <c r="P68" s="35" t="str">
        <f t="shared" si="9"/>
        <v/>
      </c>
      <c r="Q68" s="35" t="str">
        <f t="shared" si="10"/>
        <v/>
      </c>
      <c r="R68" s="35" t="str">
        <f t="shared" si="11"/>
        <v/>
      </c>
      <c r="S68" s="35" t="str">
        <f t="shared" si="12"/>
        <v/>
      </c>
    </row>
    <row r="69" spans="1:19">
      <c r="A69" s="187">
        <v>63</v>
      </c>
      <c r="B69" s="186">
        <v>1500</v>
      </c>
      <c r="C69" s="35">
        <v>22</v>
      </c>
      <c r="D69" s="35">
        <v>25</v>
      </c>
      <c r="E69" s="187">
        <v>1.75</v>
      </c>
      <c r="F69" s="187">
        <v>0.2</v>
      </c>
      <c r="G69" s="187">
        <f t="shared" si="17"/>
        <v>0.17683882565766154</v>
      </c>
      <c r="H69" s="35">
        <f t="shared" si="13"/>
        <v>9.5033177771091246</v>
      </c>
      <c r="I69" s="35">
        <f t="shared" si="14"/>
        <v>157.83961298369786</v>
      </c>
      <c r="J69" s="35">
        <f t="shared" si="15"/>
        <v>313232.7119661484</v>
      </c>
      <c r="L69" s="35">
        <f t="shared" si="16"/>
        <v>1972.9951622962233</v>
      </c>
      <c r="M69" s="35">
        <f t="shared" ref="M69:M132" si="18">IF(L69&lt;&gt;"",ROUNDUP($W$12/B69,0)*H69,"")</f>
        <v>228.07962665061899</v>
      </c>
      <c r="N69" s="35" t="str">
        <f t="shared" ref="N69:N132" si="19">IF(M69=MIN($M$4:$M$266),M69,"")</f>
        <v/>
      </c>
      <c r="O69" s="35" t="str">
        <f t="shared" ref="O69:O132" si="20">IF($N69=MIN($M$4:$M$266),A69,"")</f>
        <v/>
      </c>
      <c r="P69" s="35" t="str">
        <f t="shared" ref="P69:P132" si="21">IF($N69=MIN($M$4:$M$266),B69,"")</f>
        <v/>
      </c>
      <c r="Q69" s="35" t="str">
        <f t="shared" ref="Q69:Q132" si="22">IF($N69=MIN($M$4:$M$266),C69,"")</f>
        <v/>
      </c>
      <c r="R69" s="35" t="str">
        <f t="shared" ref="R69:R132" si="23">IF($N69=MIN($M$4:$M$266),D69,"")</f>
        <v/>
      </c>
      <c r="S69" s="35" t="str">
        <f t="shared" ref="S69:S132" si="24">IF($N69=MIN($M$4:$M$266),G69,"")</f>
        <v/>
      </c>
    </row>
    <row r="70" spans="1:19">
      <c r="A70" s="187">
        <v>63</v>
      </c>
      <c r="B70" s="186">
        <v>2200</v>
      </c>
      <c r="C70" s="35">
        <v>22</v>
      </c>
      <c r="D70" s="35">
        <v>30</v>
      </c>
      <c r="E70" s="187">
        <v>2.1</v>
      </c>
      <c r="F70" s="187">
        <v>0.2</v>
      </c>
      <c r="G70" s="187">
        <f t="shared" si="17"/>
        <v>0.12057192658476922</v>
      </c>
      <c r="H70" s="35">
        <f t="shared" si="13"/>
        <v>11.403981332530948</v>
      </c>
      <c r="I70" s="35">
        <f t="shared" si="14"/>
        <v>192.91508253563072</v>
      </c>
      <c r="J70" s="35">
        <f t="shared" si="15"/>
        <v>382839.98129195918</v>
      </c>
      <c r="L70" s="35" t="str">
        <f t="shared" si="16"/>
        <v/>
      </c>
      <c r="M70" s="35" t="str">
        <f t="shared" si="18"/>
        <v/>
      </c>
      <c r="N70" s="35" t="str">
        <f t="shared" si="19"/>
        <v/>
      </c>
      <c r="O70" s="35" t="str">
        <f t="shared" si="20"/>
        <v/>
      </c>
      <c r="P70" s="35" t="str">
        <f t="shared" si="21"/>
        <v/>
      </c>
      <c r="Q70" s="35" t="str">
        <f t="shared" si="22"/>
        <v/>
      </c>
      <c r="R70" s="35" t="str">
        <f t="shared" si="23"/>
        <v/>
      </c>
      <c r="S70" s="35" t="str">
        <f t="shared" si="24"/>
        <v/>
      </c>
    </row>
    <row r="71" spans="1:19">
      <c r="A71" s="187">
        <v>63</v>
      </c>
      <c r="B71" s="186">
        <v>2200</v>
      </c>
      <c r="C71" s="35">
        <v>26</v>
      </c>
      <c r="D71" s="35">
        <v>25</v>
      </c>
      <c r="E71" s="187">
        <v>2</v>
      </c>
      <c r="F71" s="187">
        <v>0.2</v>
      </c>
      <c r="G71" s="187">
        <f t="shared" si="17"/>
        <v>0.12057192658476922</v>
      </c>
      <c r="H71" s="35">
        <f t="shared" si="13"/>
        <v>13.273228961416876</v>
      </c>
      <c r="I71" s="35">
        <f t="shared" si="14"/>
        <v>165.74715966966616</v>
      </c>
      <c r="J71" s="35">
        <f t="shared" si="15"/>
        <v>328925.2383644525</v>
      </c>
      <c r="L71" s="35">
        <f t="shared" si="16"/>
        <v>2071.8394958708268</v>
      </c>
      <c r="M71" s="35">
        <f t="shared" si="18"/>
        <v>225.64489234408688</v>
      </c>
      <c r="N71" s="35" t="str">
        <f t="shared" si="19"/>
        <v/>
      </c>
      <c r="O71" s="35" t="str">
        <f t="shared" si="20"/>
        <v/>
      </c>
      <c r="P71" s="35" t="str">
        <f t="shared" si="21"/>
        <v/>
      </c>
      <c r="Q71" s="35" t="str">
        <f t="shared" si="22"/>
        <v/>
      </c>
      <c r="R71" s="35" t="str">
        <f t="shared" si="23"/>
        <v/>
      </c>
      <c r="S71" s="35" t="str">
        <f t="shared" si="24"/>
        <v/>
      </c>
    </row>
    <row r="72" spans="1:19">
      <c r="A72" s="187">
        <v>63</v>
      </c>
      <c r="B72" s="186">
        <v>2700</v>
      </c>
      <c r="C72" s="35">
        <v>22</v>
      </c>
      <c r="D72" s="35">
        <v>36</v>
      </c>
      <c r="E72" s="187">
        <v>2.8</v>
      </c>
      <c r="F72" s="187">
        <v>0.2</v>
      </c>
      <c r="G72" s="187">
        <f t="shared" si="17"/>
        <v>9.8243792032034191E-2</v>
      </c>
      <c r="H72" s="35">
        <f t="shared" si="13"/>
        <v>13.68477759903714</v>
      </c>
      <c r="I72" s="35">
        <f t="shared" si="14"/>
        <v>197.2995162296223</v>
      </c>
      <c r="J72" s="35">
        <f t="shared" si="15"/>
        <v>391540.88995768543</v>
      </c>
      <c r="L72" s="35" t="str">
        <f t="shared" si="16"/>
        <v/>
      </c>
      <c r="M72" s="35" t="str">
        <f t="shared" si="18"/>
        <v/>
      </c>
      <c r="N72" s="35" t="str">
        <f t="shared" si="19"/>
        <v/>
      </c>
      <c r="O72" s="35" t="str">
        <f t="shared" si="20"/>
        <v/>
      </c>
      <c r="P72" s="35" t="str">
        <f t="shared" si="21"/>
        <v/>
      </c>
      <c r="Q72" s="35" t="str">
        <f t="shared" si="22"/>
        <v/>
      </c>
      <c r="R72" s="35" t="str">
        <f t="shared" si="23"/>
        <v/>
      </c>
      <c r="S72" s="35" t="str">
        <f t="shared" si="24"/>
        <v/>
      </c>
    </row>
    <row r="73" spans="1:19">
      <c r="A73" s="187">
        <v>63</v>
      </c>
      <c r="B73" s="186">
        <v>2700</v>
      </c>
      <c r="C73" s="35">
        <v>25</v>
      </c>
      <c r="D73" s="35">
        <v>31</v>
      </c>
      <c r="E73" s="187">
        <v>2.7</v>
      </c>
      <c r="F73" s="187">
        <v>0.2</v>
      </c>
      <c r="G73" s="187">
        <f t="shared" si="17"/>
        <v>9.8243792032034191E-2</v>
      </c>
      <c r="H73" s="35">
        <f t="shared" si="13"/>
        <v>15.217089415825559</v>
      </c>
      <c r="I73" s="35">
        <f t="shared" si="14"/>
        <v>177.43209139535173</v>
      </c>
      <c r="J73" s="35">
        <f t="shared" si="15"/>
        <v>352113.98537407554</v>
      </c>
      <c r="L73" s="35" t="str">
        <f t="shared" si="16"/>
        <v/>
      </c>
      <c r="M73" s="35" t="str">
        <f t="shared" si="18"/>
        <v/>
      </c>
      <c r="N73" s="35" t="str">
        <f t="shared" si="19"/>
        <v/>
      </c>
      <c r="O73" s="35" t="str">
        <f t="shared" si="20"/>
        <v/>
      </c>
      <c r="P73" s="35" t="str">
        <f t="shared" si="21"/>
        <v/>
      </c>
      <c r="Q73" s="35" t="str">
        <f t="shared" si="22"/>
        <v/>
      </c>
      <c r="R73" s="35" t="str">
        <f t="shared" si="23"/>
        <v/>
      </c>
      <c r="S73" s="35" t="str">
        <f t="shared" si="24"/>
        <v/>
      </c>
    </row>
    <row r="74" spans="1:19">
      <c r="A74" s="187">
        <v>63</v>
      </c>
      <c r="B74" s="186">
        <v>3300</v>
      </c>
      <c r="C74" s="35">
        <v>22</v>
      </c>
      <c r="D74" s="35">
        <v>40</v>
      </c>
      <c r="E74" s="187">
        <v>2.81</v>
      </c>
      <c r="F74" s="187">
        <v>0.2</v>
      </c>
      <c r="G74" s="187">
        <f t="shared" si="17"/>
        <v>8.0381284389846139E-2</v>
      </c>
      <c r="H74" s="35">
        <f t="shared" si="13"/>
        <v>15.2053084433746</v>
      </c>
      <c r="I74" s="35">
        <f t="shared" si="14"/>
        <v>217.02946785258453</v>
      </c>
      <c r="J74" s="35">
        <f t="shared" si="15"/>
        <v>430694.978953454</v>
      </c>
      <c r="L74" s="35" t="str">
        <f t="shared" si="16"/>
        <v/>
      </c>
      <c r="M74" s="35" t="str">
        <f t="shared" si="18"/>
        <v/>
      </c>
      <c r="N74" s="35" t="str">
        <f t="shared" si="19"/>
        <v/>
      </c>
      <c r="O74" s="35" t="str">
        <f t="shared" si="20"/>
        <v/>
      </c>
      <c r="P74" s="35" t="str">
        <f t="shared" si="21"/>
        <v/>
      </c>
      <c r="Q74" s="35" t="str">
        <f t="shared" si="22"/>
        <v/>
      </c>
      <c r="R74" s="35" t="str">
        <f t="shared" si="23"/>
        <v/>
      </c>
      <c r="S74" s="35" t="str">
        <f t="shared" si="24"/>
        <v/>
      </c>
    </row>
    <row r="75" spans="1:19">
      <c r="A75" s="187">
        <v>63</v>
      </c>
      <c r="B75" s="186">
        <v>3300</v>
      </c>
      <c r="C75" s="35">
        <v>25</v>
      </c>
      <c r="D75" s="35">
        <v>35</v>
      </c>
      <c r="E75" s="187">
        <v>2.9</v>
      </c>
      <c r="F75" s="187">
        <v>0.2</v>
      </c>
      <c r="G75" s="187">
        <f t="shared" si="17"/>
        <v>8.0381284389846139E-2</v>
      </c>
      <c r="H75" s="35">
        <f t="shared" si="13"/>
        <v>17.180584824319183</v>
      </c>
      <c r="I75" s="35">
        <f t="shared" si="14"/>
        <v>192.07727989147597</v>
      </c>
      <c r="J75" s="35">
        <f t="shared" si="15"/>
        <v>381177.36194463406</v>
      </c>
      <c r="L75" s="35" t="str">
        <f t="shared" si="16"/>
        <v/>
      </c>
      <c r="M75" s="35" t="str">
        <f t="shared" si="18"/>
        <v/>
      </c>
      <c r="N75" s="35" t="str">
        <f t="shared" si="19"/>
        <v/>
      </c>
      <c r="O75" s="35" t="str">
        <f t="shared" si="20"/>
        <v/>
      </c>
      <c r="P75" s="35" t="str">
        <f t="shared" si="21"/>
        <v/>
      </c>
      <c r="Q75" s="35" t="str">
        <f t="shared" si="22"/>
        <v/>
      </c>
      <c r="R75" s="35" t="str">
        <f t="shared" si="23"/>
        <v/>
      </c>
      <c r="S75" s="35" t="str">
        <f t="shared" si="24"/>
        <v/>
      </c>
    </row>
    <row r="76" spans="1:19">
      <c r="A76" s="187">
        <v>63</v>
      </c>
      <c r="B76" s="186">
        <v>3900</v>
      </c>
      <c r="C76" s="35">
        <v>22</v>
      </c>
      <c r="D76" s="35">
        <v>40</v>
      </c>
      <c r="E76" s="187">
        <v>3.2</v>
      </c>
      <c r="F76" s="187">
        <v>0.2</v>
      </c>
      <c r="G76" s="187">
        <f t="shared" si="17"/>
        <v>6.801493294525443E-2</v>
      </c>
      <c r="H76" s="35">
        <f t="shared" si="13"/>
        <v>15.2053084433746</v>
      </c>
      <c r="I76" s="35">
        <f t="shared" si="14"/>
        <v>256.48937109850903</v>
      </c>
      <c r="J76" s="35">
        <f t="shared" si="15"/>
        <v>509003.15694499115</v>
      </c>
      <c r="L76" s="35" t="str">
        <f t="shared" si="16"/>
        <v/>
      </c>
      <c r="M76" s="35" t="str">
        <f t="shared" si="18"/>
        <v/>
      </c>
      <c r="N76" s="35" t="str">
        <f t="shared" si="19"/>
        <v/>
      </c>
      <c r="O76" s="35" t="str">
        <f t="shared" si="20"/>
        <v/>
      </c>
      <c r="P76" s="35" t="str">
        <f t="shared" si="21"/>
        <v/>
      </c>
      <c r="Q76" s="35" t="str">
        <f t="shared" si="22"/>
        <v/>
      </c>
      <c r="R76" s="35" t="str">
        <f t="shared" si="23"/>
        <v/>
      </c>
      <c r="S76" s="35" t="str">
        <f t="shared" si="24"/>
        <v/>
      </c>
    </row>
    <row r="77" spans="1:19">
      <c r="A77" s="187">
        <v>63</v>
      </c>
      <c r="B77" s="186">
        <v>3900</v>
      </c>
      <c r="C77" s="35">
        <v>25</v>
      </c>
      <c r="D77" s="35">
        <v>40</v>
      </c>
      <c r="E77" s="187">
        <v>3.2</v>
      </c>
      <c r="F77" s="187">
        <v>0.2</v>
      </c>
      <c r="G77" s="187">
        <f t="shared" si="17"/>
        <v>6.801493294525443E-2</v>
      </c>
      <c r="H77" s="35">
        <f t="shared" si="13"/>
        <v>19.634954084936208</v>
      </c>
      <c r="I77" s="35">
        <f t="shared" si="14"/>
        <v>198.62536897868537</v>
      </c>
      <c r="J77" s="35">
        <f t="shared" si="15"/>
        <v>394172.04473820113</v>
      </c>
      <c r="L77" s="35" t="str">
        <f t="shared" si="16"/>
        <v/>
      </c>
      <c r="M77" s="35" t="str">
        <f t="shared" si="18"/>
        <v/>
      </c>
      <c r="N77" s="35" t="str">
        <f t="shared" si="19"/>
        <v/>
      </c>
      <c r="O77" s="35" t="str">
        <f t="shared" si="20"/>
        <v/>
      </c>
      <c r="P77" s="35" t="str">
        <f t="shared" si="21"/>
        <v/>
      </c>
      <c r="Q77" s="35" t="str">
        <f t="shared" si="22"/>
        <v/>
      </c>
      <c r="R77" s="35" t="str">
        <f t="shared" si="23"/>
        <v/>
      </c>
      <c r="S77" s="35" t="str">
        <f t="shared" si="24"/>
        <v/>
      </c>
    </row>
    <row r="78" spans="1:19">
      <c r="A78" s="187">
        <v>63</v>
      </c>
      <c r="B78" s="186">
        <v>4700</v>
      </c>
      <c r="C78" s="35">
        <v>22</v>
      </c>
      <c r="D78" s="35">
        <v>50</v>
      </c>
      <c r="E78" s="187">
        <v>3.2</v>
      </c>
      <c r="F78" s="187">
        <v>0.3</v>
      </c>
      <c r="G78" s="187">
        <f t="shared" si="17"/>
        <v>8.4656884623348583E-2</v>
      </c>
      <c r="H78" s="35">
        <f t="shared" si="13"/>
        <v>19.006635554218249</v>
      </c>
      <c r="I78" s="35">
        <f t="shared" si="14"/>
        <v>247.28206034112662</v>
      </c>
      <c r="J78" s="35">
        <f t="shared" si="15"/>
        <v>490731.24874696578</v>
      </c>
      <c r="L78" s="35" t="str">
        <f t="shared" si="16"/>
        <v/>
      </c>
      <c r="M78" s="35" t="str">
        <f t="shared" si="18"/>
        <v/>
      </c>
      <c r="N78" s="35" t="str">
        <f t="shared" si="19"/>
        <v/>
      </c>
      <c r="O78" s="35" t="str">
        <f t="shared" si="20"/>
        <v/>
      </c>
      <c r="P78" s="35" t="str">
        <f t="shared" si="21"/>
        <v/>
      </c>
      <c r="Q78" s="35" t="str">
        <f t="shared" si="22"/>
        <v/>
      </c>
      <c r="R78" s="35" t="str">
        <f t="shared" si="23"/>
        <v/>
      </c>
      <c r="S78" s="35" t="str">
        <f t="shared" si="24"/>
        <v/>
      </c>
    </row>
    <row r="79" spans="1:19">
      <c r="A79" s="187">
        <v>63</v>
      </c>
      <c r="B79" s="186">
        <v>4700</v>
      </c>
      <c r="C79" s="35">
        <v>26</v>
      </c>
      <c r="D79" s="35">
        <v>40</v>
      </c>
      <c r="E79" s="187">
        <v>3.11</v>
      </c>
      <c r="F79" s="187">
        <v>0.3</v>
      </c>
      <c r="G79" s="187">
        <f t="shared" si="17"/>
        <v>8.4656884623348583E-2</v>
      </c>
      <c r="H79" s="35">
        <f t="shared" si="13"/>
        <v>21.237166338267002</v>
      </c>
      <c r="I79" s="35">
        <f t="shared" si="14"/>
        <v>221.31012796802014</v>
      </c>
      <c r="J79" s="35">
        <f t="shared" si="15"/>
        <v>439189.94895253598</v>
      </c>
      <c r="L79" s="35" t="str">
        <f t="shared" si="16"/>
        <v/>
      </c>
      <c r="M79" s="35" t="str">
        <f t="shared" si="18"/>
        <v/>
      </c>
      <c r="N79" s="35" t="str">
        <f t="shared" si="19"/>
        <v/>
      </c>
      <c r="O79" s="35" t="str">
        <f t="shared" si="20"/>
        <v/>
      </c>
      <c r="P79" s="35" t="str">
        <f t="shared" si="21"/>
        <v/>
      </c>
      <c r="Q79" s="35" t="str">
        <f t="shared" si="22"/>
        <v/>
      </c>
      <c r="R79" s="35" t="str">
        <f t="shared" si="23"/>
        <v/>
      </c>
      <c r="S79" s="35" t="str">
        <f t="shared" si="24"/>
        <v/>
      </c>
    </row>
    <row r="80" spans="1:19">
      <c r="A80" s="187">
        <v>63</v>
      </c>
      <c r="B80" s="186">
        <v>5600</v>
      </c>
      <c r="C80" s="35">
        <v>25</v>
      </c>
      <c r="D80" s="35">
        <v>46</v>
      </c>
      <c r="E80" s="187">
        <v>3.8</v>
      </c>
      <c r="F80" s="187">
        <v>0.3</v>
      </c>
      <c r="G80" s="187">
        <f t="shared" si="17"/>
        <v>7.1051313880310427E-2</v>
      </c>
      <c r="H80" s="35">
        <f t="shared" si="13"/>
        <v>22.58019719767664</v>
      </c>
      <c r="I80" s="35">
        <f t="shared" si="14"/>
        <v>248.00492001797952</v>
      </c>
      <c r="J80" s="35">
        <f t="shared" si="15"/>
        <v>492165.76377568033</v>
      </c>
      <c r="L80" s="35" t="str">
        <f t="shared" si="16"/>
        <v/>
      </c>
      <c r="M80" s="35" t="str">
        <f t="shared" si="18"/>
        <v/>
      </c>
      <c r="N80" s="35" t="str">
        <f t="shared" si="19"/>
        <v/>
      </c>
      <c r="O80" s="35" t="str">
        <f t="shared" si="20"/>
        <v/>
      </c>
      <c r="P80" s="35" t="str">
        <f t="shared" si="21"/>
        <v/>
      </c>
      <c r="Q80" s="35" t="str">
        <f t="shared" si="22"/>
        <v/>
      </c>
      <c r="R80" s="35" t="str">
        <f t="shared" si="23"/>
        <v/>
      </c>
      <c r="S80" s="35" t="str">
        <f t="shared" si="24"/>
        <v/>
      </c>
    </row>
    <row r="81" spans="1:19">
      <c r="A81" s="187">
        <v>63</v>
      </c>
      <c r="B81" s="186">
        <v>5600</v>
      </c>
      <c r="C81" s="35">
        <v>30</v>
      </c>
      <c r="D81" s="35">
        <v>40</v>
      </c>
      <c r="E81" s="187">
        <v>3.7</v>
      </c>
      <c r="F81" s="187">
        <v>0.3</v>
      </c>
      <c r="G81" s="187">
        <f t="shared" si="17"/>
        <v>7.1051313880310427E-2</v>
      </c>
      <c r="H81" s="35">
        <f t="shared" si="13"/>
        <v>28.274333882308142</v>
      </c>
      <c r="I81" s="35">
        <f t="shared" si="14"/>
        <v>198.05948473658086</v>
      </c>
      <c r="J81" s="35">
        <f t="shared" si="15"/>
        <v>393049.04745974473</v>
      </c>
      <c r="L81" s="35" t="str">
        <f t="shared" si="16"/>
        <v/>
      </c>
      <c r="M81" s="35" t="str">
        <f t="shared" si="18"/>
        <v/>
      </c>
      <c r="N81" s="35" t="str">
        <f t="shared" si="19"/>
        <v/>
      </c>
      <c r="O81" s="35" t="str">
        <f t="shared" si="20"/>
        <v/>
      </c>
      <c r="P81" s="35" t="str">
        <f t="shared" si="21"/>
        <v/>
      </c>
      <c r="Q81" s="35" t="str">
        <f t="shared" si="22"/>
        <v/>
      </c>
      <c r="R81" s="35" t="str">
        <f t="shared" si="23"/>
        <v/>
      </c>
      <c r="S81" s="35" t="str">
        <f t="shared" si="24"/>
        <v/>
      </c>
    </row>
    <row r="82" spans="1:19">
      <c r="A82" s="187">
        <v>63</v>
      </c>
      <c r="B82" s="186">
        <v>6800</v>
      </c>
      <c r="C82" s="35">
        <v>25</v>
      </c>
      <c r="D82" s="35">
        <v>50</v>
      </c>
      <c r="E82" s="187">
        <v>3.68</v>
      </c>
      <c r="F82" s="187">
        <v>0.3</v>
      </c>
      <c r="G82" s="187">
        <f t="shared" si="17"/>
        <v>5.8512846724961529E-2</v>
      </c>
      <c r="H82" s="35">
        <f t="shared" si="13"/>
        <v>24.543692606170257</v>
      </c>
      <c r="I82" s="35">
        <f t="shared" si="14"/>
        <v>277.05692493437141</v>
      </c>
      <c r="J82" s="35">
        <f t="shared" si="15"/>
        <v>549819.46753226011</v>
      </c>
      <c r="L82" s="35" t="str">
        <f t="shared" si="16"/>
        <v/>
      </c>
      <c r="M82" s="35" t="str">
        <f t="shared" si="18"/>
        <v/>
      </c>
      <c r="N82" s="35" t="str">
        <f t="shared" si="19"/>
        <v/>
      </c>
      <c r="O82" s="35" t="str">
        <f t="shared" si="20"/>
        <v/>
      </c>
      <c r="P82" s="35" t="str">
        <f t="shared" si="21"/>
        <v/>
      </c>
      <c r="Q82" s="35" t="str">
        <f t="shared" si="22"/>
        <v/>
      </c>
      <c r="R82" s="35" t="str">
        <f t="shared" si="23"/>
        <v/>
      </c>
      <c r="S82" s="35" t="str">
        <f t="shared" si="24"/>
        <v/>
      </c>
    </row>
    <row r="83" spans="1:19">
      <c r="A83" s="187">
        <v>63</v>
      </c>
      <c r="B83" s="186">
        <v>6800</v>
      </c>
      <c r="C83" s="35">
        <v>30</v>
      </c>
      <c r="D83" s="35">
        <v>40</v>
      </c>
      <c r="E83" s="187">
        <v>3.54</v>
      </c>
      <c r="F83" s="187">
        <v>0.3</v>
      </c>
      <c r="G83" s="187">
        <f t="shared" si="17"/>
        <v>5.8512846724961529E-2</v>
      </c>
      <c r="H83" s="35">
        <f t="shared" si="13"/>
        <v>28.274333882308142</v>
      </c>
      <c r="I83" s="35">
        <f t="shared" si="14"/>
        <v>240.50080289441959</v>
      </c>
      <c r="J83" s="35">
        <f t="shared" si="15"/>
        <v>477273.84334397566</v>
      </c>
      <c r="L83" s="35" t="str">
        <f t="shared" si="16"/>
        <v/>
      </c>
      <c r="M83" s="35" t="str">
        <f t="shared" si="18"/>
        <v/>
      </c>
      <c r="N83" s="35" t="str">
        <f t="shared" si="19"/>
        <v/>
      </c>
      <c r="O83" s="35" t="str">
        <f t="shared" si="20"/>
        <v/>
      </c>
      <c r="P83" s="35" t="str">
        <f t="shared" si="21"/>
        <v/>
      </c>
      <c r="Q83" s="35" t="str">
        <f t="shared" si="22"/>
        <v/>
      </c>
      <c r="R83" s="35" t="str">
        <f t="shared" si="23"/>
        <v/>
      </c>
      <c r="S83" s="35" t="str">
        <f t="shared" si="24"/>
        <v/>
      </c>
    </row>
    <row r="84" spans="1:19">
      <c r="A84" s="187">
        <v>63</v>
      </c>
      <c r="B84" s="186">
        <v>8200</v>
      </c>
      <c r="C84" s="35">
        <v>30</v>
      </c>
      <c r="D84" s="35">
        <v>46</v>
      </c>
      <c r="E84" s="187">
        <v>3.99</v>
      </c>
      <c r="F84" s="187">
        <v>0.3</v>
      </c>
      <c r="G84" s="187">
        <f t="shared" si="17"/>
        <v>4.8522848503626627E-2</v>
      </c>
      <c r="H84" s="35">
        <f t="shared" si="13"/>
        <v>32.515483964654358</v>
      </c>
      <c r="I84" s="35">
        <f t="shared" si="14"/>
        <v>252.18754267701291</v>
      </c>
      <c r="J84" s="35">
        <f t="shared" si="15"/>
        <v>500466.17844253214</v>
      </c>
      <c r="L84" s="35" t="str">
        <f t="shared" si="16"/>
        <v/>
      </c>
      <c r="M84" s="35" t="str">
        <f t="shared" si="18"/>
        <v/>
      </c>
      <c r="N84" s="35" t="str">
        <f t="shared" si="19"/>
        <v/>
      </c>
      <c r="O84" s="35" t="str">
        <f t="shared" si="20"/>
        <v/>
      </c>
      <c r="P84" s="35" t="str">
        <f t="shared" si="21"/>
        <v/>
      </c>
      <c r="Q84" s="35" t="str">
        <f t="shared" si="22"/>
        <v/>
      </c>
      <c r="R84" s="35" t="str">
        <f t="shared" si="23"/>
        <v/>
      </c>
      <c r="S84" s="35" t="str">
        <f t="shared" si="24"/>
        <v/>
      </c>
    </row>
    <row r="85" spans="1:19">
      <c r="A85" s="187">
        <v>63</v>
      </c>
      <c r="B85" s="186">
        <v>8200</v>
      </c>
      <c r="C85" s="35">
        <v>35</v>
      </c>
      <c r="D85" s="35">
        <v>37</v>
      </c>
      <c r="E85" s="187">
        <v>3.81</v>
      </c>
      <c r="F85" s="187">
        <v>0.3</v>
      </c>
      <c r="G85" s="187">
        <f t="shared" si="17"/>
        <v>4.8522848503626627E-2</v>
      </c>
      <c r="H85" s="35">
        <f t="shared" si="13"/>
        <v>35.598171755989341</v>
      </c>
      <c r="I85" s="35">
        <f t="shared" si="14"/>
        <v>230.34890825876084</v>
      </c>
      <c r="J85" s="35">
        <f t="shared" si="15"/>
        <v>457127.40843951091</v>
      </c>
      <c r="L85" s="35" t="str">
        <f t="shared" si="16"/>
        <v/>
      </c>
      <c r="M85" s="35" t="str">
        <f t="shared" si="18"/>
        <v/>
      </c>
      <c r="N85" s="35" t="str">
        <f t="shared" si="19"/>
        <v/>
      </c>
      <c r="O85" s="35" t="str">
        <f t="shared" si="20"/>
        <v/>
      </c>
      <c r="P85" s="35" t="str">
        <f t="shared" si="21"/>
        <v/>
      </c>
      <c r="Q85" s="35" t="str">
        <f t="shared" si="22"/>
        <v/>
      </c>
      <c r="R85" s="35" t="str">
        <f t="shared" si="23"/>
        <v/>
      </c>
      <c r="S85" s="35" t="str">
        <f t="shared" si="24"/>
        <v/>
      </c>
    </row>
    <row r="86" spans="1:19">
      <c r="A86" s="187">
        <v>63</v>
      </c>
      <c r="B86" s="186">
        <v>10000</v>
      </c>
      <c r="C86" s="35">
        <v>30</v>
      </c>
      <c r="D86" s="35">
        <v>50</v>
      </c>
      <c r="E86" s="187">
        <v>4.5999999999999996</v>
      </c>
      <c r="F86" s="187">
        <v>0.3</v>
      </c>
      <c r="G86" s="187">
        <f t="shared" si="17"/>
        <v>3.9788735772973836E-2</v>
      </c>
      <c r="H86" s="35">
        <f t="shared" si="13"/>
        <v>35.342917352885173</v>
      </c>
      <c r="I86" s="35">
        <f t="shared" si="14"/>
        <v>282.94212105225836</v>
      </c>
      <c r="J86" s="35">
        <f t="shared" si="15"/>
        <v>561498.63922820671</v>
      </c>
      <c r="L86" s="35" t="str">
        <f t="shared" si="16"/>
        <v/>
      </c>
      <c r="M86" s="35" t="str">
        <f t="shared" si="18"/>
        <v/>
      </c>
      <c r="N86" s="35" t="str">
        <f t="shared" si="19"/>
        <v/>
      </c>
      <c r="O86" s="35" t="str">
        <f t="shared" si="20"/>
        <v/>
      </c>
      <c r="P86" s="35" t="str">
        <f t="shared" si="21"/>
        <v/>
      </c>
      <c r="Q86" s="35" t="str">
        <f t="shared" si="22"/>
        <v/>
      </c>
      <c r="R86" s="35" t="str">
        <f t="shared" si="23"/>
        <v/>
      </c>
      <c r="S86" s="35" t="str">
        <f t="shared" si="24"/>
        <v/>
      </c>
    </row>
    <row r="87" spans="1:19">
      <c r="A87" s="187">
        <v>63</v>
      </c>
      <c r="B87" s="186">
        <v>12000</v>
      </c>
      <c r="C87" s="35">
        <v>35</v>
      </c>
      <c r="D87" s="35">
        <v>52</v>
      </c>
      <c r="E87" s="187">
        <v>5.12</v>
      </c>
      <c r="F87" s="187">
        <v>0.3</v>
      </c>
      <c r="G87" s="187">
        <f t="shared" si="17"/>
        <v>3.3157279810811534E-2</v>
      </c>
      <c r="H87" s="35">
        <f t="shared" si="13"/>
        <v>50.029863008417465</v>
      </c>
      <c r="I87" s="35">
        <f t="shared" si="14"/>
        <v>239.8567431212237</v>
      </c>
      <c r="J87" s="35">
        <f t="shared" si="15"/>
        <v>475995.70672406844</v>
      </c>
      <c r="L87" s="35" t="str">
        <f t="shared" si="16"/>
        <v/>
      </c>
      <c r="M87" s="35" t="str">
        <f t="shared" si="18"/>
        <v/>
      </c>
      <c r="N87" s="35" t="str">
        <f t="shared" si="19"/>
        <v/>
      </c>
      <c r="O87" s="35" t="str">
        <f t="shared" si="20"/>
        <v/>
      </c>
      <c r="P87" s="35" t="str">
        <f t="shared" si="21"/>
        <v/>
      </c>
      <c r="Q87" s="35" t="str">
        <f t="shared" si="22"/>
        <v/>
      </c>
      <c r="R87" s="35" t="str">
        <f t="shared" si="23"/>
        <v/>
      </c>
      <c r="S87" s="35" t="str">
        <f t="shared" si="24"/>
        <v/>
      </c>
    </row>
    <row r="88" spans="1:19">
      <c r="A88" s="187">
        <v>80</v>
      </c>
      <c r="B88" s="187">
        <v>680</v>
      </c>
      <c r="C88" s="35">
        <v>22</v>
      </c>
      <c r="D88" s="35">
        <v>25</v>
      </c>
      <c r="E88" s="187">
        <v>1.3</v>
      </c>
      <c r="F88" s="187">
        <v>0.2</v>
      </c>
      <c r="G88" s="187">
        <f t="shared" si="17"/>
        <v>0.39008564483307689</v>
      </c>
      <c r="H88" s="35">
        <f t="shared" si="13"/>
        <v>9.5033177771091246</v>
      </c>
      <c r="I88" s="35">
        <f t="shared" si="14"/>
        <v>71.553957885943021</v>
      </c>
      <c r="J88" s="35">
        <f t="shared" si="15"/>
        <v>228972.66523501766</v>
      </c>
      <c r="L88" s="35">
        <f t="shared" si="16"/>
        <v>894.42447357428773</v>
      </c>
      <c r="M88" s="35">
        <f t="shared" si="18"/>
        <v>503.6758421867836</v>
      </c>
      <c r="N88" s="35" t="str">
        <f t="shared" si="19"/>
        <v/>
      </c>
      <c r="O88" s="35" t="str">
        <f t="shared" si="20"/>
        <v/>
      </c>
      <c r="P88" s="35" t="str">
        <f t="shared" si="21"/>
        <v/>
      </c>
      <c r="Q88" s="35" t="str">
        <f t="shared" si="22"/>
        <v/>
      </c>
      <c r="R88" s="35" t="str">
        <f t="shared" si="23"/>
        <v/>
      </c>
      <c r="S88" s="35" t="str">
        <f t="shared" si="24"/>
        <v/>
      </c>
    </row>
    <row r="89" spans="1:19">
      <c r="A89" s="187">
        <v>80</v>
      </c>
      <c r="B89" s="186">
        <v>1000</v>
      </c>
      <c r="C89" s="35">
        <v>22</v>
      </c>
      <c r="D89" s="35">
        <v>26</v>
      </c>
      <c r="E89" s="187">
        <v>1.6</v>
      </c>
      <c r="F89" s="187">
        <v>0.2</v>
      </c>
      <c r="G89" s="187">
        <f t="shared" si="17"/>
        <v>0.26525823848649233</v>
      </c>
      <c r="H89" s="35">
        <f t="shared" si="13"/>
        <v>9.8834504881934908</v>
      </c>
      <c r="I89" s="35">
        <f t="shared" si="14"/>
        <v>101.179239092114</v>
      </c>
      <c r="J89" s="35">
        <f t="shared" si="15"/>
        <v>323773.56509476481</v>
      </c>
      <c r="L89" s="35" t="str">
        <f t="shared" si="16"/>
        <v/>
      </c>
      <c r="M89" s="35" t="str">
        <f t="shared" si="18"/>
        <v/>
      </c>
      <c r="N89" s="35" t="str">
        <f t="shared" si="19"/>
        <v/>
      </c>
      <c r="O89" s="35" t="str">
        <f t="shared" si="20"/>
        <v/>
      </c>
      <c r="P89" s="35" t="str">
        <f t="shared" si="21"/>
        <v/>
      </c>
      <c r="Q89" s="35" t="str">
        <f t="shared" si="22"/>
        <v/>
      </c>
      <c r="R89" s="35" t="str">
        <f t="shared" si="23"/>
        <v/>
      </c>
      <c r="S89" s="35" t="str">
        <f t="shared" si="24"/>
        <v/>
      </c>
    </row>
    <row r="90" spans="1:19">
      <c r="A90" s="187">
        <v>80</v>
      </c>
      <c r="B90" s="186">
        <v>1000</v>
      </c>
      <c r="C90" s="35">
        <v>22</v>
      </c>
      <c r="D90" s="35">
        <v>30</v>
      </c>
      <c r="E90" s="187">
        <v>1.35</v>
      </c>
      <c r="F90" s="187">
        <v>0.2</v>
      </c>
      <c r="G90" s="187">
        <f t="shared" si="17"/>
        <v>0.26525823848649233</v>
      </c>
      <c r="H90" s="35">
        <f t="shared" si="13"/>
        <v>11.403981332530948</v>
      </c>
      <c r="I90" s="35">
        <f t="shared" si="14"/>
        <v>87.688673879832152</v>
      </c>
      <c r="J90" s="35">
        <f t="shared" si="15"/>
        <v>280603.75641546288</v>
      </c>
      <c r="L90" s="35" t="str">
        <f t="shared" si="16"/>
        <v/>
      </c>
      <c r="M90" s="35" t="str">
        <f t="shared" si="18"/>
        <v/>
      </c>
      <c r="N90" s="35" t="str">
        <f t="shared" si="19"/>
        <v/>
      </c>
      <c r="O90" s="35" t="str">
        <f t="shared" si="20"/>
        <v/>
      </c>
      <c r="P90" s="35" t="str">
        <f t="shared" si="21"/>
        <v/>
      </c>
      <c r="Q90" s="35" t="str">
        <f t="shared" si="22"/>
        <v/>
      </c>
      <c r="R90" s="35" t="str">
        <f t="shared" si="23"/>
        <v/>
      </c>
      <c r="S90" s="35" t="str">
        <f t="shared" si="24"/>
        <v/>
      </c>
    </row>
    <row r="91" spans="1:19">
      <c r="A91" s="187">
        <v>80</v>
      </c>
      <c r="B91" s="186">
        <v>1500</v>
      </c>
      <c r="C91" s="35">
        <v>22</v>
      </c>
      <c r="D91" s="35">
        <v>31</v>
      </c>
      <c r="E91" s="187">
        <v>1.8</v>
      </c>
      <c r="F91" s="187">
        <v>0.2</v>
      </c>
      <c r="G91" s="187">
        <f t="shared" si="17"/>
        <v>0.17683882565766154</v>
      </c>
      <c r="H91" s="35">
        <f t="shared" si="13"/>
        <v>11.784114043615313</v>
      </c>
      <c r="I91" s="35">
        <f t="shared" si="14"/>
        <v>127.2900104707241</v>
      </c>
      <c r="J91" s="35">
        <f t="shared" si="15"/>
        <v>407328.03350631712</v>
      </c>
      <c r="L91" s="35" t="str">
        <f t="shared" si="16"/>
        <v/>
      </c>
      <c r="M91" s="35" t="str">
        <f t="shared" si="18"/>
        <v/>
      </c>
      <c r="N91" s="35" t="str">
        <f t="shared" si="19"/>
        <v/>
      </c>
      <c r="O91" s="35" t="str">
        <f t="shared" si="20"/>
        <v/>
      </c>
      <c r="P91" s="35" t="str">
        <f t="shared" si="21"/>
        <v/>
      </c>
      <c r="Q91" s="35" t="str">
        <f t="shared" si="22"/>
        <v/>
      </c>
      <c r="R91" s="35" t="str">
        <f t="shared" si="23"/>
        <v/>
      </c>
      <c r="S91" s="35" t="str">
        <f t="shared" si="24"/>
        <v/>
      </c>
    </row>
    <row r="92" spans="1:19">
      <c r="A92" s="187">
        <v>80</v>
      </c>
      <c r="B92" s="186">
        <v>1500</v>
      </c>
      <c r="C92" s="35">
        <v>25</v>
      </c>
      <c r="D92" s="35">
        <v>26</v>
      </c>
      <c r="E92" s="187">
        <v>1.75</v>
      </c>
      <c r="F92" s="187">
        <v>0.2</v>
      </c>
      <c r="G92" s="187">
        <f t="shared" si="17"/>
        <v>0.17683882565766154</v>
      </c>
      <c r="H92" s="35">
        <f t="shared" ref="H92:H155" si="25">0.001*D92*PI()*(C92/2)^2</f>
        <v>12.762720155208536</v>
      </c>
      <c r="I92" s="35">
        <f t="shared" ref="I92:I155" si="26">B92/H92</f>
        <v>117.52980412939962</v>
      </c>
      <c r="J92" s="35">
        <f t="shared" ref="J92:J155" si="27">0.5*I92*A92^2</f>
        <v>376095.37321407878</v>
      </c>
      <c r="L92" s="35" t="str">
        <f t="shared" ref="L92:L155" si="28">IF(AND($W$9&lt;A92,D92&lt;=$W$14),0.5*I92*$W$7,"")</f>
        <v/>
      </c>
      <c r="M92" s="35" t="str">
        <f t="shared" si="18"/>
        <v/>
      </c>
      <c r="N92" s="35" t="str">
        <f t="shared" si="19"/>
        <v/>
      </c>
      <c r="O92" s="35" t="str">
        <f t="shared" si="20"/>
        <v/>
      </c>
      <c r="P92" s="35" t="str">
        <f t="shared" si="21"/>
        <v/>
      </c>
      <c r="Q92" s="35" t="str">
        <f t="shared" si="22"/>
        <v/>
      </c>
      <c r="R92" s="35" t="str">
        <f t="shared" si="23"/>
        <v/>
      </c>
      <c r="S92" s="35" t="str">
        <f t="shared" si="24"/>
        <v/>
      </c>
    </row>
    <row r="93" spans="1:19">
      <c r="A93" s="187">
        <v>80</v>
      </c>
      <c r="B93" s="186">
        <v>1800</v>
      </c>
      <c r="C93" s="35">
        <v>22</v>
      </c>
      <c r="D93" s="35">
        <v>36</v>
      </c>
      <c r="E93" s="187">
        <v>1.8</v>
      </c>
      <c r="F93" s="187">
        <v>0.2</v>
      </c>
      <c r="G93" s="187">
        <f t="shared" ref="G93:G156" si="29">F93/(2*PI()*120*B93*10^-6)</f>
        <v>0.14736568804805125</v>
      </c>
      <c r="H93" s="35">
        <f t="shared" si="25"/>
        <v>13.68477759903714</v>
      </c>
      <c r="I93" s="35">
        <f t="shared" si="26"/>
        <v>131.5330108197482</v>
      </c>
      <c r="J93" s="35">
        <f t="shared" si="27"/>
        <v>420905.63462319423</v>
      </c>
      <c r="L93" s="35" t="str">
        <f t="shared" si="28"/>
        <v/>
      </c>
      <c r="M93" s="35" t="str">
        <f t="shared" si="18"/>
        <v/>
      </c>
      <c r="N93" s="35" t="str">
        <f t="shared" si="19"/>
        <v/>
      </c>
      <c r="O93" s="35" t="str">
        <f t="shared" si="20"/>
        <v/>
      </c>
      <c r="P93" s="35" t="str">
        <f t="shared" si="21"/>
        <v/>
      </c>
      <c r="Q93" s="35" t="str">
        <f t="shared" si="22"/>
        <v/>
      </c>
      <c r="R93" s="35" t="str">
        <f t="shared" si="23"/>
        <v/>
      </c>
      <c r="S93" s="35" t="str">
        <f t="shared" si="24"/>
        <v/>
      </c>
    </row>
    <row r="94" spans="1:19">
      <c r="A94" s="187">
        <v>80</v>
      </c>
      <c r="B94" s="186">
        <v>1800</v>
      </c>
      <c r="C94" s="35">
        <v>25</v>
      </c>
      <c r="D94" s="35">
        <v>31</v>
      </c>
      <c r="E94" s="187">
        <v>1.6</v>
      </c>
      <c r="F94" s="187">
        <v>0.2</v>
      </c>
      <c r="G94" s="187">
        <f t="shared" si="29"/>
        <v>0.14736568804805125</v>
      </c>
      <c r="H94" s="35">
        <f t="shared" si="25"/>
        <v>15.217089415825559</v>
      </c>
      <c r="I94" s="35">
        <f t="shared" si="26"/>
        <v>118.28806093023449</v>
      </c>
      <c r="J94" s="35">
        <f t="shared" si="27"/>
        <v>378521.79497675039</v>
      </c>
      <c r="L94" s="35" t="str">
        <f t="shared" si="28"/>
        <v/>
      </c>
      <c r="M94" s="35" t="str">
        <f t="shared" si="18"/>
        <v/>
      </c>
      <c r="N94" s="35" t="str">
        <f t="shared" si="19"/>
        <v/>
      </c>
      <c r="O94" s="35" t="str">
        <f t="shared" si="20"/>
        <v/>
      </c>
      <c r="P94" s="35" t="str">
        <f t="shared" si="21"/>
        <v/>
      </c>
      <c r="Q94" s="35" t="str">
        <f t="shared" si="22"/>
        <v/>
      </c>
      <c r="R94" s="35" t="str">
        <f t="shared" si="23"/>
        <v/>
      </c>
      <c r="S94" s="35" t="str">
        <f t="shared" si="24"/>
        <v/>
      </c>
    </row>
    <row r="95" spans="1:19">
      <c r="A95" s="187">
        <v>80</v>
      </c>
      <c r="B95" s="186">
        <v>2200</v>
      </c>
      <c r="C95" s="35">
        <v>22</v>
      </c>
      <c r="D95" s="35">
        <v>41</v>
      </c>
      <c r="E95" s="187">
        <v>2.5</v>
      </c>
      <c r="F95" s="187">
        <v>0.2</v>
      </c>
      <c r="G95" s="187">
        <f t="shared" si="29"/>
        <v>0.12057192658476922</v>
      </c>
      <c r="H95" s="35">
        <f t="shared" si="25"/>
        <v>15.585441154458964</v>
      </c>
      <c r="I95" s="35">
        <f t="shared" si="26"/>
        <v>141.15737746509564</v>
      </c>
      <c r="J95" s="35">
        <f t="shared" si="27"/>
        <v>451703.60788830603</v>
      </c>
      <c r="L95" s="35" t="str">
        <f t="shared" si="28"/>
        <v/>
      </c>
      <c r="M95" s="35" t="str">
        <f t="shared" si="18"/>
        <v/>
      </c>
      <c r="N95" s="35" t="str">
        <f t="shared" si="19"/>
        <v/>
      </c>
      <c r="O95" s="35" t="str">
        <f t="shared" si="20"/>
        <v/>
      </c>
      <c r="P95" s="35" t="str">
        <f t="shared" si="21"/>
        <v/>
      </c>
      <c r="Q95" s="35" t="str">
        <f t="shared" si="22"/>
        <v/>
      </c>
      <c r="R95" s="35" t="str">
        <f t="shared" si="23"/>
        <v/>
      </c>
      <c r="S95" s="35" t="str">
        <f t="shared" si="24"/>
        <v/>
      </c>
    </row>
    <row r="96" spans="1:19">
      <c r="A96" s="187">
        <v>80</v>
      </c>
      <c r="B96" s="186">
        <v>2200</v>
      </c>
      <c r="C96" s="35">
        <v>25</v>
      </c>
      <c r="D96" s="35">
        <v>31</v>
      </c>
      <c r="E96" s="187">
        <v>2.2999999999999998</v>
      </c>
      <c r="F96" s="187">
        <v>0.2</v>
      </c>
      <c r="G96" s="187">
        <f t="shared" si="29"/>
        <v>0.12057192658476922</v>
      </c>
      <c r="H96" s="35">
        <f t="shared" si="25"/>
        <v>15.217089415825559</v>
      </c>
      <c r="I96" s="35">
        <f t="shared" si="26"/>
        <v>144.57429669250882</v>
      </c>
      <c r="J96" s="35">
        <f t="shared" si="27"/>
        <v>462637.74941602827</v>
      </c>
      <c r="L96" s="35" t="str">
        <f t="shared" si="28"/>
        <v/>
      </c>
      <c r="M96" s="35" t="str">
        <f t="shared" si="18"/>
        <v/>
      </c>
      <c r="N96" s="35" t="str">
        <f t="shared" si="19"/>
        <v/>
      </c>
      <c r="O96" s="35" t="str">
        <f t="shared" si="20"/>
        <v/>
      </c>
      <c r="P96" s="35" t="str">
        <f t="shared" si="21"/>
        <v/>
      </c>
      <c r="Q96" s="35" t="str">
        <f t="shared" si="22"/>
        <v/>
      </c>
      <c r="R96" s="35" t="str">
        <f t="shared" si="23"/>
        <v/>
      </c>
      <c r="S96" s="35" t="str">
        <f t="shared" si="24"/>
        <v/>
      </c>
    </row>
    <row r="97" spans="1:19">
      <c r="A97" s="187">
        <v>80</v>
      </c>
      <c r="B97" s="186">
        <v>2700</v>
      </c>
      <c r="C97" s="35">
        <v>22</v>
      </c>
      <c r="D97" s="35">
        <v>46</v>
      </c>
      <c r="E97" s="187">
        <v>2.8</v>
      </c>
      <c r="F97" s="187">
        <v>0.2</v>
      </c>
      <c r="G97" s="187">
        <f t="shared" si="29"/>
        <v>9.8243792032034191E-2</v>
      </c>
      <c r="H97" s="35">
        <f t="shared" si="25"/>
        <v>17.486104709880788</v>
      </c>
      <c r="I97" s="35">
        <f t="shared" si="26"/>
        <v>154.40831704926964</v>
      </c>
      <c r="J97" s="35">
        <f t="shared" si="27"/>
        <v>494106.61455766286</v>
      </c>
      <c r="L97" s="35" t="str">
        <f t="shared" si="28"/>
        <v/>
      </c>
      <c r="M97" s="35" t="str">
        <f t="shared" si="18"/>
        <v/>
      </c>
      <c r="N97" s="35" t="str">
        <f t="shared" si="19"/>
        <v/>
      </c>
      <c r="O97" s="35" t="str">
        <f t="shared" si="20"/>
        <v/>
      </c>
      <c r="P97" s="35" t="str">
        <f t="shared" si="21"/>
        <v/>
      </c>
      <c r="Q97" s="35" t="str">
        <f t="shared" si="22"/>
        <v/>
      </c>
      <c r="R97" s="35" t="str">
        <f t="shared" si="23"/>
        <v/>
      </c>
      <c r="S97" s="35" t="str">
        <f t="shared" si="24"/>
        <v/>
      </c>
    </row>
    <row r="98" spans="1:19">
      <c r="A98" s="187">
        <v>80</v>
      </c>
      <c r="B98" s="186">
        <v>2700</v>
      </c>
      <c r="C98" s="35">
        <v>25</v>
      </c>
      <c r="D98" s="35">
        <v>36</v>
      </c>
      <c r="E98" s="187">
        <v>2.65</v>
      </c>
      <c r="F98" s="187">
        <v>0.2</v>
      </c>
      <c r="G98" s="187">
        <f t="shared" si="29"/>
        <v>9.8243792032034191E-2</v>
      </c>
      <c r="H98" s="35">
        <f t="shared" si="25"/>
        <v>17.67145867644259</v>
      </c>
      <c r="I98" s="35">
        <f t="shared" si="26"/>
        <v>152.78874536821948</v>
      </c>
      <c r="J98" s="35">
        <f t="shared" si="27"/>
        <v>488923.98517830233</v>
      </c>
      <c r="L98" s="35" t="str">
        <f t="shared" si="28"/>
        <v/>
      </c>
      <c r="M98" s="35" t="str">
        <f t="shared" si="18"/>
        <v/>
      </c>
      <c r="N98" s="35" t="str">
        <f t="shared" si="19"/>
        <v/>
      </c>
      <c r="O98" s="35" t="str">
        <f t="shared" si="20"/>
        <v/>
      </c>
      <c r="P98" s="35" t="str">
        <f t="shared" si="21"/>
        <v/>
      </c>
      <c r="Q98" s="35" t="str">
        <f t="shared" si="22"/>
        <v/>
      </c>
      <c r="R98" s="35" t="str">
        <f t="shared" si="23"/>
        <v/>
      </c>
      <c r="S98" s="35" t="str">
        <f t="shared" si="24"/>
        <v/>
      </c>
    </row>
    <row r="99" spans="1:19">
      <c r="A99" s="187">
        <v>80</v>
      </c>
      <c r="B99" s="186">
        <v>3300</v>
      </c>
      <c r="C99" s="35">
        <v>22</v>
      </c>
      <c r="D99" s="35">
        <v>50</v>
      </c>
      <c r="E99" s="187">
        <v>3.3</v>
      </c>
      <c r="F99" s="187">
        <v>0.2</v>
      </c>
      <c r="G99" s="187">
        <f t="shared" si="29"/>
        <v>8.0381284389846139E-2</v>
      </c>
      <c r="H99" s="35">
        <f t="shared" si="25"/>
        <v>19.006635554218249</v>
      </c>
      <c r="I99" s="35">
        <f t="shared" si="26"/>
        <v>173.62357428206764</v>
      </c>
      <c r="J99" s="35">
        <f t="shared" si="27"/>
        <v>555595.43770261644</v>
      </c>
      <c r="L99" s="35" t="str">
        <f t="shared" si="28"/>
        <v/>
      </c>
      <c r="M99" s="35" t="str">
        <f t="shared" si="18"/>
        <v/>
      </c>
      <c r="N99" s="35" t="str">
        <f t="shared" si="19"/>
        <v/>
      </c>
      <c r="O99" s="35" t="str">
        <f t="shared" si="20"/>
        <v/>
      </c>
      <c r="P99" s="35" t="str">
        <f t="shared" si="21"/>
        <v/>
      </c>
      <c r="Q99" s="35" t="str">
        <f t="shared" si="22"/>
        <v/>
      </c>
      <c r="R99" s="35" t="str">
        <f t="shared" si="23"/>
        <v/>
      </c>
      <c r="S99" s="35" t="str">
        <f t="shared" si="24"/>
        <v/>
      </c>
    </row>
    <row r="100" spans="1:19">
      <c r="A100" s="187">
        <v>80</v>
      </c>
      <c r="B100" s="186">
        <v>3300</v>
      </c>
      <c r="C100" s="35">
        <v>25</v>
      </c>
      <c r="D100" s="35">
        <v>41</v>
      </c>
      <c r="E100" s="187">
        <v>3.12</v>
      </c>
      <c r="F100" s="187">
        <v>0.2</v>
      </c>
      <c r="G100" s="187">
        <f t="shared" si="29"/>
        <v>8.0381284389846139E-2</v>
      </c>
      <c r="H100" s="35">
        <f t="shared" si="25"/>
        <v>20.125827937059615</v>
      </c>
      <c r="I100" s="35">
        <f t="shared" si="26"/>
        <v>163.96840966345508</v>
      </c>
      <c r="J100" s="35">
        <f t="shared" si="27"/>
        <v>524698.9109230563</v>
      </c>
      <c r="L100" s="35" t="str">
        <f t="shared" si="28"/>
        <v/>
      </c>
      <c r="M100" s="35" t="str">
        <f t="shared" si="18"/>
        <v/>
      </c>
      <c r="N100" s="35" t="str">
        <f t="shared" si="19"/>
        <v/>
      </c>
      <c r="O100" s="35" t="str">
        <f t="shared" si="20"/>
        <v/>
      </c>
      <c r="P100" s="35" t="str">
        <f t="shared" si="21"/>
        <v/>
      </c>
      <c r="Q100" s="35" t="str">
        <f t="shared" si="22"/>
        <v/>
      </c>
      <c r="R100" s="35" t="str">
        <f t="shared" si="23"/>
        <v/>
      </c>
      <c r="S100" s="35" t="str">
        <f t="shared" si="24"/>
        <v/>
      </c>
    </row>
    <row r="101" spans="1:19">
      <c r="A101" s="187">
        <v>80</v>
      </c>
      <c r="B101" s="186">
        <v>3900</v>
      </c>
      <c r="C101" s="35">
        <v>25</v>
      </c>
      <c r="D101" s="35">
        <v>46</v>
      </c>
      <c r="E101" s="187">
        <v>3.4</v>
      </c>
      <c r="F101" s="187">
        <v>0.2</v>
      </c>
      <c r="G101" s="187">
        <f t="shared" si="29"/>
        <v>6.801493294525443E-2</v>
      </c>
      <c r="H101" s="35">
        <f t="shared" si="25"/>
        <v>22.58019719767664</v>
      </c>
      <c r="I101" s="35">
        <f t="shared" si="26"/>
        <v>172.71771215537859</v>
      </c>
      <c r="J101" s="35">
        <f t="shared" si="27"/>
        <v>552696.67889721144</v>
      </c>
      <c r="L101" s="35" t="str">
        <f t="shared" si="28"/>
        <v/>
      </c>
      <c r="M101" s="35" t="str">
        <f t="shared" si="18"/>
        <v/>
      </c>
      <c r="N101" s="35" t="str">
        <f t="shared" si="19"/>
        <v/>
      </c>
      <c r="O101" s="35" t="str">
        <f t="shared" si="20"/>
        <v/>
      </c>
      <c r="P101" s="35" t="str">
        <f t="shared" si="21"/>
        <v/>
      </c>
      <c r="Q101" s="35" t="str">
        <f t="shared" si="22"/>
        <v/>
      </c>
      <c r="R101" s="35" t="str">
        <f t="shared" si="23"/>
        <v/>
      </c>
      <c r="S101" s="35" t="str">
        <f t="shared" si="24"/>
        <v/>
      </c>
    </row>
    <row r="102" spans="1:19">
      <c r="A102" s="187">
        <v>80</v>
      </c>
      <c r="B102" s="186">
        <v>3900</v>
      </c>
      <c r="C102" s="35">
        <v>30</v>
      </c>
      <c r="D102" s="35">
        <v>36</v>
      </c>
      <c r="E102" s="187">
        <v>3.1</v>
      </c>
      <c r="F102" s="187">
        <v>0.2</v>
      </c>
      <c r="G102" s="187">
        <f t="shared" si="29"/>
        <v>6.801493294525443E-2</v>
      </c>
      <c r="H102" s="35">
        <f t="shared" si="25"/>
        <v>25.446900494077326</v>
      </c>
      <c r="I102" s="35">
        <f t="shared" si="26"/>
        <v>153.26031556997327</v>
      </c>
      <c r="J102" s="35">
        <f t="shared" si="27"/>
        <v>490433.0098239145</v>
      </c>
      <c r="L102" s="35" t="str">
        <f t="shared" si="28"/>
        <v/>
      </c>
      <c r="M102" s="35" t="str">
        <f t="shared" si="18"/>
        <v/>
      </c>
      <c r="N102" s="35" t="str">
        <f t="shared" si="19"/>
        <v/>
      </c>
      <c r="O102" s="35" t="str">
        <f t="shared" si="20"/>
        <v/>
      </c>
      <c r="P102" s="35" t="str">
        <f t="shared" si="21"/>
        <v/>
      </c>
      <c r="Q102" s="35" t="str">
        <f t="shared" si="22"/>
        <v/>
      </c>
      <c r="R102" s="35" t="str">
        <f t="shared" si="23"/>
        <v/>
      </c>
      <c r="S102" s="35" t="str">
        <f t="shared" si="24"/>
        <v/>
      </c>
    </row>
    <row r="103" spans="1:19">
      <c r="A103" s="187">
        <v>80</v>
      </c>
      <c r="B103" s="186">
        <v>4700</v>
      </c>
      <c r="C103" s="35">
        <v>25</v>
      </c>
      <c r="D103" s="35">
        <v>50</v>
      </c>
      <c r="E103" s="187">
        <v>3.6</v>
      </c>
      <c r="F103" s="187">
        <v>0.25</v>
      </c>
      <c r="G103" s="187">
        <f t="shared" si="29"/>
        <v>7.0547403852790486E-2</v>
      </c>
      <c r="H103" s="35">
        <f t="shared" si="25"/>
        <v>24.543692606170257</v>
      </c>
      <c r="I103" s="35">
        <f t="shared" si="26"/>
        <v>191.4952275281685</v>
      </c>
      <c r="J103" s="35">
        <f t="shared" si="27"/>
        <v>612784.72809013922</v>
      </c>
      <c r="L103" s="35" t="str">
        <f t="shared" si="28"/>
        <v/>
      </c>
      <c r="M103" s="35" t="str">
        <f t="shared" si="18"/>
        <v/>
      </c>
      <c r="N103" s="35" t="str">
        <f t="shared" si="19"/>
        <v/>
      </c>
      <c r="O103" s="35" t="str">
        <f t="shared" si="20"/>
        <v/>
      </c>
      <c r="P103" s="35" t="str">
        <f t="shared" si="21"/>
        <v/>
      </c>
      <c r="Q103" s="35" t="str">
        <f t="shared" si="22"/>
        <v/>
      </c>
      <c r="R103" s="35" t="str">
        <f t="shared" si="23"/>
        <v/>
      </c>
      <c r="S103" s="35" t="str">
        <f t="shared" si="24"/>
        <v/>
      </c>
    </row>
    <row r="104" spans="1:19">
      <c r="A104" s="187">
        <v>80</v>
      </c>
      <c r="B104" s="186">
        <v>4700</v>
      </c>
      <c r="C104" s="35">
        <v>30</v>
      </c>
      <c r="D104" s="35">
        <v>41</v>
      </c>
      <c r="E104" s="187">
        <v>3.45</v>
      </c>
      <c r="F104" s="187">
        <v>0.25</v>
      </c>
      <c r="G104" s="187">
        <f t="shared" si="29"/>
        <v>7.0547403852790486E-2</v>
      </c>
      <c r="H104" s="35">
        <f t="shared" si="25"/>
        <v>28.981192229365845</v>
      </c>
      <c r="I104" s="35">
        <f t="shared" si="26"/>
        <v>162.17414255434321</v>
      </c>
      <c r="J104" s="35">
        <f t="shared" si="27"/>
        <v>518957.25617389823</v>
      </c>
      <c r="L104" s="35" t="str">
        <f t="shared" si="28"/>
        <v/>
      </c>
      <c r="M104" s="35" t="str">
        <f t="shared" si="18"/>
        <v/>
      </c>
      <c r="N104" s="35" t="str">
        <f t="shared" si="19"/>
        <v/>
      </c>
      <c r="O104" s="35" t="str">
        <f t="shared" si="20"/>
        <v/>
      </c>
      <c r="P104" s="35" t="str">
        <f t="shared" si="21"/>
        <v/>
      </c>
      <c r="Q104" s="35" t="str">
        <f t="shared" si="22"/>
        <v/>
      </c>
      <c r="R104" s="35" t="str">
        <f t="shared" si="23"/>
        <v/>
      </c>
      <c r="S104" s="35" t="str">
        <f t="shared" si="24"/>
        <v/>
      </c>
    </row>
    <row r="105" spans="1:19">
      <c r="A105" s="187">
        <v>80</v>
      </c>
      <c r="B105" s="186">
        <v>5600</v>
      </c>
      <c r="C105" s="35">
        <v>30</v>
      </c>
      <c r="D105" s="35">
        <v>46</v>
      </c>
      <c r="E105" s="187">
        <v>3.8</v>
      </c>
      <c r="F105" s="187">
        <v>0.25</v>
      </c>
      <c r="G105" s="187">
        <f t="shared" si="29"/>
        <v>5.9209428233592022E-2</v>
      </c>
      <c r="H105" s="35">
        <f t="shared" si="25"/>
        <v>32.515483964654358</v>
      </c>
      <c r="I105" s="35">
        <f t="shared" si="26"/>
        <v>172.22563890137468</v>
      </c>
      <c r="J105" s="35">
        <f t="shared" si="27"/>
        <v>551122.04448439903</v>
      </c>
      <c r="L105" s="35" t="str">
        <f t="shared" si="28"/>
        <v/>
      </c>
      <c r="M105" s="35" t="str">
        <f t="shared" si="18"/>
        <v/>
      </c>
      <c r="N105" s="35" t="str">
        <f t="shared" si="19"/>
        <v/>
      </c>
      <c r="O105" s="35" t="str">
        <f t="shared" si="20"/>
        <v/>
      </c>
      <c r="P105" s="35" t="str">
        <f t="shared" si="21"/>
        <v/>
      </c>
      <c r="Q105" s="35" t="str">
        <f t="shared" si="22"/>
        <v/>
      </c>
      <c r="R105" s="35" t="str">
        <f t="shared" si="23"/>
        <v/>
      </c>
      <c r="S105" s="35" t="str">
        <f t="shared" si="24"/>
        <v/>
      </c>
    </row>
    <row r="106" spans="1:19">
      <c r="A106" s="187">
        <v>80</v>
      </c>
      <c r="B106" s="186">
        <v>5600</v>
      </c>
      <c r="C106" s="35">
        <v>35</v>
      </c>
      <c r="D106" s="35">
        <v>37</v>
      </c>
      <c r="E106" s="187">
        <v>3.65</v>
      </c>
      <c r="F106" s="187">
        <v>0.25</v>
      </c>
      <c r="G106" s="187">
        <f t="shared" si="29"/>
        <v>5.9209428233592022E-2</v>
      </c>
      <c r="H106" s="35">
        <f t="shared" si="25"/>
        <v>35.598171755989341</v>
      </c>
      <c r="I106" s="35">
        <f t="shared" si="26"/>
        <v>157.31144954256837</v>
      </c>
      <c r="J106" s="35">
        <f t="shared" si="27"/>
        <v>503396.63853621879</v>
      </c>
      <c r="L106" s="35" t="str">
        <f t="shared" si="28"/>
        <v/>
      </c>
      <c r="M106" s="35" t="str">
        <f t="shared" si="18"/>
        <v/>
      </c>
      <c r="N106" s="35" t="str">
        <f t="shared" si="19"/>
        <v/>
      </c>
      <c r="O106" s="35" t="str">
        <f t="shared" si="20"/>
        <v/>
      </c>
      <c r="P106" s="35" t="str">
        <f t="shared" si="21"/>
        <v/>
      </c>
      <c r="Q106" s="35" t="str">
        <f t="shared" si="22"/>
        <v/>
      </c>
      <c r="R106" s="35" t="str">
        <f t="shared" si="23"/>
        <v/>
      </c>
      <c r="S106" s="35" t="str">
        <f t="shared" si="24"/>
        <v/>
      </c>
    </row>
    <row r="107" spans="1:19">
      <c r="A107" s="187">
        <v>80</v>
      </c>
      <c r="B107" s="186">
        <v>6800</v>
      </c>
      <c r="C107" s="35">
        <v>30</v>
      </c>
      <c r="D107" s="35">
        <v>51</v>
      </c>
      <c r="E107" s="187">
        <v>4.5</v>
      </c>
      <c r="F107" s="187">
        <v>0.25</v>
      </c>
      <c r="G107" s="187">
        <f t="shared" si="29"/>
        <v>4.8760705604134612E-2</v>
      </c>
      <c r="H107" s="35">
        <f t="shared" si="25"/>
        <v>36.049775699942877</v>
      </c>
      <c r="I107" s="35">
        <f t="shared" si="26"/>
        <v>188.62808070150558</v>
      </c>
      <c r="J107" s="35">
        <f t="shared" si="27"/>
        <v>603609.85824481782</v>
      </c>
      <c r="L107" s="35" t="str">
        <f t="shared" si="28"/>
        <v/>
      </c>
      <c r="M107" s="35" t="str">
        <f t="shared" si="18"/>
        <v/>
      </c>
      <c r="N107" s="35" t="str">
        <f t="shared" si="19"/>
        <v/>
      </c>
      <c r="O107" s="35" t="str">
        <f t="shared" si="20"/>
        <v/>
      </c>
      <c r="P107" s="35" t="str">
        <f t="shared" si="21"/>
        <v/>
      </c>
      <c r="Q107" s="35" t="str">
        <f t="shared" si="22"/>
        <v/>
      </c>
      <c r="R107" s="35" t="str">
        <f t="shared" si="23"/>
        <v/>
      </c>
      <c r="S107" s="35" t="str">
        <f t="shared" si="24"/>
        <v/>
      </c>
    </row>
    <row r="108" spans="1:19">
      <c r="A108" s="187">
        <v>80</v>
      </c>
      <c r="B108" s="186">
        <v>6800</v>
      </c>
      <c r="C108" s="35">
        <v>35</v>
      </c>
      <c r="D108" s="35">
        <v>42</v>
      </c>
      <c r="E108" s="187">
        <v>3.84</v>
      </c>
      <c r="F108" s="187">
        <v>0.25</v>
      </c>
      <c r="G108" s="187">
        <f t="shared" si="29"/>
        <v>4.8760705604134612E-2</v>
      </c>
      <c r="H108" s="35">
        <f t="shared" si="25"/>
        <v>40.408735506798713</v>
      </c>
      <c r="I108" s="35">
        <f t="shared" si="26"/>
        <v>168.28044517393795</v>
      </c>
      <c r="J108" s="35">
        <f t="shared" si="27"/>
        <v>538497.42455660144</v>
      </c>
      <c r="L108" s="35" t="str">
        <f t="shared" si="28"/>
        <v/>
      </c>
      <c r="M108" s="35" t="str">
        <f t="shared" si="18"/>
        <v/>
      </c>
      <c r="N108" s="35" t="str">
        <f t="shared" si="19"/>
        <v/>
      </c>
      <c r="O108" s="35" t="str">
        <f t="shared" si="20"/>
        <v/>
      </c>
      <c r="P108" s="35" t="str">
        <f t="shared" si="21"/>
        <v/>
      </c>
      <c r="Q108" s="35" t="str">
        <f t="shared" si="22"/>
        <v/>
      </c>
      <c r="R108" s="35" t="str">
        <f t="shared" si="23"/>
        <v/>
      </c>
      <c r="S108" s="35" t="str">
        <f t="shared" si="24"/>
        <v/>
      </c>
    </row>
    <row r="109" spans="1:19">
      <c r="A109" s="187">
        <v>80</v>
      </c>
      <c r="B109" s="186">
        <v>8200</v>
      </c>
      <c r="C109" s="35">
        <v>35</v>
      </c>
      <c r="D109" s="35">
        <v>52</v>
      </c>
      <c r="E109" s="187">
        <v>4.9000000000000004</v>
      </c>
      <c r="F109" s="187">
        <v>0.25</v>
      </c>
      <c r="G109" s="187">
        <f t="shared" si="29"/>
        <v>4.0435707086355521E-2</v>
      </c>
      <c r="H109" s="35">
        <f t="shared" si="25"/>
        <v>50.029863008417465</v>
      </c>
      <c r="I109" s="35">
        <f t="shared" si="26"/>
        <v>163.90210779950286</v>
      </c>
      <c r="J109" s="35">
        <f t="shared" si="27"/>
        <v>524486.74495840911</v>
      </c>
      <c r="L109" s="35" t="str">
        <f t="shared" si="28"/>
        <v/>
      </c>
      <c r="M109" s="35" t="str">
        <f t="shared" si="18"/>
        <v/>
      </c>
      <c r="N109" s="35" t="str">
        <f t="shared" si="19"/>
        <v/>
      </c>
      <c r="O109" s="35" t="str">
        <f t="shared" si="20"/>
        <v/>
      </c>
      <c r="P109" s="35" t="str">
        <f t="shared" si="21"/>
        <v/>
      </c>
      <c r="Q109" s="35" t="str">
        <f t="shared" si="22"/>
        <v/>
      </c>
      <c r="R109" s="35" t="str">
        <f t="shared" si="23"/>
        <v/>
      </c>
      <c r="S109" s="35" t="str">
        <f t="shared" si="24"/>
        <v/>
      </c>
    </row>
    <row r="110" spans="1:19">
      <c r="A110" s="187">
        <v>100</v>
      </c>
      <c r="B110" s="187">
        <v>470</v>
      </c>
      <c r="C110" s="35">
        <v>20</v>
      </c>
      <c r="D110" s="35">
        <v>30</v>
      </c>
      <c r="E110" s="187">
        <v>1.3</v>
      </c>
      <c r="F110" s="187">
        <v>0.2</v>
      </c>
      <c r="G110" s="187">
        <f t="shared" si="29"/>
        <v>0.564379230822324</v>
      </c>
      <c r="H110" s="35">
        <f t="shared" si="25"/>
        <v>9.4247779607693793</v>
      </c>
      <c r="I110" s="35">
        <f t="shared" si="26"/>
        <v>49.868548835460544</v>
      </c>
      <c r="J110" s="35">
        <f t="shared" si="27"/>
        <v>249342.74417730272</v>
      </c>
      <c r="L110" s="35" t="str">
        <f t="shared" si="28"/>
        <v/>
      </c>
      <c r="M110" s="35" t="str">
        <f t="shared" si="18"/>
        <v/>
      </c>
      <c r="N110" s="35" t="str">
        <f t="shared" si="19"/>
        <v/>
      </c>
      <c r="O110" s="35" t="str">
        <f t="shared" si="20"/>
        <v/>
      </c>
      <c r="P110" s="35" t="str">
        <f t="shared" si="21"/>
        <v/>
      </c>
      <c r="Q110" s="35" t="str">
        <f t="shared" si="22"/>
        <v/>
      </c>
      <c r="R110" s="35" t="str">
        <f t="shared" si="23"/>
        <v/>
      </c>
      <c r="S110" s="35" t="str">
        <f t="shared" si="24"/>
        <v/>
      </c>
    </row>
    <row r="111" spans="1:19">
      <c r="A111" s="187">
        <v>100</v>
      </c>
      <c r="B111" s="187">
        <v>470</v>
      </c>
      <c r="C111" s="35">
        <v>22</v>
      </c>
      <c r="D111" s="35">
        <v>25</v>
      </c>
      <c r="E111" s="187">
        <v>1.1499999999999999</v>
      </c>
      <c r="F111" s="187">
        <v>0.2</v>
      </c>
      <c r="G111" s="187">
        <f t="shared" si="29"/>
        <v>0.564379230822324</v>
      </c>
      <c r="H111" s="35">
        <f t="shared" si="25"/>
        <v>9.5033177771091246</v>
      </c>
      <c r="I111" s="35">
        <f t="shared" si="26"/>
        <v>49.456412068225326</v>
      </c>
      <c r="J111" s="35">
        <f t="shared" si="27"/>
        <v>247282.06034112663</v>
      </c>
      <c r="L111" s="35">
        <f t="shared" si="28"/>
        <v>618.20515085281659</v>
      </c>
      <c r="M111" s="35">
        <f t="shared" si="18"/>
        <v>722.2521510602935</v>
      </c>
      <c r="N111" s="35" t="str">
        <f t="shared" si="19"/>
        <v/>
      </c>
      <c r="O111" s="35" t="str">
        <f t="shared" si="20"/>
        <v/>
      </c>
      <c r="P111" s="35" t="str">
        <f t="shared" si="21"/>
        <v/>
      </c>
      <c r="Q111" s="35" t="str">
        <f t="shared" si="22"/>
        <v/>
      </c>
      <c r="R111" s="35" t="str">
        <f t="shared" si="23"/>
        <v/>
      </c>
      <c r="S111" s="35" t="str">
        <f t="shared" si="24"/>
        <v/>
      </c>
    </row>
    <row r="112" spans="1:19">
      <c r="A112" s="187">
        <v>100</v>
      </c>
      <c r="B112" s="187">
        <v>680</v>
      </c>
      <c r="C112" s="35">
        <v>22</v>
      </c>
      <c r="D112" s="35">
        <v>30</v>
      </c>
      <c r="E112" s="187">
        <v>1.65</v>
      </c>
      <c r="F112" s="187">
        <v>0.2</v>
      </c>
      <c r="G112" s="187">
        <f t="shared" si="29"/>
        <v>0.39008564483307689</v>
      </c>
      <c r="H112" s="35">
        <f t="shared" si="25"/>
        <v>11.403981332530948</v>
      </c>
      <c r="I112" s="35">
        <f t="shared" si="26"/>
        <v>59.628298238285858</v>
      </c>
      <c r="J112" s="35">
        <f t="shared" si="27"/>
        <v>298141.49119142926</v>
      </c>
      <c r="L112" s="35" t="str">
        <f t="shared" si="28"/>
        <v/>
      </c>
      <c r="M112" s="35" t="str">
        <f t="shared" si="18"/>
        <v/>
      </c>
      <c r="N112" s="35" t="str">
        <f t="shared" si="19"/>
        <v/>
      </c>
      <c r="O112" s="35" t="str">
        <f t="shared" si="20"/>
        <v/>
      </c>
      <c r="P112" s="35" t="str">
        <f t="shared" si="21"/>
        <v/>
      </c>
      <c r="Q112" s="35" t="str">
        <f t="shared" si="22"/>
        <v/>
      </c>
      <c r="R112" s="35" t="str">
        <f t="shared" si="23"/>
        <v/>
      </c>
      <c r="S112" s="35" t="str">
        <f t="shared" si="24"/>
        <v/>
      </c>
    </row>
    <row r="113" spans="1:19">
      <c r="A113" s="187">
        <v>100</v>
      </c>
      <c r="B113" s="187">
        <v>820</v>
      </c>
      <c r="C113" s="35">
        <v>22</v>
      </c>
      <c r="D113" s="35">
        <v>30</v>
      </c>
      <c r="E113" s="187">
        <v>1.55</v>
      </c>
      <c r="F113" s="187">
        <v>0.2</v>
      </c>
      <c r="G113" s="187">
        <f t="shared" si="29"/>
        <v>0.32348565669084428</v>
      </c>
      <c r="H113" s="35">
        <f t="shared" si="25"/>
        <v>11.403981332530948</v>
      </c>
      <c r="I113" s="35">
        <f t="shared" si="26"/>
        <v>71.904712581462363</v>
      </c>
      <c r="J113" s="35">
        <f t="shared" si="27"/>
        <v>359523.56290731183</v>
      </c>
      <c r="L113" s="35" t="str">
        <f t="shared" si="28"/>
        <v/>
      </c>
      <c r="M113" s="35" t="str">
        <f t="shared" si="18"/>
        <v/>
      </c>
      <c r="N113" s="35" t="str">
        <f t="shared" si="19"/>
        <v/>
      </c>
      <c r="O113" s="35" t="str">
        <f t="shared" si="20"/>
        <v/>
      </c>
      <c r="P113" s="35" t="str">
        <f t="shared" si="21"/>
        <v/>
      </c>
      <c r="Q113" s="35" t="str">
        <f t="shared" si="22"/>
        <v/>
      </c>
      <c r="R113" s="35" t="str">
        <f t="shared" si="23"/>
        <v/>
      </c>
      <c r="S113" s="35" t="str">
        <f t="shared" si="24"/>
        <v/>
      </c>
    </row>
    <row r="114" spans="1:19">
      <c r="A114" s="187">
        <v>100</v>
      </c>
      <c r="B114" s="187">
        <v>820</v>
      </c>
      <c r="C114" s="35">
        <v>25</v>
      </c>
      <c r="D114" s="35">
        <v>30</v>
      </c>
      <c r="E114" s="187">
        <v>1.7</v>
      </c>
      <c r="F114" s="187">
        <v>0.2</v>
      </c>
      <c r="G114" s="187">
        <f t="shared" si="29"/>
        <v>0.32348565669084428</v>
      </c>
      <c r="H114" s="35">
        <f t="shared" si="25"/>
        <v>14.726215563702155</v>
      </c>
      <c r="I114" s="35">
        <f t="shared" si="26"/>
        <v>55.683009423084449</v>
      </c>
      <c r="J114" s="35">
        <f t="shared" si="27"/>
        <v>278415.04711542226</v>
      </c>
      <c r="L114" s="35" t="str">
        <f t="shared" si="28"/>
        <v/>
      </c>
      <c r="M114" s="35" t="str">
        <f t="shared" si="18"/>
        <v/>
      </c>
      <c r="N114" s="35" t="str">
        <f t="shared" si="19"/>
        <v/>
      </c>
      <c r="O114" s="35" t="str">
        <f t="shared" si="20"/>
        <v/>
      </c>
      <c r="P114" s="35" t="str">
        <f t="shared" si="21"/>
        <v/>
      </c>
      <c r="Q114" s="35" t="str">
        <f t="shared" si="22"/>
        <v/>
      </c>
      <c r="R114" s="35" t="str">
        <f t="shared" si="23"/>
        <v/>
      </c>
      <c r="S114" s="35" t="str">
        <f t="shared" si="24"/>
        <v/>
      </c>
    </row>
    <row r="115" spans="1:19">
      <c r="A115" s="187">
        <v>100</v>
      </c>
      <c r="B115" s="186">
        <v>1000</v>
      </c>
      <c r="C115" s="35">
        <v>22</v>
      </c>
      <c r="D115" s="35">
        <v>30</v>
      </c>
      <c r="E115" s="187">
        <v>2.2000000000000002</v>
      </c>
      <c r="F115" s="187">
        <v>0.2</v>
      </c>
      <c r="G115" s="187">
        <f t="shared" si="29"/>
        <v>0.26525823848649233</v>
      </c>
      <c r="H115" s="35">
        <f t="shared" si="25"/>
        <v>11.403981332530948</v>
      </c>
      <c r="I115" s="35">
        <f t="shared" si="26"/>
        <v>87.688673879832152</v>
      </c>
      <c r="J115" s="35">
        <f t="shared" si="27"/>
        <v>438443.36939916079</v>
      </c>
      <c r="L115" s="35" t="str">
        <f t="shared" si="28"/>
        <v/>
      </c>
      <c r="M115" s="35" t="str">
        <f t="shared" si="18"/>
        <v/>
      </c>
      <c r="N115" s="35" t="str">
        <f t="shared" si="19"/>
        <v/>
      </c>
      <c r="O115" s="35" t="str">
        <f t="shared" si="20"/>
        <v/>
      </c>
      <c r="P115" s="35" t="str">
        <f t="shared" si="21"/>
        <v/>
      </c>
      <c r="Q115" s="35" t="str">
        <f t="shared" si="22"/>
        <v/>
      </c>
      <c r="R115" s="35" t="str">
        <f t="shared" si="23"/>
        <v/>
      </c>
      <c r="S115" s="35" t="str">
        <f t="shared" si="24"/>
        <v/>
      </c>
    </row>
    <row r="116" spans="1:19">
      <c r="A116" s="187">
        <v>100</v>
      </c>
      <c r="B116" s="186">
        <v>1000</v>
      </c>
      <c r="C116" s="35">
        <v>25</v>
      </c>
      <c r="D116" s="35">
        <v>25</v>
      </c>
      <c r="E116" s="187">
        <v>1.71</v>
      </c>
      <c r="F116" s="187">
        <v>0.2</v>
      </c>
      <c r="G116" s="187">
        <f t="shared" si="29"/>
        <v>0.26525823848649233</v>
      </c>
      <c r="H116" s="35">
        <f t="shared" si="25"/>
        <v>12.271846303085129</v>
      </c>
      <c r="I116" s="35">
        <f t="shared" si="26"/>
        <v>81.487330863050417</v>
      </c>
      <c r="J116" s="35">
        <f t="shared" si="27"/>
        <v>407436.65431525209</v>
      </c>
      <c r="L116" s="35">
        <f t="shared" si="28"/>
        <v>1018.5916357881302</v>
      </c>
      <c r="M116" s="35">
        <f t="shared" si="18"/>
        <v>441.78646691106462</v>
      </c>
      <c r="N116" s="35" t="str">
        <f t="shared" si="19"/>
        <v/>
      </c>
      <c r="O116" s="35" t="str">
        <f t="shared" si="20"/>
        <v/>
      </c>
      <c r="P116" s="35" t="str">
        <f t="shared" si="21"/>
        <v/>
      </c>
      <c r="Q116" s="35" t="str">
        <f t="shared" si="22"/>
        <v/>
      </c>
      <c r="R116" s="35" t="str">
        <f t="shared" si="23"/>
        <v/>
      </c>
      <c r="S116" s="35" t="str">
        <f t="shared" si="24"/>
        <v/>
      </c>
    </row>
    <row r="117" spans="1:19">
      <c r="A117" s="187">
        <v>100</v>
      </c>
      <c r="B117" s="186">
        <v>1200</v>
      </c>
      <c r="C117" s="35">
        <v>22</v>
      </c>
      <c r="D117" s="35">
        <v>36</v>
      </c>
      <c r="E117" s="187">
        <v>2.2999999999999998</v>
      </c>
      <c r="F117" s="187">
        <v>0.2</v>
      </c>
      <c r="G117" s="187">
        <f t="shared" si="29"/>
        <v>0.22104853207207689</v>
      </c>
      <c r="H117" s="35">
        <f t="shared" si="25"/>
        <v>13.68477759903714</v>
      </c>
      <c r="I117" s="35">
        <f t="shared" si="26"/>
        <v>87.688673879832137</v>
      </c>
      <c r="J117" s="35">
        <f t="shared" si="27"/>
        <v>438443.36939916067</v>
      </c>
      <c r="L117" s="35" t="str">
        <f t="shared" si="28"/>
        <v/>
      </c>
      <c r="M117" s="35" t="str">
        <f t="shared" si="18"/>
        <v/>
      </c>
      <c r="N117" s="35" t="str">
        <f t="shared" si="19"/>
        <v/>
      </c>
      <c r="O117" s="35" t="str">
        <f t="shared" si="20"/>
        <v/>
      </c>
      <c r="P117" s="35" t="str">
        <f t="shared" si="21"/>
        <v/>
      </c>
      <c r="Q117" s="35" t="str">
        <f t="shared" si="22"/>
        <v/>
      </c>
      <c r="R117" s="35" t="str">
        <f t="shared" si="23"/>
        <v/>
      </c>
      <c r="S117" s="35" t="str">
        <f t="shared" si="24"/>
        <v/>
      </c>
    </row>
    <row r="118" spans="1:19">
      <c r="A118" s="187">
        <v>100</v>
      </c>
      <c r="B118" s="186">
        <v>1200</v>
      </c>
      <c r="C118" s="35">
        <v>25</v>
      </c>
      <c r="D118" s="35">
        <v>35</v>
      </c>
      <c r="E118" s="187">
        <v>2.2999999999999998</v>
      </c>
      <c r="F118" s="187">
        <v>0.2</v>
      </c>
      <c r="G118" s="187">
        <f t="shared" si="29"/>
        <v>0.22104853207207689</v>
      </c>
      <c r="H118" s="35">
        <f t="shared" si="25"/>
        <v>17.180584824319183</v>
      </c>
      <c r="I118" s="35">
        <f t="shared" si="26"/>
        <v>69.846283596900349</v>
      </c>
      <c r="J118" s="35">
        <f t="shared" si="27"/>
        <v>349231.41798450175</v>
      </c>
      <c r="L118" s="35" t="str">
        <f t="shared" si="28"/>
        <v/>
      </c>
      <c r="M118" s="35" t="str">
        <f t="shared" si="18"/>
        <v/>
      </c>
      <c r="N118" s="35" t="str">
        <f t="shared" si="19"/>
        <v/>
      </c>
      <c r="O118" s="35" t="str">
        <f t="shared" si="20"/>
        <v/>
      </c>
      <c r="P118" s="35" t="str">
        <f t="shared" si="21"/>
        <v/>
      </c>
      <c r="Q118" s="35" t="str">
        <f t="shared" si="22"/>
        <v/>
      </c>
      <c r="R118" s="35" t="str">
        <f t="shared" si="23"/>
        <v/>
      </c>
      <c r="S118" s="35" t="str">
        <f t="shared" si="24"/>
        <v/>
      </c>
    </row>
    <row r="119" spans="1:19">
      <c r="A119" s="187">
        <v>100</v>
      </c>
      <c r="B119" s="186">
        <v>1500</v>
      </c>
      <c r="C119" s="35">
        <v>22</v>
      </c>
      <c r="D119" s="35">
        <v>40</v>
      </c>
      <c r="E119" s="187">
        <v>2.54</v>
      </c>
      <c r="F119" s="187">
        <v>0.2</v>
      </c>
      <c r="G119" s="187">
        <f t="shared" si="29"/>
        <v>0.17683882565766154</v>
      </c>
      <c r="H119" s="35">
        <f t="shared" si="25"/>
        <v>15.2053084433746</v>
      </c>
      <c r="I119" s="35">
        <f t="shared" si="26"/>
        <v>98.649758114811149</v>
      </c>
      <c r="J119" s="35">
        <f t="shared" si="27"/>
        <v>493248.79057405575</v>
      </c>
      <c r="L119" s="35" t="str">
        <f t="shared" si="28"/>
        <v/>
      </c>
      <c r="M119" s="35" t="str">
        <f t="shared" si="18"/>
        <v/>
      </c>
      <c r="N119" s="35" t="str">
        <f t="shared" si="19"/>
        <v/>
      </c>
      <c r="O119" s="35" t="str">
        <f t="shared" si="20"/>
        <v/>
      </c>
      <c r="P119" s="35" t="str">
        <f t="shared" si="21"/>
        <v/>
      </c>
      <c r="Q119" s="35" t="str">
        <f t="shared" si="22"/>
        <v/>
      </c>
      <c r="R119" s="35" t="str">
        <f t="shared" si="23"/>
        <v/>
      </c>
      <c r="S119" s="35" t="str">
        <f t="shared" si="24"/>
        <v/>
      </c>
    </row>
    <row r="120" spans="1:19">
      <c r="A120" s="187">
        <v>100</v>
      </c>
      <c r="B120" s="186">
        <v>1500</v>
      </c>
      <c r="C120" s="35">
        <v>25</v>
      </c>
      <c r="D120" s="35">
        <v>40</v>
      </c>
      <c r="E120" s="187">
        <v>2.5</v>
      </c>
      <c r="F120" s="187">
        <v>0.2</v>
      </c>
      <c r="G120" s="187">
        <f t="shared" si="29"/>
        <v>0.17683882565766154</v>
      </c>
      <c r="H120" s="35">
        <f t="shared" si="25"/>
        <v>19.634954084936208</v>
      </c>
      <c r="I120" s="35">
        <f t="shared" si="26"/>
        <v>76.394372684109754</v>
      </c>
      <c r="J120" s="35">
        <f t="shared" si="27"/>
        <v>381971.86342054879</v>
      </c>
      <c r="L120" s="35" t="str">
        <f t="shared" si="28"/>
        <v/>
      </c>
      <c r="M120" s="35" t="str">
        <f t="shared" si="18"/>
        <v/>
      </c>
      <c r="N120" s="35" t="str">
        <f t="shared" si="19"/>
        <v/>
      </c>
      <c r="O120" s="35" t="str">
        <f t="shared" si="20"/>
        <v/>
      </c>
      <c r="P120" s="35" t="str">
        <f t="shared" si="21"/>
        <v/>
      </c>
      <c r="Q120" s="35" t="str">
        <f t="shared" si="22"/>
        <v/>
      </c>
      <c r="R120" s="35" t="str">
        <f t="shared" si="23"/>
        <v/>
      </c>
      <c r="S120" s="35" t="str">
        <f t="shared" si="24"/>
        <v/>
      </c>
    </row>
    <row r="121" spans="1:19">
      <c r="A121" s="187">
        <v>100</v>
      </c>
      <c r="B121" s="186">
        <v>1800</v>
      </c>
      <c r="C121" s="35">
        <v>22</v>
      </c>
      <c r="D121" s="35">
        <v>46</v>
      </c>
      <c r="E121" s="187">
        <v>2.2000000000000002</v>
      </c>
      <c r="F121" s="187">
        <v>0.2</v>
      </c>
      <c r="G121" s="187">
        <f t="shared" si="29"/>
        <v>0.14736568804805125</v>
      </c>
      <c r="H121" s="35">
        <f t="shared" si="25"/>
        <v>17.486104709880788</v>
      </c>
      <c r="I121" s="35">
        <f t="shared" si="26"/>
        <v>102.93887803284643</v>
      </c>
      <c r="J121" s="35">
        <f t="shared" si="27"/>
        <v>514694.39016423217</v>
      </c>
      <c r="L121" s="35" t="str">
        <f t="shared" si="28"/>
        <v/>
      </c>
      <c r="M121" s="35" t="str">
        <f t="shared" si="18"/>
        <v/>
      </c>
      <c r="N121" s="35" t="str">
        <f t="shared" si="19"/>
        <v/>
      </c>
      <c r="O121" s="35" t="str">
        <f t="shared" si="20"/>
        <v/>
      </c>
      <c r="P121" s="35" t="str">
        <f t="shared" si="21"/>
        <v/>
      </c>
      <c r="Q121" s="35" t="str">
        <f t="shared" si="22"/>
        <v/>
      </c>
      <c r="R121" s="35" t="str">
        <f t="shared" si="23"/>
        <v/>
      </c>
      <c r="S121" s="35" t="str">
        <f t="shared" si="24"/>
        <v/>
      </c>
    </row>
    <row r="122" spans="1:19">
      <c r="A122" s="187">
        <v>100</v>
      </c>
      <c r="B122" s="186">
        <v>1800</v>
      </c>
      <c r="C122" s="35">
        <v>25</v>
      </c>
      <c r="D122" s="35">
        <v>41</v>
      </c>
      <c r="E122" s="187">
        <v>2.0499999999999998</v>
      </c>
      <c r="F122" s="187">
        <v>0.2</v>
      </c>
      <c r="G122" s="187">
        <f t="shared" si="29"/>
        <v>0.14736568804805125</v>
      </c>
      <c r="H122" s="35">
        <f t="shared" si="25"/>
        <v>20.125827937059615</v>
      </c>
      <c r="I122" s="35">
        <f t="shared" si="26"/>
        <v>89.437314361884589</v>
      </c>
      <c r="J122" s="35">
        <f t="shared" si="27"/>
        <v>447186.57180942292</v>
      </c>
      <c r="L122" s="35" t="str">
        <f t="shared" si="28"/>
        <v/>
      </c>
      <c r="M122" s="35" t="str">
        <f t="shared" si="18"/>
        <v/>
      </c>
      <c r="N122" s="35" t="str">
        <f t="shared" si="19"/>
        <v/>
      </c>
      <c r="O122" s="35" t="str">
        <f t="shared" si="20"/>
        <v/>
      </c>
      <c r="P122" s="35" t="str">
        <f t="shared" si="21"/>
        <v/>
      </c>
      <c r="Q122" s="35" t="str">
        <f t="shared" si="22"/>
        <v/>
      </c>
      <c r="R122" s="35" t="str">
        <f t="shared" si="23"/>
        <v/>
      </c>
      <c r="S122" s="35" t="str">
        <f t="shared" si="24"/>
        <v/>
      </c>
    </row>
    <row r="123" spans="1:19">
      <c r="A123" s="187">
        <v>100</v>
      </c>
      <c r="B123" s="186">
        <v>2200</v>
      </c>
      <c r="C123" s="35">
        <v>22</v>
      </c>
      <c r="D123" s="35">
        <v>50</v>
      </c>
      <c r="E123" s="187">
        <v>3.07</v>
      </c>
      <c r="F123" s="187">
        <v>0.2</v>
      </c>
      <c r="G123" s="187">
        <f t="shared" si="29"/>
        <v>0.12057192658476922</v>
      </c>
      <c r="H123" s="35">
        <f t="shared" si="25"/>
        <v>19.006635554218249</v>
      </c>
      <c r="I123" s="35">
        <f t="shared" si="26"/>
        <v>115.74904952137842</v>
      </c>
      <c r="J123" s="35">
        <f t="shared" si="27"/>
        <v>578745.24760689214</v>
      </c>
      <c r="L123" s="35" t="str">
        <f t="shared" si="28"/>
        <v/>
      </c>
      <c r="M123" s="35" t="str">
        <f t="shared" si="18"/>
        <v/>
      </c>
      <c r="N123" s="35" t="str">
        <f t="shared" si="19"/>
        <v/>
      </c>
      <c r="O123" s="35" t="str">
        <f t="shared" si="20"/>
        <v/>
      </c>
      <c r="P123" s="35" t="str">
        <f t="shared" si="21"/>
        <v/>
      </c>
      <c r="Q123" s="35" t="str">
        <f t="shared" si="22"/>
        <v/>
      </c>
      <c r="R123" s="35" t="str">
        <f t="shared" si="23"/>
        <v/>
      </c>
      <c r="S123" s="35" t="str">
        <f t="shared" si="24"/>
        <v/>
      </c>
    </row>
    <row r="124" spans="1:19">
      <c r="A124" s="187">
        <v>100</v>
      </c>
      <c r="B124" s="186">
        <v>2200</v>
      </c>
      <c r="C124" s="35">
        <v>26</v>
      </c>
      <c r="D124" s="35">
        <v>40</v>
      </c>
      <c r="E124" s="187">
        <v>2.77</v>
      </c>
      <c r="F124" s="187">
        <v>0.2</v>
      </c>
      <c r="G124" s="187">
        <f t="shared" si="29"/>
        <v>0.12057192658476922</v>
      </c>
      <c r="H124" s="35">
        <f t="shared" si="25"/>
        <v>21.237166338267002</v>
      </c>
      <c r="I124" s="35">
        <f t="shared" si="26"/>
        <v>103.59197479354134</v>
      </c>
      <c r="J124" s="35">
        <f t="shared" si="27"/>
        <v>517959.87396770669</v>
      </c>
      <c r="L124" s="35" t="str">
        <f t="shared" si="28"/>
        <v/>
      </c>
      <c r="M124" s="35" t="str">
        <f t="shared" si="18"/>
        <v/>
      </c>
      <c r="N124" s="35" t="str">
        <f t="shared" si="19"/>
        <v/>
      </c>
      <c r="O124" s="35" t="str">
        <f t="shared" si="20"/>
        <v/>
      </c>
      <c r="P124" s="35" t="str">
        <f t="shared" si="21"/>
        <v/>
      </c>
      <c r="Q124" s="35" t="str">
        <f t="shared" si="22"/>
        <v/>
      </c>
      <c r="R124" s="35" t="str">
        <f t="shared" si="23"/>
        <v/>
      </c>
      <c r="S124" s="35" t="str">
        <f t="shared" si="24"/>
        <v/>
      </c>
    </row>
    <row r="125" spans="1:19">
      <c r="A125" s="187">
        <v>100</v>
      </c>
      <c r="B125" s="186">
        <v>2700</v>
      </c>
      <c r="C125" s="35">
        <v>25</v>
      </c>
      <c r="D125" s="35">
        <v>46</v>
      </c>
      <c r="E125" s="187">
        <v>3.15</v>
      </c>
      <c r="F125" s="187">
        <v>0.2</v>
      </c>
      <c r="G125" s="187">
        <f t="shared" si="29"/>
        <v>9.8243792032034191E-2</v>
      </c>
      <c r="H125" s="35">
        <f t="shared" si="25"/>
        <v>22.58019719767664</v>
      </c>
      <c r="I125" s="35">
        <f t="shared" si="26"/>
        <v>119.5738007229544</v>
      </c>
      <c r="J125" s="35">
        <f t="shared" si="27"/>
        <v>597869.00361477199</v>
      </c>
      <c r="L125" s="35" t="str">
        <f t="shared" si="28"/>
        <v/>
      </c>
      <c r="M125" s="35" t="str">
        <f t="shared" si="18"/>
        <v/>
      </c>
      <c r="N125" s="35" t="str">
        <f t="shared" si="19"/>
        <v/>
      </c>
      <c r="O125" s="35" t="str">
        <f t="shared" si="20"/>
        <v/>
      </c>
      <c r="P125" s="35" t="str">
        <f t="shared" si="21"/>
        <v/>
      </c>
      <c r="Q125" s="35" t="str">
        <f t="shared" si="22"/>
        <v/>
      </c>
      <c r="R125" s="35" t="str">
        <f t="shared" si="23"/>
        <v/>
      </c>
      <c r="S125" s="35" t="str">
        <f t="shared" si="24"/>
        <v/>
      </c>
    </row>
    <row r="126" spans="1:19">
      <c r="A126" s="187">
        <v>100</v>
      </c>
      <c r="B126" s="186">
        <v>2700</v>
      </c>
      <c r="C126" s="35">
        <v>35</v>
      </c>
      <c r="D126" s="35">
        <v>35</v>
      </c>
      <c r="E126" s="187">
        <v>3.3</v>
      </c>
      <c r="F126" s="187">
        <v>0.2</v>
      </c>
      <c r="G126" s="187">
        <f t="shared" si="29"/>
        <v>9.8243792032034191E-2</v>
      </c>
      <c r="H126" s="35">
        <f t="shared" si="25"/>
        <v>33.673946255665598</v>
      </c>
      <c r="I126" s="35">
        <f t="shared" si="26"/>
        <v>80.180682700523363</v>
      </c>
      <c r="J126" s="35">
        <f t="shared" si="27"/>
        <v>400903.41350261681</v>
      </c>
      <c r="L126" s="35" t="str">
        <f t="shared" si="28"/>
        <v/>
      </c>
      <c r="M126" s="35" t="str">
        <f t="shared" si="18"/>
        <v/>
      </c>
      <c r="N126" s="35" t="str">
        <f t="shared" si="19"/>
        <v/>
      </c>
      <c r="O126" s="35" t="str">
        <f t="shared" si="20"/>
        <v/>
      </c>
      <c r="P126" s="35" t="str">
        <f t="shared" si="21"/>
        <v/>
      </c>
      <c r="Q126" s="35" t="str">
        <f t="shared" si="22"/>
        <v/>
      </c>
      <c r="R126" s="35" t="str">
        <f t="shared" si="23"/>
        <v/>
      </c>
      <c r="S126" s="35" t="str">
        <f t="shared" si="24"/>
        <v/>
      </c>
    </row>
    <row r="127" spans="1:19">
      <c r="A127" s="187">
        <v>100</v>
      </c>
      <c r="B127" s="186">
        <v>3300</v>
      </c>
      <c r="C127" s="35">
        <v>25</v>
      </c>
      <c r="D127" s="35">
        <v>50</v>
      </c>
      <c r="E127" s="187">
        <v>3.39</v>
      </c>
      <c r="F127" s="187">
        <v>0.2</v>
      </c>
      <c r="G127" s="187">
        <f t="shared" si="29"/>
        <v>8.0381284389846139E-2</v>
      </c>
      <c r="H127" s="35">
        <f t="shared" si="25"/>
        <v>24.543692606170257</v>
      </c>
      <c r="I127" s="35">
        <f t="shared" si="26"/>
        <v>134.4540959240332</v>
      </c>
      <c r="J127" s="35">
        <f t="shared" si="27"/>
        <v>672270.47962016601</v>
      </c>
      <c r="L127" s="35" t="str">
        <f t="shared" si="28"/>
        <v/>
      </c>
      <c r="M127" s="35" t="str">
        <f t="shared" si="18"/>
        <v/>
      </c>
      <c r="N127" s="35" t="str">
        <f t="shared" si="19"/>
        <v/>
      </c>
      <c r="O127" s="35" t="str">
        <f t="shared" si="20"/>
        <v/>
      </c>
      <c r="P127" s="35" t="str">
        <f t="shared" si="21"/>
        <v/>
      </c>
      <c r="Q127" s="35" t="str">
        <f t="shared" si="22"/>
        <v/>
      </c>
      <c r="R127" s="35" t="str">
        <f t="shared" si="23"/>
        <v/>
      </c>
      <c r="S127" s="35" t="str">
        <f t="shared" si="24"/>
        <v/>
      </c>
    </row>
    <row r="128" spans="1:19">
      <c r="A128" s="187">
        <v>100</v>
      </c>
      <c r="B128" s="186">
        <v>3300</v>
      </c>
      <c r="C128" s="35">
        <v>30</v>
      </c>
      <c r="D128" s="35">
        <v>41</v>
      </c>
      <c r="E128" s="187">
        <v>3.27</v>
      </c>
      <c r="F128" s="187">
        <v>0.2</v>
      </c>
      <c r="G128" s="187">
        <f t="shared" si="29"/>
        <v>8.0381284389846139E-2</v>
      </c>
      <c r="H128" s="35">
        <f t="shared" si="25"/>
        <v>28.981192229365845</v>
      </c>
      <c r="I128" s="35">
        <f t="shared" si="26"/>
        <v>113.86695115517713</v>
      </c>
      <c r="J128" s="35">
        <f t="shared" si="27"/>
        <v>569334.75577588566</v>
      </c>
      <c r="L128" s="35" t="str">
        <f t="shared" si="28"/>
        <v/>
      </c>
      <c r="M128" s="35" t="str">
        <f t="shared" si="18"/>
        <v/>
      </c>
      <c r="N128" s="35" t="str">
        <f t="shared" si="19"/>
        <v/>
      </c>
      <c r="O128" s="35" t="str">
        <f t="shared" si="20"/>
        <v/>
      </c>
      <c r="P128" s="35" t="str">
        <f t="shared" si="21"/>
        <v/>
      </c>
      <c r="Q128" s="35" t="str">
        <f t="shared" si="22"/>
        <v/>
      </c>
      <c r="R128" s="35" t="str">
        <f t="shared" si="23"/>
        <v/>
      </c>
      <c r="S128" s="35" t="str">
        <f t="shared" si="24"/>
        <v/>
      </c>
    </row>
    <row r="129" spans="1:19">
      <c r="A129" s="187">
        <v>100</v>
      </c>
      <c r="B129" s="186">
        <v>3900</v>
      </c>
      <c r="C129" s="35">
        <v>30</v>
      </c>
      <c r="D129" s="35">
        <v>46</v>
      </c>
      <c r="E129" s="187">
        <v>3.5</v>
      </c>
      <c r="F129" s="187">
        <v>0.2</v>
      </c>
      <c r="G129" s="187">
        <f t="shared" si="29"/>
        <v>6.801493294525443E-2</v>
      </c>
      <c r="H129" s="35">
        <f t="shared" si="25"/>
        <v>32.515483964654358</v>
      </c>
      <c r="I129" s="35">
        <f t="shared" si="26"/>
        <v>119.94285566345737</v>
      </c>
      <c r="J129" s="35">
        <f t="shared" si="27"/>
        <v>599714.27831728687</v>
      </c>
      <c r="L129" s="35" t="str">
        <f t="shared" si="28"/>
        <v/>
      </c>
      <c r="M129" s="35" t="str">
        <f t="shared" si="18"/>
        <v/>
      </c>
      <c r="N129" s="35" t="str">
        <f t="shared" si="19"/>
        <v/>
      </c>
      <c r="O129" s="35" t="str">
        <f t="shared" si="20"/>
        <v/>
      </c>
      <c r="P129" s="35" t="str">
        <f t="shared" si="21"/>
        <v/>
      </c>
      <c r="Q129" s="35" t="str">
        <f t="shared" si="22"/>
        <v/>
      </c>
      <c r="R129" s="35" t="str">
        <f t="shared" si="23"/>
        <v/>
      </c>
      <c r="S129" s="35" t="str">
        <f t="shared" si="24"/>
        <v/>
      </c>
    </row>
    <row r="130" spans="1:19">
      <c r="A130" s="187">
        <v>100</v>
      </c>
      <c r="B130" s="186">
        <v>3900</v>
      </c>
      <c r="C130" s="35">
        <v>35</v>
      </c>
      <c r="D130" s="35">
        <v>45</v>
      </c>
      <c r="E130" s="187">
        <v>3.5</v>
      </c>
      <c r="F130" s="187">
        <v>0.2</v>
      </c>
      <c r="G130" s="187">
        <f t="shared" si="29"/>
        <v>6.801493294525443E-2</v>
      </c>
      <c r="H130" s="35">
        <f t="shared" si="25"/>
        <v>43.295073757284335</v>
      </c>
      <c r="I130" s="35">
        <f t="shared" si="26"/>
        <v>90.079532416637363</v>
      </c>
      <c r="J130" s="35">
        <f t="shared" si="27"/>
        <v>450397.66208318679</v>
      </c>
      <c r="L130" s="35" t="str">
        <f t="shared" si="28"/>
        <v/>
      </c>
      <c r="M130" s="35" t="str">
        <f t="shared" si="18"/>
        <v/>
      </c>
      <c r="N130" s="35" t="str">
        <f t="shared" si="19"/>
        <v/>
      </c>
      <c r="O130" s="35" t="str">
        <f t="shared" si="20"/>
        <v/>
      </c>
      <c r="P130" s="35" t="str">
        <f t="shared" si="21"/>
        <v/>
      </c>
      <c r="Q130" s="35" t="str">
        <f t="shared" si="22"/>
        <v/>
      </c>
      <c r="R130" s="35" t="str">
        <f t="shared" si="23"/>
        <v/>
      </c>
      <c r="S130" s="35" t="str">
        <f t="shared" si="24"/>
        <v/>
      </c>
    </row>
    <row r="131" spans="1:19">
      <c r="A131" s="187">
        <v>100</v>
      </c>
      <c r="B131" s="186">
        <v>4700</v>
      </c>
      <c r="C131" s="35">
        <v>30</v>
      </c>
      <c r="D131" s="35">
        <v>50</v>
      </c>
      <c r="E131" s="187">
        <v>3.7</v>
      </c>
      <c r="F131" s="187">
        <v>0.25</v>
      </c>
      <c r="G131" s="187">
        <f t="shared" si="29"/>
        <v>7.0547403852790486E-2</v>
      </c>
      <c r="H131" s="35">
        <f t="shared" si="25"/>
        <v>35.342917352885173</v>
      </c>
      <c r="I131" s="35">
        <f t="shared" si="26"/>
        <v>132.98279689456143</v>
      </c>
      <c r="J131" s="35">
        <f t="shared" si="27"/>
        <v>664913.98447280715</v>
      </c>
      <c r="L131" s="35" t="str">
        <f t="shared" si="28"/>
        <v/>
      </c>
      <c r="M131" s="35" t="str">
        <f t="shared" si="18"/>
        <v/>
      </c>
      <c r="N131" s="35" t="str">
        <f t="shared" si="19"/>
        <v/>
      </c>
      <c r="O131" s="35" t="str">
        <f t="shared" si="20"/>
        <v/>
      </c>
      <c r="P131" s="35" t="str">
        <f t="shared" si="21"/>
        <v/>
      </c>
      <c r="Q131" s="35" t="str">
        <f t="shared" si="22"/>
        <v/>
      </c>
      <c r="R131" s="35" t="str">
        <f t="shared" si="23"/>
        <v/>
      </c>
      <c r="S131" s="35" t="str">
        <f t="shared" si="24"/>
        <v/>
      </c>
    </row>
    <row r="132" spans="1:19">
      <c r="A132" s="187">
        <v>100</v>
      </c>
      <c r="B132" s="186">
        <v>4700</v>
      </c>
      <c r="C132" s="35">
        <v>35</v>
      </c>
      <c r="D132" s="35">
        <v>42</v>
      </c>
      <c r="E132" s="187">
        <v>3.5</v>
      </c>
      <c r="F132" s="187">
        <v>0.25</v>
      </c>
      <c r="G132" s="187">
        <f t="shared" si="29"/>
        <v>7.0547403852790486E-2</v>
      </c>
      <c r="H132" s="35">
        <f t="shared" si="25"/>
        <v>40.408735506798713</v>
      </c>
      <c r="I132" s="35">
        <f t="shared" si="26"/>
        <v>116.31148416433946</v>
      </c>
      <c r="J132" s="35">
        <f t="shared" si="27"/>
        <v>581557.42082169733</v>
      </c>
      <c r="L132" s="35" t="str">
        <f t="shared" si="28"/>
        <v/>
      </c>
      <c r="M132" s="35" t="str">
        <f t="shared" si="18"/>
        <v/>
      </c>
      <c r="N132" s="35" t="str">
        <f t="shared" si="19"/>
        <v/>
      </c>
      <c r="O132" s="35" t="str">
        <f t="shared" si="20"/>
        <v/>
      </c>
      <c r="P132" s="35" t="str">
        <f t="shared" si="21"/>
        <v/>
      </c>
      <c r="Q132" s="35" t="str">
        <f t="shared" si="22"/>
        <v/>
      </c>
      <c r="R132" s="35" t="str">
        <f t="shared" si="23"/>
        <v/>
      </c>
      <c r="S132" s="35" t="str">
        <f t="shared" si="24"/>
        <v/>
      </c>
    </row>
    <row r="133" spans="1:19">
      <c r="A133" s="187">
        <v>100</v>
      </c>
      <c r="B133" s="186">
        <v>5600</v>
      </c>
      <c r="C133" s="35">
        <v>35</v>
      </c>
      <c r="D133" s="35">
        <v>50</v>
      </c>
      <c r="E133" s="187">
        <v>4.0999999999999996</v>
      </c>
      <c r="F133" s="187">
        <v>0.25</v>
      </c>
      <c r="G133" s="187">
        <f t="shared" si="29"/>
        <v>5.9209428233592022E-2</v>
      </c>
      <c r="H133" s="35">
        <f t="shared" si="25"/>
        <v>48.105637508093707</v>
      </c>
      <c r="I133" s="35">
        <f t="shared" si="26"/>
        <v>116.41047266150059</v>
      </c>
      <c r="J133" s="35">
        <f t="shared" si="27"/>
        <v>582052.36330750294</v>
      </c>
      <c r="L133" s="35" t="str">
        <f t="shared" si="28"/>
        <v/>
      </c>
      <c r="M133" s="35" t="str">
        <f t="shared" ref="M133:M196" si="30">IF(L133&lt;&gt;"",ROUNDUP($W$12/B133,0)*H133,"")</f>
        <v/>
      </c>
      <c r="N133" s="35" t="str">
        <f t="shared" ref="N133:N196" si="31">IF(M133=MIN($M$4:$M$266),M133,"")</f>
        <v/>
      </c>
      <c r="O133" s="35" t="str">
        <f t="shared" ref="O133:O196" si="32">IF($N133=MIN($M$4:$M$266),A133,"")</f>
        <v/>
      </c>
      <c r="P133" s="35" t="str">
        <f t="shared" ref="P133:P196" si="33">IF($N133=MIN($M$4:$M$266),B133,"")</f>
        <v/>
      </c>
      <c r="Q133" s="35" t="str">
        <f t="shared" ref="Q133:Q196" si="34">IF($N133=MIN($M$4:$M$266),C133,"")</f>
        <v/>
      </c>
      <c r="R133" s="35" t="str">
        <f t="shared" ref="R133:R196" si="35">IF($N133=MIN($M$4:$M$266),D133,"")</f>
        <v/>
      </c>
      <c r="S133" s="35" t="str">
        <f t="shared" ref="S133:S196" si="36">IF($N133=MIN($M$4:$M$266),G133,"")</f>
        <v/>
      </c>
    </row>
    <row r="134" spans="1:19">
      <c r="A134" s="187">
        <v>100</v>
      </c>
      <c r="B134" s="186">
        <v>6800</v>
      </c>
      <c r="C134" s="35">
        <v>35</v>
      </c>
      <c r="D134" s="35">
        <v>58</v>
      </c>
      <c r="E134" s="187">
        <v>5</v>
      </c>
      <c r="F134" s="187">
        <v>0.25</v>
      </c>
      <c r="G134" s="187">
        <f t="shared" si="29"/>
        <v>4.8760705604134612E-2</v>
      </c>
      <c r="H134" s="35">
        <f t="shared" si="25"/>
        <v>55.802539509388708</v>
      </c>
      <c r="I134" s="35">
        <f t="shared" si="26"/>
        <v>121.85825340181711</v>
      </c>
      <c r="J134" s="35">
        <f t="shared" si="27"/>
        <v>609291.26700908551</v>
      </c>
      <c r="L134" s="35" t="str">
        <f t="shared" si="28"/>
        <v/>
      </c>
      <c r="M134" s="35" t="str">
        <f t="shared" si="30"/>
        <v/>
      </c>
      <c r="N134" s="35" t="str">
        <f t="shared" si="31"/>
        <v/>
      </c>
      <c r="O134" s="35" t="str">
        <f t="shared" si="32"/>
        <v/>
      </c>
      <c r="P134" s="35" t="str">
        <f t="shared" si="33"/>
        <v/>
      </c>
      <c r="Q134" s="35" t="str">
        <f t="shared" si="34"/>
        <v/>
      </c>
      <c r="R134" s="35" t="str">
        <f t="shared" si="35"/>
        <v/>
      </c>
      <c r="S134" s="35" t="str">
        <f t="shared" si="36"/>
        <v/>
      </c>
    </row>
    <row r="135" spans="1:19">
      <c r="A135" s="187">
        <v>100</v>
      </c>
      <c r="B135" s="186">
        <v>8200</v>
      </c>
      <c r="C135" s="35">
        <v>35</v>
      </c>
      <c r="D135" s="35">
        <v>60</v>
      </c>
      <c r="E135" s="187">
        <v>5.3</v>
      </c>
      <c r="F135" s="187">
        <v>0.25</v>
      </c>
      <c r="G135" s="187">
        <f t="shared" si="29"/>
        <v>4.0435707086355521E-2</v>
      </c>
      <c r="H135" s="35">
        <f t="shared" si="25"/>
        <v>57.726765009712445</v>
      </c>
      <c r="I135" s="35">
        <f t="shared" si="26"/>
        <v>142.04849342623586</v>
      </c>
      <c r="J135" s="35">
        <f t="shared" si="27"/>
        <v>710242.46713117929</v>
      </c>
      <c r="L135" s="35" t="str">
        <f t="shared" si="28"/>
        <v/>
      </c>
      <c r="M135" s="35" t="str">
        <f t="shared" si="30"/>
        <v/>
      </c>
      <c r="N135" s="35" t="str">
        <f t="shared" si="31"/>
        <v/>
      </c>
      <c r="O135" s="35" t="str">
        <f t="shared" si="32"/>
        <v/>
      </c>
      <c r="P135" s="35" t="str">
        <f t="shared" si="33"/>
        <v/>
      </c>
      <c r="Q135" s="35" t="str">
        <f t="shared" si="34"/>
        <v/>
      </c>
      <c r="R135" s="35" t="str">
        <f t="shared" si="35"/>
        <v/>
      </c>
      <c r="S135" s="35" t="str">
        <f t="shared" si="36"/>
        <v/>
      </c>
    </row>
    <row r="136" spans="1:19">
      <c r="A136" s="187">
        <v>100</v>
      </c>
      <c r="B136" s="186">
        <v>10000</v>
      </c>
      <c r="C136" s="35">
        <v>35</v>
      </c>
      <c r="D136" s="35">
        <v>70</v>
      </c>
      <c r="E136" s="187">
        <v>5.49</v>
      </c>
      <c r="F136" s="187">
        <v>0.25</v>
      </c>
      <c r="G136" s="187">
        <f t="shared" si="29"/>
        <v>3.3157279810811534E-2</v>
      </c>
      <c r="H136" s="35">
        <f t="shared" si="25"/>
        <v>67.347892511331196</v>
      </c>
      <c r="I136" s="35">
        <f t="shared" si="26"/>
        <v>148.48274574170992</v>
      </c>
      <c r="J136" s="35">
        <f t="shared" si="27"/>
        <v>742413.72870854964</v>
      </c>
      <c r="L136" s="35" t="str">
        <f t="shared" si="28"/>
        <v/>
      </c>
      <c r="M136" s="35" t="str">
        <f t="shared" si="30"/>
        <v/>
      </c>
      <c r="N136" s="35" t="str">
        <f t="shared" si="31"/>
        <v/>
      </c>
      <c r="O136" s="35" t="str">
        <f t="shared" si="32"/>
        <v/>
      </c>
      <c r="P136" s="35" t="str">
        <f t="shared" si="33"/>
        <v/>
      </c>
      <c r="Q136" s="35" t="str">
        <f t="shared" si="34"/>
        <v/>
      </c>
      <c r="R136" s="35" t="str">
        <f t="shared" si="35"/>
        <v/>
      </c>
      <c r="S136" s="35" t="str">
        <f t="shared" si="36"/>
        <v/>
      </c>
    </row>
    <row r="137" spans="1:19">
      <c r="A137" s="187">
        <v>100</v>
      </c>
      <c r="B137" s="186">
        <v>10000</v>
      </c>
      <c r="C137" s="35">
        <v>40</v>
      </c>
      <c r="D137" s="35">
        <v>64</v>
      </c>
      <c r="E137" s="187">
        <v>5.6</v>
      </c>
      <c r="F137" s="187">
        <v>0.25</v>
      </c>
      <c r="G137" s="187">
        <f t="shared" si="29"/>
        <v>3.3157279810811534E-2</v>
      </c>
      <c r="H137" s="35">
        <f t="shared" si="25"/>
        <v>80.424771931898704</v>
      </c>
      <c r="I137" s="35">
        <f t="shared" si="26"/>
        <v>124.33979929054324</v>
      </c>
      <c r="J137" s="35">
        <f t="shared" si="27"/>
        <v>621698.99645271618</v>
      </c>
      <c r="L137" s="35" t="str">
        <f t="shared" si="28"/>
        <v/>
      </c>
      <c r="M137" s="35" t="str">
        <f t="shared" si="30"/>
        <v/>
      </c>
      <c r="N137" s="35" t="str">
        <f t="shared" si="31"/>
        <v/>
      </c>
      <c r="O137" s="35" t="str">
        <f t="shared" si="32"/>
        <v/>
      </c>
      <c r="P137" s="35" t="str">
        <f t="shared" si="33"/>
        <v/>
      </c>
      <c r="Q137" s="35" t="str">
        <f t="shared" si="34"/>
        <v/>
      </c>
      <c r="R137" s="35" t="str">
        <f t="shared" si="35"/>
        <v/>
      </c>
      <c r="S137" s="35" t="str">
        <f t="shared" si="36"/>
        <v/>
      </c>
    </row>
    <row r="138" spans="1:19">
      <c r="A138" s="187">
        <v>160</v>
      </c>
      <c r="B138" s="187">
        <v>180</v>
      </c>
      <c r="C138" s="35">
        <v>20</v>
      </c>
      <c r="D138" s="35">
        <v>30</v>
      </c>
      <c r="E138" s="187">
        <v>1.2</v>
      </c>
      <c r="F138" s="187">
        <v>0.15</v>
      </c>
      <c r="G138" s="187">
        <f t="shared" si="29"/>
        <v>1.1052426603603844</v>
      </c>
      <c r="H138" s="35">
        <f t="shared" si="25"/>
        <v>9.4247779607693793</v>
      </c>
      <c r="I138" s="35">
        <f t="shared" si="26"/>
        <v>19.098593171027442</v>
      </c>
      <c r="J138" s="35">
        <f t="shared" si="27"/>
        <v>244461.99258915125</v>
      </c>
      <c r="L138" s="35" t="str">
        <f t="shared" si="28"/>
        <v/>
      </c>
      <c r="M138" s="35" t="str">
        <f t="shared" si="30"/>
        <v/>
      </c>
      <c r="N138" s="35" t="str">
        <f t="shared" si="31"/>
        <v/>
      </c>
      <c r="O138" s="35" t="str">
        <f t="shared" si="32"/>
        <v/>
      </c>
      <c r="P138" s="35" t="str">
        <f t="shared" si="33"/>
        <v/>
      </c>
      <c r="Q138" s="35" t="str">
        <f t="shared" si="34"/>
        <v/>
      </c>
      <c r="R138" s="35" t="str">
        <f t="shared" si="35"/>
        <v/>
      </c>
      <c r="S138" s="35" t="str">
        <f t="shared" si="36"/>
        <v/>
      </c>
    </row>
    <row r="139" spans="1:19">
      <c r="A139" s="187">
        <v>160</v>
      </c>
      <c r="B139" s="187">
        <v>180</v>
      </c>
      <c r="C139" s="35">
        <v>22</v>
      </c>
      <c r="D139" s="35">
        <v>25</v>
      </c>
      <c r="E139" s="187">
        <v>1.05</v>
      </c>
      <c r="F139" s="187">
        <v>0.15</v>
      </c>
      <c r="G139" s="187">
        <f t="shared" si="29"/>
        <v>1.1052426603603844</v>
      </c>
      <c r="H139" s="35">
        <f t="shared" si="25"/>
        <v>9.5033177771091246</v>
      </c>
      <c r="I139" s="35">
        <f t="shared" si="26"/>
        <v>18.940753558043742</v>
      </c>
      <c r="J139" s="35">
        <f t="shared" si="27"/>
        <v>242441.64554295989</v>
      </c>
      <c r="L139" s="35">
        <f t="shared" si="28"/>
        <v>236.75941947554676</v>
      </c>
      <c r="M139" s="35">
        <f t="shared" si="30"/>
        <v>1881.6569198676066</v>
      </c>
      <c r="N139" s="35" t="str">
        <f t="shared" si="31"/>
        <v/>
      </c>
      <c r="O139" s="35" t="str">
        <f t="shared" si="32"/>
        <v/>
      </c>
      <c r="P139" s="35" t="str">
        <f t="shared" si="33"/>
        <v/>
      </c>
      <c r="Q139" s="35" t="str">
        <f t="shared" si="34"/>
        <v/>
      </c>
      <c r="R139" s="35" t="str">
        <f t="shared" si="35"/>
        <v/>
      </c>
      <c r="S139" s="35" t="str">
        <f t="shared" si="36"/>
        <v/>
      </c>
    </row>
    <row r="140" spans="1:19">
      <c r="A140" s="187">
        <v>160</v>
      </c>
      <c r="B140" s="187">
        <v>270</v>
      </c>
      <c r="C140" s="35">
        <v>22</v>
      </c>
      <c r="D140" s="35">
        <v>26</v>
      </c>
      <c r="E140" s="187">
        <v>1.3</v>
      </c>
      <c r="F140" s="187">
        <v>0.15</v>
      </c>
      <c r="G140" s="187">
        <f t="shared" si="29"/>
        <v>0.73682844024025629</v>
      </c>
      <c r="H140" s="35">
        <f t="shared" si="25"/>
        <v>9.8834504881934908</v>
      </c>
      <c r="I140" s="35">
        <f t="shared" si="26"/>
        <v>27.318394554870778</v>
      </c>
      <c r="J140" s="35">
        <f t="shared" si="27"/>
        <v>349675.45030234597</v>
      </c>
      <c r="L140" s="35" t="str">
        <f t="shared" si="28"/>
        <v/>
      </c>
      <c r="M140" s="35" t="str">
        <f t="shared" si="30"/>
        <v/>
      </c>
      <c r="N140" s="35" t="str">
        <f t="shared" si="31"/>
        <v/>
      </c>
      <c r="O140" s="35" t="str">
        <f t="shared" si="32"/>
        <v/>
      </c>
      <c r="P140" s="35" t="str">
        <f t="shared" si="33"/>
        <v/>
      </c>
      <c r="Q140" s="35" t="str">
        <f t="shared" si="34"/>
        <v/>
      </c>
      <c r="R140" s="35" t="str">
        <f t="shared" si="35"/>
        <v/>
      </c>
      <c r="S140" s="35" t="str">
        <f t="shared" si="36"/>
        <v/>
      </c>
    </row>
    <row r="141" spans="1:19">
      <c r="A141" s="187">
        <v>160</v>
      </c>
      <c r="B141" s="187">
        <v>330</v>
      </c>
      <c r="C141" s="35">
        <v>22</v>
      </c>
      <c r="D141" s="35">
        <v>30</v>
      </c>
      <c r="E141" s="187">
        <v>1.1399999999999999</v>
      </c>
      <c r="F141" s="187">
        <v>0.15</v>
      </c>
      <c r="G141" s="187">
        <f t="shared" si="29"/>
        <v>0.60285963292384603</v>
      </c>
      <c r="H141" s="35">
        <f t="shared" si="25"/>
        <v>11.403981332530948</v>
      </c>
      <c r="I141" s="35">
        <f t="shared" si="26"/>
        <v>28.93726238034461</v>
      </c>
      <c r="J141" s="35">
        <f t="shared" si="27"/>
        <v>370396.958468411</v>
      </c>
      <c r="L141" s="35" t="str">
        <f t="shared" si="28"/>
        <v/>
      </c>
      <c r="M141" s="35" t="str">
        <f t="shared" si="30"/>
        <v/>
      </c>
      <c r="N141" s="35" t="str">
        <f t="shared" si="31"/>
        <v/>
      </c>
      <c r="O141" s="35" t="str">
        <f t="shared" si="32"/>
        <v/>
      </c>
      <c r="P141" s="35" t="str">
        <f t="shared" si="33"/>
        <v/>
      </c>
      <c r="Q141" s="35" t="str">
        <f t="shared" si="34"/>
        <v/>
      </c>
      <c r="R141" s="35" t="str">
        <f t="shared" si="35"/>
        <v/>
      </c>
      <c r="S141" s="35" t="str">
        <f t="shared" si="36"/>
        <v/>
      </c>
    </row>
    <row r="142" spans="1:19">
      <c r="A142" s="187">
        <v>160</v>
      </c>
      <c r="B142" s="187">
        <v>330</v>
      </c>
      <c r="C142" s="35">
        <v>25</v>
      </c>
      <c r="D142" s="35">
        <v>25</v>
      </c>
      <c r="E142" s="187">
        <v>1.1100000000000001</v>
      </c>
      <c r="F142" s="187">
        <v>0.15</v>
      </c>
      <c r="G142" s="187">
        <f t="shared" si="29"/>
        <v>0.60285963292384603</v>
      </c>
      <c r="H142" s="35">
        <f t="shared" si="25"/>
        <v>12.271846303085129</v>
      </c>
      <c r="I142" s="35">
        <f t="shared" si="26"/>
        <v>26.890819184806638</v>
      </c>
      <c r="J142" s="35">
        <f t="shared" si="27"/>
        <v>344202.48556552496</v>
      </c>
      <c r="L142" s="35">
        <f t="shared" si="28"/>
        <v>336.13523981008296</v>
      </c>
      <c r="M142" s="35">
        <f t="shared" si="30"/>
        <v>1325.359400733194</v>
      </c>
      <c r="N142" s="35" t="str">
        <f t="shared" si="31"/>
        <v/>
      </c>
      <c r="O142" s="35" t="str">
        <f t="shared" si="32"/>
        <v/>
      </c>
      <c r="P142" s="35" t="str">
        <f t="shared" si="33"/>
        <v/>
      </c>
      <c r="Q142" s="35" t="str">
        <f t="shared" si="34"/>
        <v/>
      </c>
      <c r="R142" s="35" t="str">
        <f t="shared" si="35"/>
        <v/>
      </c>
      <c r="S142" s="35" t="str">
        <f t="shared" si="36"/>
        <v/>
      </c>
    </row>
    <row r="143" spans="1:19">
      <c r="A143" s="187">
        <v>160</v>
      </c>
      <c r="B143" s="187">
        <v>390</v>
      </c>
      <c r="C143" s="35">
        <v>22</v>
      </c>
      <c r="D143" s="35">
        <v>31</v>
      </c>
      <c r="E143" s="187">
        <v>1.71</v>
      </c>
      <c r="F143" s="187">
        <v>0.15</v>
      </c>
      <c r="G143" s="187">
        <f t="shared" si="29"/>
        <v>0.51011199708940824</v>
      </c>
      <c r="H143" s="35">
        <f t="shared" si="25"/>
        <v>11.784114043615313</v>
      </c>
      <c r="I143" s="35">
        <f t="shared" si="26"/>
        <v>33.095402722388265</v>
      </c>
      <c r="J143" s="35">
        <f t="shared" si="27"/>
        <v>423621.15484656981</v>
      </c>
      <c r="L143" s="35" t="str">
        <f t="shared" si="28"/>
        <v/>
      </c>
      <c r="M143" s="35" t="str">
        <f t="shared" si="30"/>
        <v/>
      </c>
      <c r="N143" s="35" t="str">
        <f t="shared" si="31"/>
        <v/>
      </c>
      <c r="O143" s="35" t="str">
        <f t="shared" si="32"/>
        <v/>
      </c>
      <c r="P143" s="35" t="str">
        <f t="shared" si="33"/>
        <v/>
      </c>
      <c r="Q143" s="35" t="str">
        <f t="shared" si="34"/>
        <v/>
      </c>
      <c r="R143" s="35" t="str">
        <f t="shared" si="35"/>
        <v/>
      </c>
      <c r="S143" s="35" t="str">
        <f t="shared" si="36"/>
        <v/>
      </c>
    </row>
    <row r="144" spans="1:19">
      <c r="A144" s="187">
        <v>160</v>
      </c>
      <c r="B144" s="187">
        <v>390</v>
      </c>
      <c r="C144" s="35">
        <v>25</v>
      </c>
      <c r="D144" s="35">
        <v>26</v>
      </c>
      <c r="E144" s="187">
        <v>1.58</v>
      </c>
      <c r="F144" s="187">
        <v>0.15</v>
      </c>
      <c r="G144" s="187">
        <f t="shared" si="29"/>
        <v>0.51011199708940824</v>
      </c>
      <c r="H144" s="35">
        <f t="shared" si="25"/>
        <v>12.762720155208536</v>
      </c>
      <c r="I144" s="35">
        <f t="shared" si="26"/>
        <v>30.557749073643905</v>
      </c>
      <c r="J144" s="35">
        <f t="shared" si="27"/>
        <v>391139.18814264197</v>
      </c>
      <c r="L144" s="35" t="str">
        <f t="shared" si="28"/>
        <v/>
      </c>
      <c r="M144" s="35" t="str">
        <f t="shared" si="30"/>
        <v/>
      </c>
      <c r="N144" s="35" t="str">
        <f t="shared" si="31"/>
        <v/>
      </c>
      <c r="O144" s="35" t="str">
        <f t="shared" si="32"/>
        <v/>
      </c>
      <c r="P144" s="35" t="str">
        <f t="shared" si="33"/>
        <v/>
      </c>
      <c r="Q144" s="35" t="str">
        <f t="shared" si="34"/>
        <v/>
      </c>
      <c r="R144" s="35" t="str">
        <f t="shared" si="35"/>
        <v/>
      </c>
      <c r="S144" s="35" t="str">
        <f t="shared" si="36"/>
        <v/>
      </c>
    </row>
    <row r="145" spans="1:19">
      <c r="A145" s="187">
        <v>160</v>
      </c>
      <c r="B145" s="187">
        <v>470</v>
      </c>
      <c r="C145" s="35">
        <v>22</v>
      </c>
      <c r="D145" s="35">
        <v>31</v>
      </c>
      <c r="E145" s="187">
        <v>1.53</v>
      </c>
      <c r="F145" s="187">
        <v>0.15</v>
      </c>
      <c r="G145" s="187">
        <f t="shared" si="29"/>
        <v>0.42328442311674302</v>
      </c>
      <c r="H145" s="35">
        <f t="shared" si="25"/>
        <v>11.784114043615313</v>
      </c>
      <c r="I145" s="35">
        <f t="shared" si="26"/>
        <v>39.884203280826881</v>
      </c>
      <c r="J145" s="35">
        <f t="shared" si="27"/>
        <v>510517.80199458409</v>
      </c>
      <c r="L145" s="35" t="str">
        <f t="shared" si="28"/>
        <v/>
      </c>
      <c r="M145" s="35" t="str">
        <f t="shared" si="30"/>
        <v/>
      </c>
      <c r="N145" s="35" t="str">
        <f t="shared" si="31"/>
        <v/>
      </c>
      <c r="O145" s="35" t="str">
        <f t="shared" si="32"/>
        <v/>
      </c>
      <c r="P145" s="35" t="str">
        <f t="shared" si="33"/>
        <v/>
      </c>
      <c r="Q145" s="35" t="str">
        <f t="shared" si="34"/>
        <v/>
      </c>
      <c r="R145" s="35" t="str">
        <f t="shared" si="35"/>
        <v/>
      </c>
      <c r="S145" s="35" t="str">
        <f t="shared" si="36"/>
        <v/>
      </c>
    </row>
    <row r="146" spans="1:19">
      <c r="A146" s="187">
        <v>160</v>
      </c>
      <c r="B146" s="187">
        <v>470</v>
      </c>
      <c r="C146" s="35">
        <v>25</v>
      </c>
      <c r="D146" s="35">
        <v>26</v>
      </c>
      <c r="E146" s="187">
        <v>1.45</v>
      </c>
      <c r="F146" s="187">
        <v>0.15</v>
      </c>
      <c r="G146" s="187">
        <f t="shared" si="29"/>
        <v>0.42328442311674302</v>
      </c>
      <c r="H146" s="35">
        <f t="shared" si="25"/>
        <v>12.762720155208536</v>
      </c>
      <c r="I146" s="35">
        <f t="shared" si="26"/>
        <v>36.826005293878552</v>
      </c>
      <c r="J146" s="35">
        <f t="shared" si="27"/>
        <v>471372.86776164547</v>
      </c>
      <c r="L146" s="35" t="str">
        <f t="shared" si="28"/>
        <v/>
      </c>
      <c r="M146" s="35" t="str">
        <f t="shared" si="30"/>
        <v/>
      </c>
      <c r="N146" s="35" t="str">
        <f t="shared" si="31"/>
        <v/>
      </c>
      <c r="O146" s="35" t="str">
        <f t="shared" si="32"/>
        <v/>
      </c>
      <c r="P146" s="35" t="str">
        <f t="shared" si="33"/>
        <v/>
      </c>
      <c r="Q146" s="35" t="str">
        <f t="shared" si="34"/>
        <v/>
      </c>
      <c r="R146" s="35" t="str">
        <f t="shared" si="35"/>
        <v/>
      </c>
      <c r="S146" s="35" t="str">
        <f t="shared" si="36"/>
        <v/>
      </c>
    </row>
    <row r="147" spans="1:19">
      <c r="A147" s="187">
        <v>160</v>
      </c>
      <c r="B147" s="187">
        <v>560</v>
      </c>
      <c r="C147" s="35">
        <v>22</v>
      </c>
      <c r="D147" s="35">
        <v>35</v>
      </c>
      <c r="E147" s="187">
        <v>1.67</v>
      </c>
      <c r="F147" s="187">
        <v>0.15</v>
      </c>
      <c r="G147" s="187">
        <f t="shared" si="29"/>
        <v>0.35525656940155215</v>
      </c>
      <c r="H147" s="35">
        <f t="shared" si="25"/>
        <v>13.304644887952776</v>
      </c>
      <c r="I147" s="35">
        <f t="shared" si="26"/>
        <v>42.090563462319423</v>
      </c>
      <c r="J147" s="35">
        <f t="shared" si="27"/>
        <v>538759.21231768862</v>
      </c>
      <c r="L147" s="35" t="str">
        <f t="shared" si="28"/>
        <v/>
      </c>
      <c r="M147" s="35" t="str">
        <f t="shared" si="30"/>
        <v/>
      </c>
      <c r="N147" s="35" t="str">
        <f t="shared" si="31"/>
        <v/>
      </c>
      <c r="O147" s="35" t="str">
        <f t="shared" si="32"/>
        <v/>
      </c>
      <c r="P147" s="35" t="str">
        <f t="shared" si="33"/>
        <v/>
      </c>
      <c r="Q147" s="35" t="str">
        <f t="shared" si="34"/>
        <v/>
      </c>
      <c r="R147" s="35" t="str">
        <f t="shared" si="35"/>
        <v/>
      </c>
      <c r="S147" s="35" t="str">
        <f t="shared" si="36"/>
        <v/>
      </c>
    </row>
    <row r="148" spans="1:19">
      <c r="A148" s="187">
        <v>160</v>
      </c>
      <c r="B148" s="187">
        <v>560</v>
      </c>
      <c r="C148" s="35">
        <v>25</v>
      </c>
      <c r="D148" s="35">
        <v>31</v>
      </c>
      <c r="E148" s="187">
        <v>1.58</v>
      </c>
      <c r="F148" s="187">
        <v>0.15</v>
      </c>
      <c r="G148" s="187">
        <f t="shared" si="29"/>
        <v>0.35525656940155215</v>
      </c>
      <c r="H148" s="35">
        <f t="shared" si="25"/>
        <v>15.217089415825559</v>
      </c>
      <c r="I148" s="35">
        <f t="shared" si="26"/>
        <v>36.800730067184062</v>
      </c>
      <c r="J148" s="35">
        <f t="shared" si="27"/>
        <v>471049.34485995601</v>
      </c>
      <c r="L148" s="35" t="str">
        <f t="shared" si="28"/>
        <v/>
      </c>
      <c r="M148" s="35" t="str">
        <f t="shared" si="30"/>
        <v/>
      </c>
      <c r="N148" s="35" t="str">
        <f t="shared" si="31"/>
        <v/>
      </c>
      <c r="O148" s="35" t="str">
        <f t="shared" si="32"/>
        <v/>
      </c>
      <c r="P148" s="35" t="str">
        <f t="shared" si="33"/>
        <v/>
      </c>
      <c r="Q148" s="35" t="str">
        <f t="shared" si="34"/>
        <v/>
      </c>
      <c r="R148" s="35" t="str">
        <f t="shared" si="35"/>
        <v/>
      </c>
      <c r="S148" s="35" t="str">
        <f t="shared" si="36"/>
        <v/>
      </c>
    </row>
    <row r="149" spans="1:19">
      <c r="A149" s="187">
        <v>160</v>
      </c>
      <c r="B149" s="187">
        <v>680</v>
      </c>
      <c r="C149" s="35">
        <v>22</v>
      </c>
      <c r="D149" s="35">
        <v>40</v>
      </c>
      <c r="E149" s="187">
        <v>1.95</v>
      </c>
      <c r="F149" s="187">
        <v>0.15</v>
      </c>
      <c r="G149" s="187">
        <f t="shared" si="29"/>
        <v>0.29256423362480766</v>
      </c>
      <c r="H149" s="35">
        <f t="shared" si="25"/>
        <v>15.2053084433746</v>
      </c>
      <c r="I149" s="35">
        <f t="shared" si="26"/>
        <v>44.721223678714388</v>
      </c>
      <c r="J149" s="35">
        <f t="shared" si="27"/>
        <v>572431.66308754415</v>
      </c>
      <c r="L149" s="35" t="str">
        <f t="shared" si="28"/>
        <v/>
      </c>
      <c r="M149" s="35" t="str">
        <f t="shared" si="30"/>
        <v/>
      </c>
      <c r="N149" s="35" t="str">
        <f t="shared" si="31"/>
        <v/>
      </c>
      <c r="O149" s="35" t="str">
        <f t="shared" si="32"/>
        <v/>
      </c>
      <c r="P149" s="35" t="str">
        <f t="shared" si="33"/>
        <v/>
      </c>
      <c r="Q149" s="35" t="str">
        <f t="shared" si="34"/>
        <v/>
      </c>
      <c r="R149" s="35" t="str">
        <f t="shared" si="35"/>
        <v/>
      </c>
      <c r="S149" s="35" t="str">
        <f t="shared" si="36"/>
        <v/>
      </c>
    </row>
    <row r="150" spans="1:19">
      <c r="A150" s="187">
        <v>160</v>
      </c>
      <c r="B150" s="187">
        <v>680</v>
      </c>
      <c r="C150" s="35">
        <v>25</v>
      </c>
      <c r="D150" s="35">
        <v>36</v>
      </c>
      <c r="E150" s="187">
        <v>1.87</v>
      </c>
      <c r="F150" s="187">
        <v>0.15</v>
      </c>
      <c r="G150" s="187">
        <f t="shared" si="29"/>
        <v>0.29256423362480766</v>
      </c>
      <c r="H150" s="35">
        <f t="shared" si="25"/>
        <v>17.67145867644259</v>
      </c>
      <c r="I150" s="35">
        <f t="shared" si="26"/>
        <v>38.480128463107128</v>
      </c>
      <c r="J150" s="35">
        <f t="shared" si="27"/>
        <v>492545.64432777127</v>
      </c>
      <c r="L150" s="35" t="str">
        <f t="shared" si="28"/>
        <v/>
      </c>
      <c r="M150" s="35" t="str">
        <f t="shared" si="30"/>
        <v/>
      </c>
      <c r="N150" s="35" t="str">
        <f t="shared" si="31"/>
        <v/>
      </c>
      <c r="O150" s="35" t="str">
        <f t="shared" si="32"/>
        <v/>
      </c>
      <c r="P150" s="35" t="str">
        <f t="shared" si="33"/>
        <v/>
      </c>
      <c r="Q150" s="35" t="str">
        <f t="shared" si="34"/>
        <v/>
      </c>
      <c r="R150" s="35" t="str">
        <f t="shared" si="35"/>
        <v/>
      </c>
      <c r="S150" s="35" t="str">
        <f t="shared" si="36"/>
        <v/>
      </c>
    </row>
    <row r="151" spans="1:19">
      <c r="A151" s="187">
        <v>160</v>
      </c>
      <c r="B151" s="187">
        <v>820</v>
      </c>
      <c r="C151" s="35">
        <v>22</v>
      </c>
      <c r="D151" s="35">
        <v>50</v>
      </c>
      <c r="E151" s="187">
        <v>2.36</v>
      </c>
      <c r="F151" s="187">
        <v>0.15</v>
      </c>
      <c r="G151" s="187">
        <f t="shared" si="29"/>
        <v>0.24261424251813318</v>
      </c>
      <c r="H151" s="35">
        <f t="shared" si="25"/>
        <v>19.006635554218249</v>
      </c>
      <c r="I151" s="35">
        <f t="shared" si="26"/>
        <v>43.142827548877413</v>
      </c>
      <c r="J151" s="35">
        <f t="shared" si="27"/>
        <v>552228.19262563088</v>
      </c>
      <c r="L151" s="35" t="str">
        <f t="shared" si="28"/>
        <v/>
      </c>
      <c r="M151" s="35" t="str">
        <f t="shared" si="30"/>
        <v/>
      </c>
      <c r="N151" s="35" t="str">
        <f t="shared" si="31"/>
        <v/>
      </c>
      <c r="O151" s="35" t="str">
        <f t="shared" si="32"/>
        <v/>
      </c>
      <c r="P151" s="35" t="str">
        <f t="shared" si="33"/>
        <v/>
      </c>
      <c r="Q151" s="35" t="str">
        <f t="shared" si="34"/>
        <v/>
      </c>
      <c r="R151" s="35" t="str">
        <f t="shared" si="35"/>
        <v/>
      </c>
      <c r="S151" s="35" t="str">
        <f t="shared" si="36"/>
        <v/>
      </c>
    </row>
    <row r="152" spans="1:19">
      <c r="A152" s="187">
        <v>160</v>
      </c>
      <c r="B152" s="187">
        <v>820</v>
      </c>
      <c r="C152" s="35">
        <v>25</v>
      </c>
      <c r="D152" s="35">
        <v>36</v>
      </c>
      <c r="E152" s="187">
        <v>2.0499999999999998</v>
      </c>
      <c r="F152" s="187">
        <v>0.15</v>
      </c>
      <c r="G152" s="187">
        <f t="shared" si="29"/>
        <v>0.24261424251813318</v>
      </c>
      <c r="H152" s="35">
        <f t="shared" si="25"/>
        <v>17.67145867644259</v>
      </c>
      <c r="I152" s="35">
        <f t="shared" si="26"/>
        <v>46.402507852570366</v>
      </c>
      <c r="J152" s="35">
        <f t="shared" si="27"/>
        <v>593952.10051290074</v>
      </c>
      <c r="L152" s="35" t="str">
        <f t="shared" si="28"/>
        <v/>
      </c>
      <c r="M152" s="35" t="str">
        <f t="shared" si="30"/>
        <v/>
      </c>
      <c r="N152" s="35" t="str">
        <f t="shared" si="31"/>
        <v/>
      </c>
      <c r="O152" s="35" t="str">
        <f t="shared" si="32"/>
        <v/>
      </c>
      <c r="P152" s="35" t="str">
        <f t="shared" si="33"/>
        <v/>
      </c>
      <c r="Q152" s="35" t="str">
        <f t="shared" si="34"/>
        <v/>
      </c>
      <c r="R152" s="35" t="str">
        <f t="shared" si="35"/>
        <v/>
      </c>
      <c r="S152" s="35" t="str">
        <f t="shared" si="36"/>
        <v/>
      </c>
    </row>
    <row r="153" spans="1:19">
      <c r="A153" s="187">
        <v>160</v>
      </c>
      <c r="B153" s="186">
        <v>1000</v>
      </c>
      <c r="C153" s="35">
        <v>25</v>
      </c>
      <c r="D153" s="35">
        <v>45</v>
      </c>
      <c r="E153" s="187">
        <v>2.62</v>
      </c>
      <c r="F153" s="187">
        <v>0.15</v>
      </c>
      <c r="G153" s="187">
        <f t="shared" si="29"/>
        <v>0.19894367886486922</v>
      </c>
      <c r="H153" s="35">
        <f t="shared" si="25"/>
        <v>22.089323345553233</v>
      </c>
      <c r="I153" s="35">
        <f t="shared" si="26"/>
        <v>45.27073936836134</v>
      </c>
      <c r="J153" s="35">
        <f t="shared" si="27"/>
        <v>579465.46391502512</v>
      </c>
      <c r="L153" s="35" t="str">
        <f t="shared" si="28"/>
        <v/>
      </c>
      <c r="M153" s="35" t="str">
        <f t="shared" si="30"/>
        <v/>
      </c>
      <c r="N153" s="35" t="str">
        <f t="shared" si="31"/>
        <v/>
      </c>
      <c r="O153" s="35" t="str">
        <f t="shared" si="32"/>
        <v/>
      </c>
      <c r="P153" s="35" t="str">
        <f t="shared" si="33"/>
        <v/>
      </c>
      <c r="Q153" s="35" t="str">
        <f t="shared" si="34"/>
        <v/>
      </c>
      <c r="R153" s="35" t="str">
        <f t="shared" si="35"/>
        <v/>
      </c>
      <c r="S153" s="35" t="str">
        <f t="shared" si="36"/>
        <v/>
      </c>
    </row>
    <row r="154" spans="1:19">
      <c r="A154" s="187">
        <v>160</v>
      </c>
      <c r="B154" s="186">
        <v>1000</v>
      </c>
      <c r="C154" s="35">
        <v>30</v>
      </c>
      <c r="D154" s="35">
        <v>36</v>
      </c>
      <c r="E154" s="187">
        <v>2.5499999999999998</v>
      </c>
      <c r="F154" s="187">
        <v>0.15</v>
      </c>
      <c r="G154" s="187">
        <f t="shared" si="29"/>
        <v>0.19894367886486922</v>
      </c>
      <c r="H154" s="35">
        <f t="shared" si="25"/>
        <v>25.446900494077326</v>
      </c>
      <c r="I154" s="35">
        <f t="shared" si="26"/>
        <v>39.297516812813662</v>
      </c>
      <c r="J154" s="35">
        <f t="shared" si="27"/>
        <v>503008.21520401485</v>
      </c>
      <c r="L154" s="35" t="str">
        <f t="shared" si="28"/>
        <v/>
      </c>
      <c r="M154" s="35" t="str">
        <f t="shared" si="30"/>
        <v/>
      </c>
      <c r="N154" s="35" t="str">
        <f t="shared" si="31"/>
        <v/>
      </c>
      <c r="O154" s="35" t="str">
        <f t="shared" si="32"/>
        <v/>
      </c>
      <c r="P154" s="35" t="str">
        <f t="shared" si="33"/>
        <v/>
      </c>
      <c r="Q154" s="35" t="str">
        <f t="shared" si="34"/>
        <v/>
      </c>
      <c r="R154" s="35" t="str">
        <f t="shared" si="35"/>
        <v/>
      </c>
      <c r="S154" s="35" t="str">
        <f t="shared" si="36"/>
        <v/>
      </c>
    </row>
    <row r="155" spans="1:19">
      <c r="A155" s="187">
        <v>160</v>
      </c>
      <c r="B155" s="186">
        <v>1200</v>
      </c>
      <c r="C155" s="35">
        <v>25</v>
      </c>
      <c r="D155" s="35">
        <v>50</v>
      </c>
      <c r="E155" s="187">
        <v>3.4</v>
      </c>
      <c r="F155" s="187">
        <v>0.15</v>
      </c>
      <c r="G155" s="187">
        <f t="shared" si="29"/>
        <v>0.16578639905405765</v>
      </c>
      <c r="H155" s="35">
        <f t="shared" si="25"/>
        <v>24.543692606170257</v>
      </c>
      <c r="I155" s="35">
        <f t="shared" si="26"/>
        <v>48.892398517830252</v>
      </c>
      <c r="J155" s="35">
        <f t="shared" si="27"/>
        <v>625822.70102822722</v>
      </c>
      <c r="L155" s="35" t="str">
        <f t="shared" si="28"/>
        <v/>
      </c>
      <c r="M155" s="35" t="str">
        <f t="shared" si="30"/>
        <v/>
      </c>
      <c r="N155" s="35" t="str">
        <f t="shared" si="31"/>
        <v/>
      </c>
      <c r="O155" s="35" t="str">
        <f t="shared" si="32"/>
        <v/>
      </c>
      <c r="P155" s="35" t="str">
        <f t="shared" si="33"/>
        <v/>
      </c>
      <c r="Q155" s="35" t="str">
        <f t="shared" si="34"/>
        <v/>
      </c>
      <c r="R155" s="35" t="str">
        <f t="shared" si="35"/>
        <v/>
      </c>
      <c r="S155" s="35" t="str">
        <f t="shared" si="36"/>
        <v/>
      </c>
    </row>
    <row r="156" spans="1:19">
      <c r="A156" s="187">
        <v>160</v>
      </c>
      <c r="B156" s="186">
        <v>1200</v>
      </c>
      <c r="C156" s="35">
        <v>30</v>
      </c>
      <c r="D156" s="35">
        <v>36</v>
      </c>
      <c r="E156" s="187">
        <v>3.2</v>
      </c>
      <c r="F156" s="187">
        <v>0.15</v>
      </c>
      <c r="G156" s="187">
        <f t="shared" si="29"/>
        <v>0.16578639905405765</v>
      </c>
      <c r="H156" s="35">
        <f t="shared" ref="H156:H219" si="37">0.001*D156*PI()*(C156/2)^2</f>
        <v>25.446900494077326</v>
      </c>
      <c r="I156" s="35">
        <f t="shared" ref="I156:I219" si="38">B156/H156</f>
        <v>47.157020175376395</v>
      </c>
      <c r="J156" s="35">
        <f t="shared" ref="J156:J219" si="39">0.5*I156*A156^2</f>
        <v>603609.85824481782</v>
      </c>
      <c r="L156" s="35" t="str">
        <f t="shared" ref="L156:L219" si="40">IF(AND($W$9&lt;A156,D156&lt;=$W$14),0.5*I156*$W$7,"")</f>
        <v/>
      </c>
      <c r="M156" s="35" t="str">
        <f t="shared" si="30"/>
        <v/>
      </c>
      <c r="N156" s="35" t="str">
        <f t="shared" si="31"/>
        <v/>
      </c>
      <c r="O156" s="35" t="str">
        <f t="shared" si="32"/>
        <v/>
      </c>
      <c r="P156" s="35" t="str">
        <f t="shared" si="33"/>
        <v/>
      </c>
      <c r="Q156" s="35" t="str">
        <f t="shared" si="34"/>
        <v/>
      </c>
      <c r="R156" s="35" t="str">
        <f t="shared" si="35"/>
        <v/>
      </c>
      <c r="S156" s="35" t="str">
        <f t="shared" si="36"/>
        <v/>
      </c>
    </row>
    <row r="157" spans="1:19">
      <c r="A157" s="187">
        <v>160</v>
      </c>
      <c r="B157" s="186">
        <v>1500</v>
      </c>
      <c r="C157" s="35">
        <v>30</v>
      </c>
      <c r="D157" s="35">
        <v>45</v>
      </c>
      <c r="E157" s="187">
        <v>3.35</v>
      </c>
      <c r="F157" s="187">
        <v>0.15</v>
      </c>
      <c r="G157" s="187">
        <f t="shared" ref="G157:G220" si="41">F157/(2*PI()*120*B157*10^-6)</f>
        <v>0.13262911924324614</v>
      </c>
      <c r="H157" s="35">
        <f t="shared" si="37"/>
        <v>31.808625617596658</v>
      </c>
      <c r="I157" s="35">
        <f t="shared" si="38"/>
        <v>47.157020175376395</v>
      </c>
      <c r="J157" s="35">
        <f t="shared" si="39"/>
        <v>603609.85824481782</v>
      </c>
      <c r="L157" s="35" t="str">
        <f t="shared" si="40"/>
        <v/>
      </c>
      <c r="M157" s="35" t="str">
        <f t="shared" si="30"/>
        <v/>
      </c>
      <c r="N157" s="35" t="str">
        <f t="shared" si="31"/>
        <v/>
      </c>
      <c r="O157" s="35" t="str">
        <f t="shared" si="32"/>
        <v/>
      </c>
      <c r="P157" s="35" t="str">
        <f t="shared" si="33"/>
        <v/>
      </c>
      <c r="Q157" s="35" t="str">
        <f t="shared" si="34"/>
        <v/>
      </c>
      <c r="R157" s="35" t="str">
        <f t="shared" si="35"/>
        <v/>
      </c>
      <c r="S157" s="35" t="str">
        <f t="shared" si="36"/>
        <v/>
      </c>
    </row>
    <row r="158" spans="1:19">
      <c r="A158" s="187">
        <v>160</v>
      </c>
      <c r="B158" s="186">
        <v>1500</v>
      </c>
      <c r="C158" s="35">
        <v>35</v>
      </c>
      <c r="D158" s="35">
        <v>37</v>
      </c>
      <c r="E158" s="187">
        <v>3.28</v>
      </c>
      <c r="F158" s="187">
        <v>0.15</v>
      </c>
      <c r="G158" s="187">
        <f t="shared" si="41"/>
        <v>0.13262911924324614</v>
      </c>
      <c r="H158" s="35">
        <f t="shared" si="37"/>
        <v>35.598171755989341</v>
      </c>
      <c r="I158" s="35">
        <f t="shared" si="38"/>
        <v>42.136995413187961</v>
      </c>
      <c r="J158" s="35">
        <f t="shared" si="39"/>
        <v>539353.54128880589</v>
      </c>
      <c r="L158" s="35" t="str">
        <f t="shared" si="40"/>
        <v/>
      </c>
      <c r="M158" s="35" t="str">
        <f t="shared" si="30"/>
        <v/>
      </c>
      <c r="N158" s="35" t="str">
        <f t="shared" si="31"/>
        <v/>
      </c>
      <c r="O158" s="35" t="str">
        <f t="shared" si="32"/>
        <v/>
      </c>
      <c r="P158" s="35" t="str">
        <f t="shared" si="33"/>
        <v/>
      </c>
      <c r="Q158" s="35" t="str">
        <f t="shared" si="34"/>
        <v/>
      </c>
      <c r="R158" s="35" t="str">
        <f t="shared" si="35"/>
        <v/>
      </c>
      <c r="S158" s="35" t="str">
        <f t="shared" si="36"/>
        <v/>
      </c>
    </row>
    <row r="159" spans="1:19">
      <c r="A159" s="187">
        <v>160</v>
      </c>
      <c r="B159" s="186">
        <v>1800</v>
      </c>
      <c r="C159" s="35">
        <v>30</v>
      </c>
      <c r="D159" s="35">
        <v>51</v>
      </c>
      <c r="E159" s="187">
        <v>4.4000000000000004</v>
      </c>
      <c r="F159" s="187">
        <v>0.15</v>
      </c>
      <c r="G159" s="187">
        <f t="shared" si="41"/>
        <v>0.11052426603603843</v>
      </c>
      <c r="H159" s="35">
        <f t="shared" si="37"/>
        <v>36.049775699942877</v>
      </c>
      <c r="I159" s="35">
        <f t="shared" si="38"/>
        <v>49.930962538633828</v>
      </c>
      <c r="J159" s="35">
        <f t="shared" si="39"/>
        <v>639116.32049451303</v>
      </c>
      <c r="L159" s="35" t="str">
        <f t="shared" si="40"/>
        <v/>
      </c>
      <c r="M159" s="35" t="str">
        <f t="shared" si="30"/>
        <v/>
      </c>
      <c r="N159" s="35" t="str">
        <f t="shared" si="31"/>
        <v/>
      </c>
      <c r="O159" s="35" t="str">
        <f t="shared" si="32"/>
        <v/>
      </c>
      <c r="P159" s="35" t="str">
        <f t="shared" si="33"/>
        <v/>
      </c>
      <c r="Q159" s="35" t="str">
        <f t="shared" si="34"/>
        <v/>
      </c>
      <c r="R159" s="35" t="str">
        <f t="shared" si="35"/>
        <v/>
      </c>
      <c r="S159" s="35" t="str">
        <f t="shared" si="36"/>
        <v/>
      </c>
    </row>
    <row r="160" spans="1:19">
      <c r="A160" s="187">
        <v>160</v>
      </c>
      <c r="B160" s="186">
        <v>1800</v>
      </c>
      <c r="C160" s="35">
        <v>35</v>
      </c>
      <c r="D160" s="35">
        <v>42</v>
      </c>
      <c r="E160" s="187">
        <v>3.59</v>
      </c>
      <c r="F160" s="187">
        <v>0.15</v>
      </c>
      <c r="G160" s="187">
        <f t="shared" si="41"/>
        <v>0.11052426603603843</v>
      </c>
      <c r="H160" s="35">
        <f t="shared" si="37"/>
        <v>40.408735506798713</v>
      </c>
      <c r="I160" s="35">
        <f t="shared" si="38"/>
        <v>44.54482372251298</v>
      </c>
      <c r="J160" s="35">
        <f t="shared" si="39"/>
        <v>570173.74364816619</v>
      </c>
      <c r="L160" s="35" t="str">
        <f t="shared" si="40"/>
        <v/>
      </c>
      <c r="M160" s="35" t="str">
        <f t="shared" si="30"/>
        <v/>
      </c>
      <c r="N160" s="35" t="str">
        <f t="shared" si="31"/>
        <v/>
      </c>
      <c r="O160" s="35" t="str">
        <f t="shared" si="32"/>
        <v/>
      </c>
      <c r="P160" s="35" t="str">
        <f t="shared" si="33"/>
        <v/>
      </c>
      <c r="Q160" s="35" t="str">
        <f t="shared" si="34"/>
        <v/>
      </c>
      <c r="R160" s="35" t="str">
        <f t="shared" si="35"/>
        <v/>
      </c>
      <c r="S160" s="35" t="str">
        <f t="shared" si="36"/>
        <v/>
      </c>
    </row>
    <row r="161" spans="1:19">
      <c r="A161" s="187">
        <v>160</v>
      </c>
      <c r="B161" s="186">
        <v>2200</v>
      </c>
      <c r="C161" s="35">
        <v>35</v>
      </c>
      <c r="D161" s="35">
        <v>51</v>
      </c>
      <c r="E161" s="187">
        <v>4.7</v>
      </c>
      <c r="F161" s="187">
        <v>0.15</v>
      </c>
      <c r="G161" s="187">
        <f t="shared" si="41"/>
        <v>9.0428944938576908E-2</v>
      </c>
      <c r="H161" s="35">
        <f t="shared" si="37"/>
        <v>49.067750258255579</v>
      </c>
      <c r="I161" s="35">
        <f t="shared" si="38"/>
        <v>44.835966361222219</v>
      </c>
      <c r="J161" s="35">
        <f t="shared" si="39"/>
        <v>573900.36942364438</v>
      </c>
      <c r="L161" s="35" t="str">
        <f t="shared" si="40"/>
        <v/>
      </c>
      <c r="M161" s="35" t="str">
        <f t="shared" si="30"/>
        <v/>
      </c>
      <c r="N161" s="35" t="str">
        <f t="shared" si="31"/>
        <v/>
      </c>
      <c r="O161" s="35" t="str">
        <f t="shared" si="32"/>
        <v/>
      </c>
      <c r="P161" s="35" t="str">
        <f t="shared" si="33"/>
        <v/>
      </c>
      <c r="Q161" s="35" t="str">
        <f t="shared" si="34"/>
        <v/>
      </c>
      <c r="R161" s="35" t="str">
        <f t="shared" si="35"/>
        <v/>
      </c>
      <c r="S161" s="35" t="str">
        <f t="shared" si="36"/>
        <v/>
      </c>
    </row>
    <row r="162" spans="1:19">
      <c r="A162" s="187">
        <v>160</v>
      </c>
      <c r="B162" s="186">
        <v>2700</v>
      </c>
      <c r="C162" s="35">
        <v>35</v>
      </c>
      <c r="D162" s="35">
        <v>60</v>
      </c>
      <c r="E162" s="187">
        <v>4.8</v>
      </c>
      <c r="F162" s="187">
        <v>0.15</v>
      </c>
      <c r="G162" s="187">
        <f t="shared" si="41"/>
        <v>7.368284402402564E-2</v>
      </c>
      <c r="H162" s="35">
        <f t="shared" si="37"/>
        <v>57.726765009712445</v>
      </c>
      <c r="I162" s="35">
        <f t="shared" si="38"/>
        <v>46.772064908638633</v>
      </c>
      <c r="J162" s="35">
        <f t="shared" si="39"/>
        <v>598682.43083057448</v>
      </c>
      <c r="L162" s="35" t="str">
        <f t="shared" si="40"/>
        <v/>
      </c>
      <c r="M162" s="35" t="str">
        <f t="shared" si="30"/>
        <v/>
      </c>
      <c r="N162" s="35" t="str">
        <f t="shared" si="31"/>
        <v/>
      </c>
      <c r="O162" s="35" t="str">
        <f t="shared" si="32"/>
        <v/>
      </c>
      <c r="P162" s="35" t="str">
        <f t="shared" si="33"/>
        <v/>
      </c>
      <c r="Q162" s="35" t="str">
        <f t="shared" si="34"/>
        <v/>
      </c>
      <c r="R162" s="35" t="str">
        <f t="shared" si="35"/>
        <v/>
      </c>
      <c r="S162" s="35" t="str">
        <f t="shared" si="36"/>
        <v/>
      </c>
    </row>
    <row r="163" spans="1:19">
      <c r="A163" s="187">
        <v>200</v>
      </c>
      <c r="B163" s="187">
        <v>150</v>
      </c>
      <c r="C163" s="35">
        <v>20</v>
      </c>
      <c r="D163" s="35">
        <v>30</v>
      </c>
      <c r="E163" s="187">
        <v>2</v>
      </c>
      <c r="F163" s="187">
        <v>0.15</v>
      </c>
      <c r="G163" s="187">
        <f t="shared" si="41"/>
        <v>1.3262911924324612</v>
      </c>
      <c r="H163" s="35">
        <f t="shared" si="37"/>
        <v>9.4247779607693793</v>
      </c>
      <c r="I163" s="35">
        <f t="shared" si="38"/>
        <v>15.915494309189533</v>
      </c>
      <c r="J163" s="35">
        <f t="shared" si="39"/>
        <v>318309.88618379069</v>
      </c>
      <c r="L163" s="35" t="str">
        <f t="shared" si="40"/>
        <v/>
      </c>
      <c r="M163" s="35" t="str">
        <f t="shared" si="30"/>
        <v/>
      </c>
      <c r="N163" s="35" t="str">
        <f t="shared" si="31"/>
        <v/>
      </c>
      <c r="O163" s="35" t="str">
        <f t="shared" si="32"/>
        <v/>
      </c>
      <c r="P163" s="35" t="str">
        <f t="shared" si="33"/>
        <v/>
      </c>
      <c r="Q163" s="35" t="str">
        <f t="shared" si="34"/>
        <v/>
      </c>
      <c r="R163" s="35" t="str">
        <f t="shared" si="35"/>
        <v/>
      </c>
      <c r="S163" s="35" t="str">
        <f t="shared" si="36"/>
        <v/>
      </c>
    </row>
    <row r="164" spans="1:19">
      <c r="A164" s="187">
        <v>200</v>
      </c>
      <c r="B164" s="187">
        <v>150</v>
      </c>
      <c r="C164" s="35">
        <v>22</v>
      </c>
      <c r="D164" s="35">
        <v>25</v>
      </c>
      <c r="E164" s="187">
        <v>1.85</v>
      </c>
      <c r="F164" s="187">
        <v>0.15</v>
      </c>
      <c r="G164" s="187">
        <f t="shared" si="41"/>
        <v>1.3262911924324612</v>
      </c>
      <c r="H164" s="35">
        <f t="shared" si="37"/>
        <v>9.5033177771091246</v>
      </c>
      <c r="I164" s="35">
        <f t="shared" si="38"/>
        <v>15.783961298369785</v>
      </c>
      <c r="J164" s="35">
        <f t="shared" si="39"/>
        <v>315679.2259673957</v>
      </c>
      <c r="L164" s="35">
        <f t="shared" si="40"/>
        <v>197.29951622962233</v>
      </c>
      <c r="M164" s="35">
        <f t="shared" si="30"/>
        <v>2261.7896309519715</v>
      </c>
      <c r="N164" s="35" t="str">
        <f t="shared" si="31"/>
        <v/>
      </c>
      <c r="O164" s="35" t="str">
        <f t="shared" si="32"/>
        <v/>
      </c>
      <c r="P164" s="35" t="str">
        <f t="shared" si="33"/>
        <v/>
      </c>
      <c r="Q164" s="35" t="str">
        <f t="shared" si="34"/>
        <v/>
      </c>
      <c r="R164" s="35" t="str">
        <f t="shared" si="35"/>
        <v/>
      </c>
      <c r="S164" s="35" t="str">
        <f t="shared" si="36"/>
        <v/>
      </c>
    </row>
    <row r="165" spans="1:19">
      <c r="A165" s="187">
        <v>200</v>
      </c>
      <c r="B165" s="187">
        <v>220</v>
      </c>
      <c r="C165" s="35">
        <v>20</v>
      </c>
      <c r="D165" s="35">
        <v>30</v>
      </c>
      <c r="E165" s="187">
        <v>1</v>
      </c>
      <c r="F165" s="187">
        <v>0.15</v>
      </c>
      <c r="G165" s="187">
        <f t="shared" si="41"/>
        <v>0.90428944938576916</v>
      </c>
      <c r="H165" s="35">
        <f t="shared" si="37"/>
        <v>9.4247779607693793</v>
      </c>
      <c r="I165" s="35">
        <f t="shared" si="38"/>
        <v>23.342724986811316</v>
      </c>
      <c r="J165" s="35">
        <f t="shared" si="39"/>
        <v>466854.49973622634</v>
      </c>
      <c r="L165" s="35" t="str">
        <f t="shared" si="40"/>
        <v/>
      </c>
      <c r="M165" s="35" t="str">
        <f t="shared" si="30"/>
        <v/>
      </c>
      <c r="N165" s="35" t="str">
        <f t="shared" si="31"/>
        <v/>
      </c>
      <c r="O165" s="35" t="str">
        <f t="shared" si="32"/>
        <v/>
      </c>
      <c r="P165" s="35" t="str">
        <f t="shared" si="33"/>
        <v/>
      </c>
      <c r="Q165" s="35" t="str">
        <f t="shared" si="34"/>
        <v/>
      </c>
      <c r="R165" s="35" t="str">
        <f t="shared" si="35"/>
        <v/>
      </c>
      <c r="S165" s="35" t="str">
        <f t="shared" si="36"/>
        <v/>
      </c>
    </row>
    <row r="166" spans="1:19">
      <c r="A166" s="187">
        <v>200</v>
      </c>
      <c r="B166" s="187">
        <v>220</v>
      </c>
      <c r="C166" s="35">
        <v>22</v>
      </c>
      <c r="D166" s="35">
        <v>25</v>
      </c>
      <c r="E166" s="187">
        <v>0.97</v>
      </c>
      <c r="F166" s="187">
        <v>0.15</v>
      </c>
      <c r="G166" s="187">
        <f t="shared" si="41"/>
        <v>0.90428944938576916</v>
      </c>
      <c r="H166" s="35">
        <f t="shared" si="37"/>
        <v>9.5033177771091246</v>
      </c>
      <c r="I166" s="35">
        <f t="shared" si="38"/>
        <v>23.149809904275685</v>
      </c>
      <c r="J166" s="35">
        <f t="shared" si="39"/>
        <v>462996.19808551372</v>
      </c>
      <c r="L166" s="35">
        <f t="shared" si="40"/>
        <v>289.37262380344606</v>
      </c>
      <c r="M166" s="35">
        <f t="shared" si="30"/>
        <v>1539.5374798916782</v>
      </c>
      <c r="N166" s="35" t="str">
        <f t="shared" si="31"/>
        <v/>
      </c>
      <c r="O166" s="35" t="str">
        <f t="shared" si="32"/>
        <v/>
      </c>
      <c r="P166" s="35" t="str">
        <f t="shared" si="33"/>
        <v/>
      </c>
      <c r="Q166" s="35" t="str">
        <f t="shared" si="34"/>
        <v/>
      </c>
      <c r="R166" s="35" t="str">
        <f t="shared" si="35"/>
        <v/>
      </c>
      <c r="S166" s="35" t="str">
        <f t="shared" si="36"/>
        <v/>
      </c>
    </row>
    <row r="167" spans="1:19">
      <c r="A167" s="187">
        <v>200</v>
      </c>
      <c r="B167" s="187">
        <v>270</v>
      </c>
      <c r="C167" s="35">
        <v>22</v>
      </c>
      <c r="D167" s="35">
        <v>26</v>
      </c>
      <c r="E167" s="187">
        <v>1.5</v>
      </c>
      <c r="F167" s="187">
        <v>0.15</v>
      </c>
      <c r="G167" s="187">
        <f t="shared" si="41"/>
        <v>0.73682844024025629</v>
      </c>
      <c r="H167" s="35">
        <f t="shared" si="37"/>
        <v>9.8834504881934908</v>
      </c>
      <c r="I167" s="35">
        <f t="shared" si="38"/>
        <v>27.318394554870778</v>
      </c>
      <c r="J167" s="35">
        <f t="shared" si="39"/>
        <v>546367.89109741559</v>
      </c>
      <c r="L167" s="35" t="str">
        <f t="shared" si="40"/>
        <v/>
      </c>
      <c r="M167" s="35" t="str">
        <f t="shared" si="30"/>
        <v/>
      </c>
      <c r="N167" s="35" t="str">
        <f t="shared" si="31"/>
        <v/>
      </c>
      <c r="O167" s="35" t="str">
        <f t="shared" si="32"/>
        <v/>
      </c>
      <c r="P167" s="35" t="str">
        <f t="shared" si="33"/>
        <v/>
      </c>
      <c r="Q167" s="35" t="str">
        <f t="shared" si="34"/>
        <v/>
      </c>
      <c r="R167" s="35" t="str">
        <f t="shared" si="35"/>
        <v/>
      </c>
      <c r="S167" s="35" t="str">
        <f t="shared" si="36"/>
        <v/>
      </c>
    </row>
    <row r="168" spans="1:19">
      <c r="A168" s="187">
        <v>200</v>
      </c>
      <c r="B168" s="187">
        <v>330</v>
      </c>
      <c r="C168" s="35">
        <v>22</v>
      </c>
      <c r="D168" s="35">
        <v>30</v>
      </c>
      <c r="E168" s="187">
        <v>1.29</v>
      </c>
      <c r="F168" s="187">
        <v>0.15</v>
      </c>
      <c r="G168" s="187">
        <f t="shared" si="41"/>
        <v>0.60285963292384603</v>
      </c>
      <c r="H168" s="35">
        <f t="shared" si="37"/>
        <v>11.403981332530948</v>
      </c>
      <c r="I168" s="35">
        <f t="shared" si="38"/>
        <v>28.93726238034461</v>
      </c>
      <c r="J168" s="35">
        <f t="shared" si="39"/>
        <v>578745.24760689214</v>
      </c>
      <c r="L168" s="35" t="str">
        <f t="shared" si="40"/>
        <v/>
      </c>
      <c r="M168" s="35" t="str">
        <f t="shared" si="30"/>
        <v/>
      </c>
      <c r="N168" s="35" t="str">
        <f t="shared" si="31"/>
        <v/>
      </c>
      <c r="O168" s="35" t="str">
        <f t="shared" si="32"/>
        <v/>
      </c>
      <c r="P168" s="35" t="str">
        <f t="shared" si="33"/>
        <v/>
      </c>
      <c r="Q168" s="35" t="str">
        <f t="shared" si="34"/>
        <v/>
      </c>
      <c r="R168" s="35" t="str">
        <f t="shared" si="35"/>
        <v/>
      </c>
      <c r="S168" s="35" t="str">
        <f t="shared" si="36"/>
        <v/>
      </c>
    </row>
    <row r="169" spans="1:19">
      <c r="A169" s="187">
        <v>200</v>
      </c>
      <c r="B169" s="187">
        <v>330</v>
      </c>
      <c r="C169" s="35">
        <v>25</v>
      </c>
      <c r="D169" s="35">
        <v>25</v>
      </c>
      <c r="E169" s="187">
        <v>1.23</v>
      </c>
      <c r="F169" s="187">
        <v>0.15</v>
      </c>
      <c r="G169" s="187">
        <f t="shared" si="41"/>
        <v>0.60285963292384603</v>
      </c>
      <c r="H169" s="35">
        <f t="shared" si="37"/>
        <v>12.271846303085129</v>
      </c>
      <c r="I169" s="35">
        <f t="shared" si="38"/>
        <v>26.890819184806638</v>
      </c>
      <c r="J169" s="35">
        <f t="shared" si="39"/>
        <v>537816.38369613281</v>
      </c>
      <c r="L169" s="35">
        <f t="shared" si="40"/>
        <v>336.13523981008296</v>
      </c>
      <c r="M169" s="35">
        <f t="shared" si="30"/>
        <v>1325.359400733194</v>
      </c>
      <c r="N169" s="35" t="str">
        <f t="shared" si="31"/>
        <v/>
      </c>
      <c r="O169" s="35" t="str">
        <f t="shared" si="32"/>
        <v/>
      </c>
      <c r="P169" s="35" t="str">
        <f t="shared" si="33"/>
        <v/>
      </c>
      <c r="Q169" s="35" t="str">
        <f t="shared" si="34"/>
        <v/>
      </c>
      <c r="R169" s="35" t="str">
        <f t="shared" si="35"/>
        <v/>
      </c>
      <c r="S169" s="35" t="str">
        <f t="shared" si="36"/>
        <v/>
      </c>
    </row>
    <row r="170" spans="1:19">
      <c r="A170" s="187">
        <v>200</v>
      </c>
      <c r="B170" s="187">
        <v>470</v>
      </c>
      <c r="C170" s="35">
        <v>22</v>
      </c>
      <c r="D170" s="35">
        <v>40</v>
      </c>
      <c r="E170" s="187">
        <v>1.74</v>
      </c>
      <c r="F170" s="187">
        <v>0.15</v>
      </c>
      <c r="G170" s="187">
        <f t="shared" si="41"/>
        <v>0.42328442311674302</v>
      </c>
      <c r="H170" s="35">
        <f t="shared" si="37"/>
        <v>15.2053084433746</v>
      </c>
      <c r="I170" s="35">
        <f t="shared" si="38"/>
        <v>30.910257542640828</v>
      </c>
      <c r="J170" s="35">
        <f t="shared" si="39"/>
        <v>618205.15085281653</v>
      </c>
      <c r="L170" s="35" t="str">
        <f t="shared" si="40"/>
        <v/>
      </c>
      <c r="M170" s="35" t="str">
        <f t="shared" si="30"/>
        <v/>
      </c>
      <c r="N170" s="35" t="str">
        <f t="shared" si="31"/>
        <v/>
      </c>
      <c r="O170" s="35" t="str">
        <f t="shared" si="32"/>
        <v/>
      </c>
      <c r="P170" s="35" t="str">
        <f t="shared" si="33"/>
        <v/>
      </c>
      <c r="Q170" s="35" t="str">
        <f t="shared" si="34"/>
        <v/>
      </c>
      <c r="R170" s="35" t="str">
        <f t="shared" si="35"/>
        <v/>
      </c>
      <c r="S170" s="35" t="str">
        <f t="shared" si="36"/>
        <v/>
      </c>
    </row>
    <row r="171" spans="1:19">
      <c r="A171" s="187">
        <v>200</v>
      </c>
      <c r="B171" s="187">
        <v>470</v>
      </c>
      <c r="C171" s="35">
        <v>25</v>
      </c>
      <c r="D171" s="35">
        <v>31</v>
      </c>
      <c r="E171" s="187">
        <v>1.55</v>
      </c>
      <c r="F171" s="187">
        <v>0.15</v>
      </c>
      <c r="G171" s="187">
        <f t="shared" si="41"/>
        <v>0.42328442311674302</v>
      </c>
      <c r="H171" s="35">
        <f t="shared" si="37"/>
        <v>15.217089415825559</v>
      </c>
      <c r="I171" s="35">
        <f t="shared" si="38"/>
        <v>30.88632702067234</v>
      </c>
      <c r="J171" s="35">
        <f t="shared" si="39"/>
        <v>617726.54041344684</v>
      </c>
      <c r="L171" s="35" t="str">
        <f t="shared" si="40"/>
        <v/>
      </c>
      <c r="M171" s="35" t="str">
        <f t="shared" si="30"/>
        <v/>
      </c>
      <c r="N171" s="35" t="str">
        <f t="shared" si="31"/>
        <v/>
      </c>
      <c r="O171" s="35" t="str">
        <f t="shared" si="32"/>
        <v/>
      </c>
      <c r="P171" s="35" t="str">
        <f t="shared" si="33"/>
        <v/>
      </c>
      <c r="Q171" s="35" t="str">
        <f t="shared" si="34"/>
        <v/>
      </c>
      <c r="R171" s="35" t="str">
        <f t="shared" si="35"/>
        <v/>
      </c>
      <c r="S171" s="35" t="str">
        <f t="shared" si="36"/>
        <v/>
      </c>
    </row>
    <row r="172" spans="1:19">
      <c r="A172" s="187">
        <v>200</v>
      </c>
      <c r="B172" s="187">
        <v>560</v>
      </c>
      <c r="C172" s="35">
        <v>22</v>
      </c>
      <c r="D172" s="35">
        <v>40</v>
      </c>
      <c r="E172" s="187">
        <v>2</v>
      </c>
      <c r="F172" s="187">
        <v>0.15</v>
      </c>
      <c r="G172" s="187">
        <f t="shared" si="41"/>
        <v>0.35525656940155215</v>
      </c>
      <c r="H172" s="35">
        <f t="shared" si="37"/>
        <v>15.2053084433746</v>
      </c>
      <c r="I172" s="35">
        <f t="shared" si="38"/>
        <v>36.829243029529501</v>
      </c>
      <c r="J172" s="35">
        <f t="shared" si="39"/>
        <v>736584.86059059005</v>
      </c>
      <c r="L172" s="35" t="str">
        <f t="shared" si="40"/>
        <v/>
      </c>
      <c r="M172" s="35" t="str">
        <f t="shared" si="30"/>
        <v/>
      </c>
      <c r="N172" s="35" t="str">
        <f t="shared" si="31"/>
        <v/>
      </c>
      <c r="O172" s="35" t="str">
        <f t="shared" si="32"/>
        <v/>
      </c>
      <c r="P172" s="35" t="str">
        <f t="shared" si="33"/>
        <v/>
      </c>
      <c r="Q172" s="35" t="str">
        <f t="shared" si="34"/>
        <v/>
      </c>
      <c r="R172" s="35" t="str">
        <f t="shared" si="35"/>
        <v/>
      </c>
      <c r="S172" s="35" t="str">
        <f t="shared" si="36"/>
        <v/>
      </c>
    </row>
    <row r="173" spans="1:19">
      <c r="A173" s="187">
        <v>200</v>
      </c>
      <c r="B173" s="187">
        <v>560</v>
      </c>
      <c r="C173" s="35">
        <v>25</v>
      </c>
      <c r="D173" s="35">
        <v>36</v>
      </c>
      <c r="E173" s="187">
        <v>1.82</v>
      </c>
      <c r="F173" s="187">
        <v>0.15</v>
      </c>
      <c r="G173" s="187">
        <f t="shared" si="41"/>
        <v>0.35525656940155215</v>
      </c>
      <c r="H173" s="35">
        <f t="shared" si="37"/>
        <v>17.67145867644259</v>
      </c>
      <c r="I173" s="35">
        <f t="shared" si="38"/>
        <v>31.68951755785293</v>
      </c>
      <c r="J173" s="35">
        <f t="shared" si="39"/>
        <v>633790.35115705861</v>
      </c>
      <c r="L173" s="35" t="str">
        <f t="shared" si="40"/>
        <v/>
      </c>
      <c r="M173" s="35" t="str">
        <f t="shared" si="30"/>
        <v/>
      </c>
      <c r="N173" s="35" t="str">
        <f t="shared" si="31"/>
        <v/>
      </c>
      <c r="O173" s="35" t="str">
        <f t="shared" si="32"/>
        <v/>
      </c>
      <c r="P173" s="35" t="str">
        <f t="shared" si="33"/>
        <v/>
      </c>
      <c r="Q173" s="35" t="str">
        <f t="shared" si="34"/>
        <v/>
      </c>
      <c r="R173" s="35" t="str">
        <f t="shared" si="35"/>
        <v/>
      </c>
      <c r="S173" s="35" t="str">
        <f t="shared" si="36"/>
        <v/>
      </c>
    </row>
    <row r="174" spans="1:19">
      <c r="A174" s="187">
        <v>200</v>
      </c>
      <c r="B174" s="187">
        <v>680</v>
      </c>
      <c r="C174" s="35">
        <v>22</v>
      </c>
      <c r="D174" s="35">
        <v>46</v>
      </c>
      <c r="E174" s="187">
        <v>2.14</v>
      </c>
      <c r="F174" s="187">
        <v>0.15</v>
      </c>
      <c r="G174" s="187">
        <f t="shared" si="41"/>
        <v>0.29256423362480766</v>
      </c>
      <c r="H174" s="35">
        <f t="shared" si="37"/>
        <v>17.486104709880788</v>
      </c>
      <c r="I174" s="35">
        <f t="shared" si="38"/>
        <v>38.888020590186429</v>
      </c>
      <c r="J174" s="35">
        <f t="shared" si="39"/>
        <v>777760.41180372855</v>
      </c>
      <c r="L174" s="35" t="str">
        <f t="shared" si="40"/>
        <v/>
      </c>
      <c r="M174" s="35" t="str">
        <f t="shared" si="30"/>
        <v/>
      </c>
      <c r="N174" s="35" t="str">
        <f t="shared" si="31"/>
        <v/>
      </c>
      <c r="O174" s="35" t="str">
        <f t="shared" si="32"/>
        <v/>
      </c>
      <c r="P174" s="35" t="str">
        <f t="shared" si="33"/>
        <v/>
      </c>
      <c r="Q174" s="35" t="str">
        <f t="shared" si="34"/>
        <v/>
      </c>
      <c r="R174" s="35" t="str">
        <f t="shared" si="35"/>
        <v/>
      </c>
      <c r="S174" s="35" t="str">
        <f t="shared" si="36"/>
        <v/>
      </c>
    </row>
    <row r="175" spans="1:19">
      <c r="A175" s="187">
        <v>200</v>
      </c>
      <c r="B175" s="187">
        <v>680</v>
      </c>
      <c r="C175" s="35">
        <v>25</v>
      </c>
      <c r="D175" s="35">
        <v>36</v>
      </c>
      <c r="E175" s="187">
        <v>2.08</v>
      </c>
      <c r="F175" s="187">
        <v>0.15</v>
      </c>
      <c r="G175" s="187">
        <f t="shared" si="41"/>
        <v>0.29256423362480766</v>
      </c>
      <c r="H175" s="35">
        <f t="shared" si="37"/>
        <v>17.67145867644259</v>
      </c>
      <c r="I175" s="35">
        <f t="shared" si="38"/>
        <v>38.480128463107128</v>
      </c>
      <c r="J175" s="35">
        <f t="shared" si="39"/>
        <v>769602.56926214253</v>
      </c>
      <c r="L175" s="35" t="str">
        <f t="shared" si="40"/>
        <v/>
      </c>
      <c r="M175" s="35" t="str">
        <f t="shared" si="30"/>
        <v/>
      </c>
      <c r="N175" s="35" t="str">
        <f t="shared" si="31"/>
        <v/>
      </c>
      <c r="O175" s="35" t="str">
        <f t="shared" si="32"/>
        <v/>
      </c>
      <c r="P175" s="35" t="str">
        <f t="shared" si="33"/>
        <v/>
      </c>
      <c r="Q175" s="35" t="str">
        <f t="shared" si="34"/>
        <v/>
      </c>
      <c r="R175" s="35" t="str">
        <f t="shared" si="35"/>
        <v/>
      </c>
      <c r="S175" s="35" t="str">
        <f t="shared" si="36"/>
        <v/>
      </c>
    </row>
    <row r="176" spans="1:19">
      <c r="A176" s="187">
        <v>200</v>
      </c>
      <c r="B176" s="187">
        <v>820</v>
      </c>
      <c r="C176" s="35">
        <v>25</v>
      </c>
      <c r="D176" s="35">
        <v>50</v>
      </c>
      <c r="E176" s="187">
        <v>2.59</v>
      </c>
      <c r="F176" s="187">
        <v>0.15</v>
      </c>
      <c r="G176" s="187">
        <f t="shared" si="41"/>
        <v>0.24261424251813318</v>
      </c>
      <c r="H176" s="35">
        <f t="shared" si="37"/>
        <v>24.543692606170257</v>
      </c>
      <c r="I176" s="35">
        <f t="shared" si="38"/>
        <v>33.409805653850675</v>
      </c>
      <c r="J176" s="35">
        <f t="shared" si="39"/>
        <v>668196.11307701352</v>
      </c>
      <c r="L176" s="35" t="str">
        <f t="shared" si="40"/>
        <v/>
      </c>
      <c r="M176" s="35" t="str">
        <f t="shared" si="30"/>
        <v/>
      </c>
      <c r="N176" s="35" t="str">
        <f t="shared" si="31"/>
        <v/>
      </c>
      <c r="O176" s="35" t="str">
        <f t="shared" si="32"/>
        <v/>
      </c>
      <c r="P176" s="35" t="str">
        <f t="shared" si="33"/>
        <v/>
      </c>
      <c r="Q176" s="35" t="str">
        <f t="shared" si="34"/>
        <v/>
      </c>
      <c r="R176" s="35" t="str">
        <f t="shared" si="35"/>
        <v/>
      </c>
      <c r="S176" s="35" t="str">
        <f t="shared" si="36"/>
        <v/>
      </c>
    </row>
    <row r="177" spans="1:19">
      <c r="A177" s="187">
        <v>200</v>
      </c>
      <c r="B177" s="187">
        <v>820</v>
      </c>
      <c r="C177" s="35">
        <v>30</v>
      </c>
      <c r="D177" s="35">
        <v>36</v>
      </c>
      <c r="E177" s="187">
        <v>2.5499999999999998</v>
      </c>
      <c r="F177" s="187">
        <v>0.15</v>
      </c>
      <c r="G177" s="187">
        <f t="shared" si="41"/>
        <v>0.24261424251813318</v>
      </c>
      <c r="H177" s="35">
        <f t="shared" si="37"/>
        <v>25.446900494077326</v>
      </c>
      <c r="I177" s="35">
        <f t="shared" si="38"/>
        <v>32.223963786507205</v>
      </c>
      <c r="J177" s="35">
        <f t="shared" si="39"/>
        <v>644479.27573014412</v>
      </c>
      <c r="L177" s="35" t="str">
        <f t="shared" si="40"/>
        <v/>
      </c>
      <c r="M177" s="35" t="str">
        <f t="shared" si="30"/>
        <v/>
      </c>
      <c r="N177" s="35" t="str">
        <f t="shared" si="31"/>
        <v/>
      </c>
      <c r="O177" s="35" t="str">
        <f t="shared" si="32"/>
        <v/>
      </c>
      <c r="P177" s="35" t="str">
        <f t="shared" si="33"/>
        <v/>
      </c>
      <c r="Q177" s="35" t="str">
        <f t="shared" si="34"/>
        <v/>
      </c>
      <c r="R177" s="35" t="str">
        <f t="shared" si="35"/>
        <v/>
      </c>
      <c r="S177" s="35" t="str">
        <f t="shared" si="36"/>
        <v/>
      </c>
    </row>
    <row r="178" spans="1:19">
      <c r="A178" s="187">
        <v>200</v>
      </c>
      <c r="B178" s="186">
        <v>1000</v>
      </c>
      <c r="C178" s="35">
        <v>25</v>
      </c>
      <c r="D178" s="35">
        <v>52</v>
      </c>
      <c r="E178" s="187">
        <v>2.99</v>
      </c>
      <c r="F178" s="187">
        <v>0.15</v>
      </c>
      <c r="G178" s="187">
        <f t="shared" si="41"/>
        <v>0.19894367886486922</v>
      </c>
      <c r="H178" s="35">
        <f t="shared" si="37"/>
        <v>25.525440310417071</v>
      </c>
      <c r="I178" s="35">
        <f t="shared" si="38"/>
        <v>39.176601376466543</v>
      </c>
      <c r="J178" s="35">
        <f t="shared" si="39"/>
        <v>783532.02752933081</v>
      </c>
      <c r="L178" s="35" t="str">
        <f t="shared" si="40"/>
        <v/>
      </c>
      <c r="M178" s="35" t="str">
        <f t="shared" si="30"/>
        <v/>
      </c>
      <c r="N178" s="35" t="str">
        <f t="shared" si="31"/>
        <v/>
      </c>
      <c r="O178" s="35" t="str">
        <f t="shared" si="32"/>
        <v/>
      </c>
      <c r="P178" s="35" t="str">
        <f t="shared" si="33"/>
        <v/>
      </c>
      <c r="Q178" s="35" t="str">
        <f t="shared" si="34"/>
        <v/>
      </c>
      <c r="R178" s="35" t="str">
        <f t="shared" si="35"/>
        <v/>
      </c>
      <c r="S178" s="35" t="str">
        <f t="shared" si="36"/>
        <v/>
      </c>
    </row>
    <row r="179" spans="1:19">
      <c r="A179" s="187">
        <v>200</v>
      </c>
      <c r="B179" s="186">
        <v>1000</v>
      </c>
      <c r="C179" s="35">
        <v>30</v>
      </c>
      <c r="D179" s="35">
        <v>42</v>
      </c>
      <c r="E179" s="187">
        <v>2.87</v>
      </c>
      <c r="F179" s="187">
        <v>0.15</v>
      </c>
      <c r="G179" s="187">
        <f t="shared" si="41"/>
        <v>0.19894367886486922</v>
      </c>
      <c r="H179" s="35">
        <f t="shared" si="37"/>
        <v>29.688050576423546</v>
      </c>
      <c r="I179" s="35">
        <f t="shared" si="38"/>
        <v>33.683585839554567</v>
      </c>
      <c r="J179" s="35">
        <f t="shared" si="39"/>
        <v>673671.71679109137</v>
      </c>
      <c r="L179" s="35" t="str">
        <f t="shared" si="40"/>
        <v/>
      </c>
      <c r="M179" s="35" t="str">
        <f t="shared" si="30"/>
        <v/>
      </c>
      <c r="N179" s="35" t="str">
        <f t="shared" si="31"/>
        <v/>
      </c>
      <c r="O179" s="35" t="str">
        <f t="shared" si="32"/>
        <v/>
      </c>
      <c r="P179" s="35" t="str">
        <f t="shared" si="33"/>
        <v/>
      </c>
      <c r="Q179" s="35" t="str">
        <f t="shared" si="34"/>
        <v/>
      </c>
      <c r="R179" s="35" t="str">
        <f t="shared" si="35"/>
        <v/>
      </c>
      <c r="S179" s="35" t="str">
        <f t="shared" si="36"/>
        <v/>
      </c>
    </row>
    <row r="180" spans="1:19">
      <c r="A180" s="187">
        <v>200</v>
      </c>
      <c r="B180" s="186">
        <v>1200</v>
      </c>
      <c r="C180" s="35">
        <v>30</v>
      </c>
      <c r="D180" s="35">
        <v>46</v>
      </c>
      <c r="E180" s="187">
        <v>4.25</v>
      </c>
      <c r="F180" s="187">
        <v>0.15</v>
      </c>
      <c r="G180" s="187">
        <f t="shared" si="41"/>
        <v>0.16578639905405765</v>
      </c>
      <c r="H180" s="35">
        <f t="shared" si="37"/>
        <v>32.515483964654358</v>
      </c>
      <c r="I180" s="35">
        <f t="shared" si="38"/>
        <v>36.905494050294571</v>
      </c>
      <c r="J180" s="35">
        <f t="shared" si="39"/>
        <v>738109.88100589137</v>
      </c>
      <c r="L180" s="35" t="str">
        <f t="shared" si="40"/>
        <v/>
      </c>
      <c r="M180" s="35" t="str">
        <f t="shared" si="30"/>
        <v/>
      </c>
      <c r="N180" s="35" t="str">
        <f t="shared" si="31"/>
        <v/>
      </c>
      <c r="O180" s="35" t="str">
        <f t="shared" si="32"/>
        <v/>
      </c>
      <c r="P180" s="35" t="str">
        <f t="shared" si="33"/>
        <v/>
      </c>
      <c r="Q180" s="35" t="str">
        <f t="shared" si="34"/>
        <v/>
      </c>
      <c r="R180" s="35" t="str">
        <f t="shared" si="35"/>
        <v/>
      </c>
      <c r="S180" s="35" t="str">
        <f t="shared" si="36"/>
        <v/>
      </c>
    </row>
    <row r="181" spans="1:19">
      <c r="A181" s="187">
        <v>200</v>
      </c>
      <c r="B181" s="186">
        <v>1200</v>
      </c>
      <c r="C181" s="35">
        <v>35</v>
      </c>
      <c r="D181" s="35">
        <v>37</v>
      </c>
      <c r="E181" s="187">
        <v>4.08</v>
      </c>
      <c r="F181" s="187">
        <v>0.15</v>
      </c>
      <c r="G181" s="187">
        <f t="shared" si="41"/>
        <v>0.16578639905405765</v>
      </c>
      <c r="H181" s="35">
        <f t="shared" si="37"/>
        <v>35.598171755989341</v>
      </c>
      <c r="I181" s="35">
        <f t="shared" si="38"/>
        <v>33.709596330550369</v>
      </c>
      <c r="J181" s="35">
        <f t="shared" si="39"/>
        <v>674191.92661100742</v>
      </c>
      <c r="L181" s="35" t="str">
        <f t="shared" si="40"/>
        <v/>
      </c>
      <c r="M181" s="35" t="str">
        <f t="shared" si="30"/>
        <v/>
      </c>
      <c r="N181" s="35" t="str">
        <f t="shared" si="31"/>
        <v/>
      </c>
      <c r="O181" s="35" t="str">
        <f t="shared" si="32"/>
        <v/>
      </c>
      <c r="P181" s="35" t="str">
        <f t="shared" si="33"/>
        <v/>
      </c>
      <c r="Q181" s="35" t="str">
        <f t="shared" si="34"/>
        <v/>
      </c>
      <c r="R181" s="35" t="str">
        <f t="shared" si="35"/>
        <v/>
      </c>
      <c r="S181" s="35" t="str">
        <f t="shared" si="36"/>
        <v/>
      </c>
    </row>
    <row r="182" spans="1:19">
      <c r="A182" s="187">
        <v>200</v>
      </c>
      <c r="B182" s="186">
        <v>1500</v>
      </c>
      <c r="C182" s="35">
        <v>30</v>
      </c>
      <c r="D182" s="35">
        <v>51</v>
      </c>
      <c r="E182" s="187">
        <v>5.3</v>
      </c>
      <c r="F182" s="187">
        <v>0.15</v>
      </c>
      <c r="G182" s="187">
        <f t="shared" si="41"/>
        <v>0.13262911924324614</v>
      </c>
      <c r="H182" s="35">
        <f t="shared" si="37"/>
        <v>36.049775699942877</v>
      </c>
      <c r="I182" s="35">
        <f t="shared" si="38"/>
        <v>41.609135448861522</v>
      </c>
      <c r="J182" s="35">
        <f t="shared" si="39"/>
        <v>832182.70897723048</v>
      </c>
      <c r="L182" s="35" t="str">
        <f t="shared" si="40"/>
        <v/>
      </c>
      <c r="M182" s="35" t="str">
        <f t="shared" si="30"/>
        <v/>
      </c>
      <c r="N182" s="35" t="str">
        <f t="shared" si="31"/>
        <v/>
      </c>
      <c r="O182" s="35" t="str">
        <f t="shared" si="32"/>
        <v/>
      </c>
      <c r="P182" s="35" t="str">
        <f t="shared" si="33"/>
        <v/>
      </c>
      <c r="Q182" s="35" t="str">
        <f t="shared" si="34"/>
        <v/>
      </c>
      <c r="R182" s="35" t="str">
        <f t="shared" si="35"/>
        <v/>
      </c>
      <c r="S182" s="35" t="str">
        <f t="shared" si="36"/>
        <v/>
      </c>
    </row>
    <row r="183" spans="1:19">
      <c r="A183" s="187">
        <v>200</v>
      </c>
      <c r="B183" s="186">
        <v>1500</v>
      </c>
      <c r="C183" s="35">
        <v>35</v>
      </c>
      <c r="D183" s="35">
        <v>42</v>
      </c>
      <c r="E183" s="187">
        <v>5.15</v>
      </c>
      <c r="F183" s="187">
        <v>0.15</v>
      </c>
      <c r="G183" s="187">
        <f t="shared" si="41"/>
        <v>0.13262911924324614</v>
      </c>
      <c r="H183" s="35">
        <f t="shared" si="37"/>
        <v>40.408735506798713</v>
      </c>
      <c r="I183" s="35">
        <f t="shared" si="38"/>
        <v>37.120686435427487</v>
      </c>
      <c r="J183" s="35">
        <f t="shared" si="39"/>
        <v>742413.72870854975</v>
      </c>
      <c r="L183" s="35" t="str">
        <f t="shared" si="40"/>
        <v/>
      </c>
      <c r="M183" s="35" t="str">
        <f t="shared" si="30"/>
        <v/>
      </c>
      <c r="N183" s="35" t="str">
        <f t="shared" si="31"/>
        <v/>
      </c>
      <c r="O183" s="35" t="str">
        <f t="shared" si="32"/>
        <v/>
      </c>
      <c r="P183" s="35" t="str">
        <f t="shared" si="33"/>
        <v/>
      </c>
      <c r="Q183" s="35" t="str">
        <f t="shared" si="34"/>
        <v/>
      </c>
      <c r="R183" s="35" t="str">
        <f t="shared" si="35"/>
        <v/>
      </c>
      <c r="S183" s="35" t="str">
        <f t="shared" si="36"/>
        <v/>
      </c>
    </row>
    <row r="184" spans="1:19">
      <c r="A184" s="187">
        <v>200</v>
      </c>
      <c r="B184" s="186">
        <v>1800</v>
      </c>
      <c r="C184" s="35">
        <v>35</v>
      </c>
      <c r="D184" s="35">
        <v>47</v>
      </c>
      <c r="E184" s="187">
        <v>5.8</v>
      </c>
      <c r="F184" s="187">
        <v>0.15</v>
      </c>
      <c r="G184" s="187">
        <f t="shared" si="41"/>
        <v>0.11052426603603843</v>
      </c>
      <c r="H184" s="35">
        <f t="shared" si="37"/>
        <v>45.219299257608085</v>
      </c>
      <c r="I184" s="35">
        <f t="shared" si="38"/>
        <v>39.80601268820309</v>
      </c>
      <c r="J184" s="35">
        <f t="shared" si="39"/>
        <v>796120.25376406184</v>
      </c>
      <c r="L184" s="35" t="str">
        <f t="shared" si="40"/>
        <v/>
      </c>
      <c r="M184" s="35" t="str">
        <f t="shared" si="30"/>
        <v/>
      </c>
      <c r="N184" s="35" t="str">
        <f t="shared" si="31"/>
        <v/>
      </c>
      <c r="O184" s="35" t="str">
        <f t="shared" si="32"/>
        <v/>
      </c>
      <c r="P184" s="35" t="str">
        <f t="shared" si="33"/>
        <v/>
      </c>
      <c r="Q184" s="35" t="str">
        <f t="shared" si="34"/>
        <v/>
      </c>
      <c r="R184" s="35" t="str">
        <f t="shared" si="35"/>
        <v/>
      </c>
      <c r="S184" s="35" t="str">
        <f t="shared" si="36"/>
        <v/>
      </c>
    </row>
    <row r="185" spans="1:19">
      <c r="A185" s="187">
        <v>200</v>
      </c>
      <c r="B185" s="186">
        <v>2200</v>
      </c>
      <c r="C185" s="35">
        <v>35</v>
      </c>
      <c r="D185" s="35">
        <v>51</v>
      </c>
      <c r="E185" s="187">
        <v>6.5</v>
      </c>
      <c r="F185" s="187">
        <v>0.15</v>
      </c>
      <c r="G185" s="187">
        <f t="shared" si="41"/>
        <v>9.0428944938576908E-2</v>
      </c>
      <c r="H185" s="35">
        <f t="shared" si="37"/>
        <v>49.067750258255579</v>
      </c>
      <c r="I185" s="35">
        <f t="shared" si="38"/>
        <v>44.835966361222219</v>
      </c>
      <c r="J185" s="35">
        <f t="shared" si="39"/>
        <v>896719.32722444437</v>
      </c>
      <c r="L185" s="35" t="str">
        <f t="shared" si="40"/>
        <v/>
      </c>
      <c r="M185" s="35" t="str">
        <f t="shared" si="30"/>
        <v/>
      </c>
      <c r="N185" s="35" t="str">
        <f t="shared" si="31"/>
        <v/>
      </c>
      <c r="O185" s="35" t="str">
        <f t="shared" si="32"/>
        <v/>
      </c>
      <c r="P185" s="35" t="str">
        <f t="shared" si="33"/>
        <v/>
      </c>
      <c r="Q185" s="35" t="str">
        <f t="shared" si="34"/>
        <v/>
      </c>
      <c r="R185" s="35" t="str">
        <f t="shared" si="35"/>
        <v/>
      </c>
      <c r="S185" s="35" t="str">
        <f t="shared" si="36"/>
        <v/>
      </c>
    </row>
    <row r="186" spans="1:19">
      <c r="A186" s="187">
        <v>250</v>
      </c>
      <c r="B186" s="187">
        <v>120</v>
      </c>
      <c r="C186" s="35">
        <v>20</v>
      </c>
      <c r="D186" s="35">
        <v>30</v>
      </c>
      <c r="E186" s="187">
        <v>0.9</v>
      </c>
      <c r="F186" s="187">
        <v>0.15</v>
      </c>
      <c r="G186" s="187">
        <f t="shared" si="41"/>
        <v>1.6578639905405765</v>
      </c>
      <c r="H186" s="35">
        <f t="shared" si="37"/>
        <v>9.4247779607693793</v>
      </c>
      <c r="I186" s="35">
        <f t="shared" si="38"/>
        <v>12.732395447351628</v>
      </c>
      <c r="J186" s="35">
        <f t="shared" si="39"/>
        <v>397887.3577297384</v>
      </c>
      <c r="L186" s="35" t="str">
        <f t="shared" si="40"/>
        <v/>
      </c>
      <c r="M186" s="35" t="str">
        <f t="shared" si="30"/>
        <v/>
      </c>
      <c r="N186" s="35" t="str">
        <f t="shared" si="31"/>
        <v/>
      </c>
      <c r="O186" s="35" t="str">
        <f t="shared" si="32"/>
        <v/>
      </c>
      <c r="P186" s="35" t="str">
        <f t="shared" si="33"/>
        <v/>
      </c>
      <c r="Q186" s="35" t="str">
        <f t="shared" si="34"/>
        <v/>
      </c>
      <c r="R186" s="35" t="str">
        <f t="shared" si="35"/>
        <v/>
      </c>
      <c r="S186" s="35" t="str">
        <f t="shared" si="36"/>
        <v/>
      </c>
    </row>
    <row r="187" spans="1:19">
      <c r="A187" s="187">
        <v>250</v>
      </c>
      <c r="B187" s="187">
        <v>120</v>
      </c>
      <c r="C187" s="35">
        <v>22</v>
      </c>
      <c r="D187" s="35">
        <v>25</v>
      </c>
      <c r="E187" s="187">
        <v>0.75</v>
      </c>
      <c r="F187" s="187">
        <v>0.15</v>
      </c>
      <c r="G187" s="187">
        <f t="shared" si="41"/>
        <v>1.6578639905405765</v>
      </c>
      <c r="H187" s="35">
        <f t="shared" si="37"/>
        <v>9.5033177771091246</v>
      </c>
      <c r="I187" s="35">
        <f t="shared" si="38"/>
        <v>12.627169038695829</v>
      </c>
      <c r="J187" s="35">
        <f t="shared" si="39"/>
        <v>394599.03245924466</v>
      </c>
      <c r="L187" s="35">
        <f t="shared" si="40"/>
        <v>157.83961298369786</v>
      </c>
      <c r="M187" s="35">
        <f t="shared" si="30"/>
        <v>2822.4853798014101</v>
      </c>
      <c r="N187" s="35" t="str">
        <f t="shared" si="31"/>
        <v/>
      </c>
      <c r="O187" s="35" t="str">
        <f t="shared" si="32"/>
        <v/>
      </c>
      <c r="P187" s="35" t="str">
        <f t="shared" si="33"/>
        <v/>
      </c>
      <c r="Q187" s="35" t="str">
        <f t="shared" si="34"/>
        <v/>
      </c>
      <c r="R187" s="35" t="str">
        <f t="shared" si="35"/>
        <v/>
      </c>
      <c r="S187" s="35" t="str">
        <f t="shared" si="36"/>
        <v/>
      </c>
    </row>
    <row r="188" spans="1:19">
      <c r="A188" s="187">
        <v>250</v>
      </c>
      <c r="B188" s="187">
        <v>150</v>
      </c>
      <c r="C188" s="35">
        <v>20</v>
      </c>
      <c r="D188" s="35">
        <v>30</v>
      </c>
      <c r="E188" s="187">
        <v>1</v>
      </c>
      <c r="F188" s="187">
        <v>0.15</v>
      </c>
      <c r="G188" s="187">
        <f t="shared" si="41"/>
        <v>1.3262911924324612</v>
      </c>
      <c r="H188" s="35">
        <f t="shared" si="37"/>
        <v>9.4247779607693793</v>
      </c>
      <c r="I188" s="35">
        <f t="shared" si="38"/>
        <v>15.915494309189533</v>
      </c>
      <c r="J188" s="35">
        <f t="shared" si="39"/>
        <v>497359.19716217293</v>
      </c>
      <c r="L188" s="35" t="str">
        <f t="shared" si="40"/>
        <v/>
      </c>
      <c r="M188" s="35" t="str">
        <f t="shared" si="30"/>
        <v/>
      </c>
      <c r="N188" s="35" t="str">
        <f t="shared" si="31"/>
        <v/>
      </c>
      <c r="O188" s="35" t="str">
        <f t="shared" si="32"/>
        <v/>
      </c>
      <c r="P188" s="35" t="str">
        <f t="shared" si="33"/>
        <v/>
      </c>
      <c r="Q188" s="35" t="str">
        <f t="shared" si="34"/>
        <v/>
      </c>
      <c r="R188" s="35" t="str">
        <f t="shared" si="35"/>
        <v/>
      </c>
      <c r="S188" s="35" t="str">
        <f t="shared" si="36"/>
        <v/>
      </c>
    </row>
    <row r="189" spans="1:19">
      <c r="A189" s="187">
        <v>250</v>
      </c>
      <c r="B189" s="187">
        <v>150</v>
      </c>
      <c r="C189" s="35">
        <v>22</v>
      </c>
      <c r="D189" s="35">
        <v>25</v>
      </c>
      <c r="E189" s="187">
        <v>0.97</v>
      </c>
      <c r="F189" s="187">
        <v>0.15</v>
      </c>
      <c r="G189" s="187">
        <f t="shared" si="41"/>
        <v>1.3262911924324612</v>
      </c>
      <c r="H189" s="35">
        <f t="shared" si="37"/>
        <v>9.5033177771091246</v>
      </c>
      <c r="I189" s="35">
        <f t="shared" si="38"/>
        <v>15.783961298369785</v>
      </c>
      <c r="J189" s="35">
        <f t="shared" si="39"/>
        <v>493248.79057405581</v>
      </c>
      <c r="L189" s="35">
        <f t="shared" si="40"/>
        <v>197.29951622962233</v>
      </c>
      <c r="M189" s="35">
        <f t="shared" si="30"/>
        <v>2261.7896309519715</v>
      </c>
      <c r="N189" s="35" t="str">
        <f t="shared" si="31"/>
        <v/>
      </c>
      <c r="O189" s="35" t="str">
        <f t="shared" si="32"/>
        <v/>
      </c>
      <c r="P189" s="35" t="str">
        <f t="shared" si="33"/>
        <v/>
      </c>
      <c r="Q189" s="35" t="str">
        <f t="shared" si="34"/>
        <v/>
      </c>
      <c r="R189" s="35" t="str">
        <f t="shared" si="35"/>
        <v/>
      </c>
      <c r="S189" s="35" t="str">
        <f t="shared" si="36"/>
        <v/>
      </c>
    </row>
    <row r="190" spans="1:19">
      <c r="A190" s="187">
        <v>250</v>
      </c>
      <c r="B190" s="187">
        <v>180</v>
      </c>
      <c r="C190" s="35">
        <v>25</v>
      </c>
      <c r="D190" s="35">
        <v>26</v>
      </c>
      <c r="E190" s="187">
        <v>1.3</v>
      </c>
      <c r="F190" s="187">
        <v>0.15</v>
      </c>
      <c r="G190" s="187">
        <f t="shared" si="41"/>
        <v>1.1052426603603844</v>
      </c>
      <c r="H190" s="35">
        <f t="shared" si="37"/>
        <v>12.762720155208536</v>
      </c>
      <c r="I190" s="35">
        <f t="shared" si="38"/>
        <v>14.103576495527955</v>
      </c>
      <c r="J190" s="35">
        <f t="shared" si="39"/>
        <v>440736.76548524859</v>
      </c>
      <c r="L190" s="35" t="str">
        <f t="shared" si="40"/>
        <v/>
      </c>
      <c r="M190" s="35" t="str">
        <f t="shared" si="30"/>
        <v/>
      </c>
      <c r="N190" s="35" t="str">
        <f t="shared" si="31"/>
        <v/>
      </c>
      <c r="O190" s="35" t="str">
        <f t="shared" si="32"/>
        <v/>
      </c>
      <c r="P190" s="35" t="str">
        <f t="shared" si="33"/>
        <v/>
      </c>
      <c r="Q190" s="35" t="str">
        <f t="shared" si="34"/>
        <v/>
      </c>
      <c r="R190" s="35" t="str">
        <f t="shared" si="35"/>
        <v/>
      </c>
      <c r="S190" s="35" t="str">
        <f t="shared" si="36"/>
        <v/>
      </c>
    </row>
    <row r="191" spans="1:19">
      <c r="A191" s="187">
        <v>250</v>
      </c>
      <c r="B191" s="187">
        <v>220</v>
      </c>
      <c r="C191" s="35">
        <v>22</v>
      </c>
      <c r="D191" s="35">
        <v>32</v>
      </c>
      <c r="E191" s="187">
        <v>1.45</v>
      </c>
      <c r="F191" s="187">
        <v>0.15</v>
      </c>
      <c r="G191" s="187">
        <f t="shared" si="41"/>
        <v>0.90428944938576916</v>
      </c>
      <c r="H191" s="35">
        <f t="shared" si="37"/>
        <v>12.164246754699679</v>
      </c>
      <c r="I191" s="35">
        <f t="shared" si="38"/>
        <v>18.085788987715379</v>
      </c>
      <c r="J191" s="35">
        <f t="shared" si="39"/>
        <v>565180.90586610558</v>
      </c>
      <c r="L191" s="35" t="str">
        <f t="shared" si="40"/>
        <v/>
      </c>
      <c r="M191" s="35" t="str">
        <f t="shared" si="30"/>
        <v/>
      </c>
      <c r="N191" s="35" t="str">
        <f t="shared" si="31"/>
        <v/>
      </c>
      <c r="O191" s="35" t="str">
        <f t="shared" si="32"/>
        <v/>
      </c>
      <c r="P191" s="35" t="str">
        <f t="shared" si="33"/>
        <v/>
      </c>
      <c r="Q191" s="35" t="str">
        <f t="shared" si="34"/>
        <v/>
      </c>
      <c r="R191" s="35" t="str">
        <f t="shared" si="35"/>
        <v/>
      </c>
      <c r="S191" s="35" t="str">
        <f t="shared" si="36"/>
        <v/>
      </c>
    </row>
    <row r="192" spans="1:19">
      <c r="A192" s="187">
        <v>250</v>
      </c>
      <c r="B192" s="187">
        <v>220</v>
      </c>
      <c r="C192" s="35">
        <v>25</v>
      </c>
      <c r="D192" s="35">
        <v>25</v>
      </c>
      <c r="E192" s="187">
        <v>1.0900000000000001</v>
      </c>
      <c r="F192" s="187">
        <v>0.15</v>
      </c>
      <c r="G192" s="187">
        <f t="shared" si="41"/>
        <v>0.90428944938576916</v>
      </c>
      <c r="H192" s="35">
        <f t="shared" si="37"/>
        <v>12.271846303085129</v>
      </c>
      <c r="I192" s="35">
        <f t="shared" si="38"/>
        <v>17.927212789871092</v>
      </c>
      <c r="J192" s="35">
        <f t="shared" si="39"/>
        <v>560225.39968347165</v>
      </c>
      <c r="L192" s="35">
        <f t="shared" si="40"/>
        <v>224.09015987338864</v>
      </c>
      <c r="M192" s="35">
        <f t="shared" si="30"/>
        <v>1988.0391010997907</v>
      </c>
      <c r="N192" s="35" t="str">
        <f t="shared" si="31"/>
        <v/>
      </c>
      <c r="O192" s="35" t="str">
        <f t="shared" si="32"/>
        <v/>
      </c>
      <c r="P192" s="35" t="str">
        <f t="shared" si="33"/>
        <v/>
      </c>
      <c r="Q192" s="35" t="str">
        <f t="shared" si="34"/>
        <v/>
      </c>
      <c r="R192" s="35" t="str">
        <f t="shared" si="35"/>
        <v/>
      </c>
      <c r="S192" s="35" t="str">
        <f t="shared" si="36"/>
        <v/>
      </c>
    </row>
    <row r="193" spans="1:19">
      <c r="A193" s="187">
        <v>250</v>
      </c>
      <c r="B193" s="187">
        <v>270</v>
      </c>
      <c r="C193" s="35">
        <v>22</v>
      </c>
      <c r="D193" s="35">
        <v>32</v>
      </c>
      <c r="E193" s="187">
        <v>1.1100000000000001</v>
      </c>
      <c r="F193" s="187">
        <v>0.15</v>
      </c>
      <c r="G193" s="187">
        <f t="shared" si="41"/>
        <v>0.73682844024025629</v>
      </c>
      <c r="H193" s="35">
        <f t="shared" si="37"/>
        <v>12.164246754699679</v>
      </c>
      <c r="I193" s="35">
        <f t="shared" si="38"/>
        <v>22.196195575832512</v>
      </c>
      <c r="J193" s="35">
        <f t="shared" si="39"/>
        <v>693631.11174476601</v>
      </c>
      <c r="L193" s="35" t="str">
        <f t="shared" si="40"/>
        <v/>
      </c>
      <c r="M193" s="35" t="str">
        <f t="shared" si="30"/>
        <v/>
      </c>
      <c r="N193" s="35" t="str">
        <f t="shared" si="31"/>
        <v/>
      </c>
      <c r="O193" s="35" t="str">
        <f t="shared" si="32"/>
        <v/>
      </c>
      <c r="P193" s="35" t="str">
        <f t="shared" si="33"/>
        <v/>
      </c>
      <c r="Q193" s="35" t="str">
        <f t="shared" si="34"/>
        <v/>
      </c>
      <c r="R193" s="35" t="str">
        <f t="shared" si="35"/>
        <v/>
      </c>
      <c r="S193" s="35" t="str">
        <f t="shared" si="36"/>
        <v/>
      </c>
    </row>
    <row r="194" spans="1:19">
      <c r="A194" s="187">
        <v>250</v>
      </c>
      <c r="B194" s="187">
        <v>270</v>
      </c>
      <c r="C194" s="35">
        <v>25</v>
      </c>
      <c r="D194" s="35">
        <v>25</v>
      </c>
      <c r="E194" s="187">
        <v>1.05</v>
      </c>
      <c r="F194" s="187">
        <v>0.15</v>
      </c>
      <c r="G194" s="187">
        <f t="shared" si="41"/>
        <v>0.73682844024025629</v>
      </c>
      <c r="H194" s="35">
        <f t="shared" si="37"/>
        <v>12.271846303085129</v>
      </c>
      <c r="I194" s="35">
        <f t="shared" si="38"/>
        <v>22.001579333023614</v>
      </c>
      <c r="J194" s="35">
        <f t="shared" si="39"/>
        <v>687549.35415698797</v>
      </c>
      <c r="L194" s="35">
        <f t="shared" si="40"/>
        <v>275.01974166279518</v>
      </c>
      <c r="M194" s="35">
        <f t="shared" si="30"/>
        <v>1619.8837120072369</v>
      </c>
      <c r="N194" s="35" t="str">
        <f t="shared" si="31"/>
        <v/>
      </c>
      <c r="O194" s="35" t="str">
        <f t="shared" si="32"/>
        <v/>
      </c>
      <c r="P194" s="35" t="str">
        <f t="shared" si="33"/>
        <v/>
      </c>
      <c r="Q194" s="35" t="str">
        <f t="shared" si="34"/>
        <v/>
      </c>
      <c r="R194" s="35" t="str">
        <f t="shared" si="35"/>
        <v/>
      </c>
      <c r="S194" s="35" t="str">
        <f t="shared" si="36"/>
        <v/>
      </c>
    </row>
    <row r="195" spans="1:19">
      <c r="A195" s="187">
        <v>250</v>
      </c>
      <c r="B195" s="187">
        <v>330</v>
      </c>
      <c r="C195" s="35">
        <v>22</v>
      </c>
      <c r="D195" s="35">
        <v>40</v>
      </c>
      <c r="E195" s="187">
        <v>1.58</v>
      </c>
      <c r="F195" s="187">
        <v>0.15</v>
      </c>
      <c r="G195" s="187">
        <f t="shared" si="41"/>
        <v>0.60285963292384603</v>
      </c>
      <c r="H195" s="35">
        <f t="shared" si="37"/>
        <v>15.2053084433746</v>
      </c>
      <c r="I195" s="35">
        <f t="shared" si="38"/>
        <v>21.702946785258455</v>
      </c>
      <c r="J195" s="35">
        <f t="shared" si="39"/>
        <v>678217.08703932667</v>
      </c>
      <c r="L195" s="35" t="str">
        <f t="shared" si="40"/>
        <v/>
      </c>
      <c r="M195" s="35" t="str">
        <f t="shared" si="30"/>
        <v/>
      </c>
      <c r="N195" s="35" t="str">
        <f t="shared" si="31"/>
        <v/>
      </c>
      <c r="O195" s="35" t="str">
        <f t="shared" si="32"/>
        <v/>
      </c>
      <c r="P195" s="35" t="str">
        <f t="shared" si="33"/>
        <v/>
      </c>
      <c r="Q195" s="35" t="str">
        <f t="shared" si="34"/>
        <v/>
      </c>
      <c r="R195" s="35" t="str">
        <f t="shared" si="35"/>
        <v/>
      </c>
      <c r="S195" s="35" t="str">
        <f t="shared" si="36"/>
        <v/>
      </c>
    </row>
    <row r="196" spans="1:19">
      <c r="A196" s="187">
        <v>250</v>
      </c>
      <c r="B196" s="187">
        <v>330</v>
      </c>
      <c r="C196" s="35">
        <v>25</v>
      </c>
      <c r="D196" s="35">
        <v>31</v>
      </c>
      <c r="E196" s="187">
        <v>1.42</v>
      </c>
      <c r="F196" s="187">
        <v>0.15</v>
      </c>
      <c r="G196" s="187">
        <f t="shared" si="41"/>
        <v>0.60285963292384603</v>
      </c>
      <c r="H196" s="35">
        <f t="shared" si="37"/>
        <v>15.217089415825559</v>
      </c>
      <c r="I196" s="35">
        <f t="shared" si="38"/>
        <v>21.686144503876324</v>
      </c>
      <c r="J196" s="35">
        <f t="shared" si="39"/>
        <v>677692.01574613515</v>
      </c>
      <c r="L196" s="35" t="str">
        <f t="shared" si="40"/>
        <v/>
      </c>
      <c r="M196" s="35" t="str">
        <f t="shared" si="30"/>
        <v/>
      </c>
      <c r="N196" s="35" t="str">
        <f t="shared" si="31"/>
        <v/>
      </c>
      <c r="O196" s="35" t="str">
        <f t="shared" si="32"/>
        <v/>
      </c>
      <c r="P196" s="35" t="str">
        <f t="shared" si="33"/>
        <v/>
      </c>
      <c r="Q196" s="35" t="str">
        <f t="shared" si="34"/>
        <v/>
      </c>
      <c r="R196" s="35" t="str">
        <f t="shared" si="35"/>
        <v/>
      </c>
      <c r="S196" s="35" t="str">
        <f t="shared" si="36"/>
        <v/>
      </c>
    </row>
    <row r="197" spans="1:19">
      <c r="A197" s="187">
        <v>250</v>
      </c>
      <c r="B197" s="187">
        <v>390</v>
      </c>
      <c r="C197" s="35">
        <v>22</v>
      </c>
      <c r="D197" s="35">
        <v>41</v>
      </c>
      <c r="E197" s="187">
        <v>2</v>
      </c>
      <c r="F197" s="187">
        <v>0.15</v>
      </c>
      <c r="G197" s="187">
        <f t="shared" si="41"/>
        <v>0.51011199708940824</v>
      </c>
      <c r="H197" s="35">
        <f t="shared" si="37"/>
        <v>15.585441154458964</v>
      </c>
      <c r="I197" s="35">
        <f t="shared" si="38"/>
        <v>25.023353277903318</v>
      </c>
      <c r="J197" s="35">
        <f t="shared" si="39"/>
        <v>781979.7899344787</v>
      </c>
      <c r="L197" s="35" t="str">
        <f t="shared" si="40"/>
        <v/>
      </c>
      <c r="M197" s="35" t="str">
        <f t="shared" ref="M197:M260" si="42">IF(L197&lt;&gt;"",ROUNDUP($W$12/B197,0)*H197,"")</f>
        <v/>
      </c>
      <c r="N197" s="35" t="str">
        <f t="shared" ref="N197:N260" si="43">IF(M197=MIN($M$4:$M$266),M197,"")</f>
        <v/>
      </c>
      <c r="O197" s="35" t="str">
        <f t="shared" ref="O197:O260" si="44">IF($N197=MIN($M$4:$M$266),A197,"")</f>
        <v/>
      </c>
      <c r="P197" s="35" t="str">
        <f t="shared" ref="P197:P260" si="45">IF($N197=MIN($M$4:$M$266),B197,"")</f>
        <v/>
      </c>
      <c r="Q197" s="35" t="str">
        <f t="shared" ref="Q197:Q260" si="46">IF($N197=MIN($M$4:$M$266),C197,"")</f>
        <v/>
      </c>
      <c r="R197" s="35" t="str">
        <f t="shared" ref="R197:R260" si="47">IF($N197=MIN($M$4:$M$266),D197,"")</f>
        <v/>
      </c>
      <c r="S197" s="35" t="str">
        <f t="shared" ref="S197:S260" si="48">IF($N197=MIN($M$4:$M$266),G197,"")</f>
        <v/>
      </c>
    </row>
    <row r="198" spans="1:19">
      <c r="A198" s="187">
        <v>250</v>
      </c>
      <c r="B198" s="187">
        <v>390</v>
      </c>
      <c r="C198" s="35">
        <v>25</v>
      </c>
      <c r="D198" s="35">
        <v>36</v>
      </c>
      <c r="E198" s="187">
        <v>1.85</v>
      </c>
      <c r="F198" s="187">
        <v>0.15</v>
      </c>
      <c r="G198" s="187">
        <f t="shared" si="41"/>
        <v>0.51011199708940824</v>
      </c>
      <c r="H198" s="35">
        <f t="shared" si="37"/>
        <v>17.67145867644259</v>
      </c>
      <c r="I198" s="35">
        <f t="shared" si="38"/>
        <v>22.06948544207615</v>
      </c>
      <c r="J198" s="35">
        <f t="shared" si="39"/>
        <v>689671.4200648797</v>
      </c>
      <c r="L198" s="35" t="str">
        <f t="shared" si="40"/>
        <v/>
      </c>
      <c r="M198" s="35" t="str">
        <f t="shared" si="42"/>
        <v/>
      </c>
      <c r="N198" s="35" t="str">
        <f t="shared" si="43"/>
        <v/>
      </c>
      <c r="O198" s="35" t="str">
        <f t="shared" si="44"/>
        <v/>
      </c>
      <c r="P198" s="35" t="str">
        <f t="shared" si="45"/>
        <v/>
      </c>
      <c r="Q198" s="35" t="str">
        <f t="shared" si="46"/>
        <v/>
      </c>
      <c r="R198" s="35" t="str">
        <f t="shared" si="47"/>
        <v/>
      </c>
      <c r="S198" s="35" t="str">
        <f t="shared" si="48"/>
        <v/>
      </c>
    </row>
    <row r="199" spans="1:19">
      <c r="A199" s="187">
        <v>250</v>
      </c>
      <c r="B199" s="187">
        <v>470</v>
      </c>
      <c r="C199" s="35">
        <v>22</v>
      </c>
      <c r="D199" s="35">
        <v>46</v>
      </c>
      <c r="E199" s="187">
        <v>2.08</v>
      </c>
      <c r="F199" s="187">
        <v>0.15</v>
      </c>
      <c r="G199" s="187">
        <f t="shared" si="41"/>
        <v>0.42328442311674302</v>
      </c>
      <c r="H199" s="35">
        <f t="shared" si="37"/>
        <v>17.486104709880788</v>
      </c>
      <c r="I199" s="35">
        <f t="shared" si="38"/>
        <v>26.878484819687678</v>
      </c>
      <c r="J199" s="35">
        <f t="shared" si="39"/>
        <v>839952.65061523998</v>
      </c>
      <c r="L199" s="35" t="str">
        <f t="shared" si="40"/>
        <v/>
      </c>
      <c r="M199" s="35" t="str">
        <f t="shared" si="42"/>
        <v/>
      </c>
      <c r="N199" s="35" t="str">
        <f t="shared" si="43"/>
        <v/>
      </c>
      <c r="O199" s="35" t="str">
        <f t="shared" si="44"/>
        <v/>
      </c>
      <c r="P199" s="35" t="str">
        <f t="shared" si="45"/>
        <v/>
      </c>
      <c r="Q199" s="35" t="str">
        <f t="shared" si="46"/>
        <v/>
      </c>
      <c r="R199" s="35" t="str">
        <f t="shared" si="47"/>
        <v/>
      </c>
      <c r="S199" s="35" t="str">
        <f t="shared" si="48"/>
        <v/>
      </c>
    </row>
    <row r="200" spans="1:19">
      <c r="A200" s="187">
        <v>250</v>
      </c>
      <c r="B200" s="187">
        <v>470</v>
      </c>
      <c r="C200" s="35">
        <v>25</v>
      </c>
      <c r="D200" s="35">
        <v>41</v>
      </c>
      <c r="E200" s="187">
        <v>1.93</v>
      </c>
      <c r="F200" s="187">
        <v>0.15</v>
      </c>
      <c r="G200" s="187">
        <f t="shared" si="41"/>
        <v>0.42328442311674302</v>
      </c>
      <c r="H200" s="35">
        <f t="shared" si="37"/>
        <v>20.125827937059615</v>
      </c>
      <c r="I200" s="35">
        <f t="shared" si="38"/>
        <v>23.353076527825422</v>
      </c>
      <c r="J200" s="35">
        <f t="shared" si="39"/>
        <v>729783.64149454446</v>
      </c>
      <c r="L200" s="35" t="str">
        <f t="shared" si="40"/>
        <v/>
      </c>
      <c r="M200" s="35" t="str">
        <f t="shared" si="42"/>
        <v/>
      </c>
      <c r="N200" s="35" t="str">
        <f t="shared" si="43"/>
        <v/>
      </c>
      <c r="O200" s="35" t="str">
        <f t="shared" si="44"/>
        <v/>
      </c>
      <c r="P200" s="35" t="str">
        <f t="shared" si="45"/>
        <v/>
      </c>
      <c r="Q200" s="35" t="str">
        <f t="shared" si="46"/>
        <v/>
      </c>
      <c r="R200" s="35" t="str">
        <f t="shared" si="47"/>
        <v/>
      </c>
      <c r="S200" s="35" t="str">
        <f t="shared" si="48"/>
        <v/>
      </c>
    </row>
    <row r="201" spans="1:19">
      <c r="A201" s="187">
        <v>250</v>
      </c>
      <c r="B201" s="187">
        <v>560</v>
      </c>
      <c r="C201" s="35">
        <v>25</v>
      </c>
      <c r="D201" s="35">
        <v>45</v>
      </c>
      <c r="E201" s="187">
        <v>2.29</v>
      </c>
      <c r="F201" s="187">
        <v>0.15</v>
      </c>
      <c r="G201" s="187">
        <f t="shared" si="41"/>
        <v>0.35525656940155215</v>
      </c>
      <c r="H201" s="35">
        <f t="shared" si="37"/>
        <v>22.089323345553233</v>
      </c>
      <c r="I201" s="35">
        <f t="shared" si="38"/>
        <v>25.35161404628235</v>
      </c>
      <c r="J201" s="35">
        <f t="shared" si="39"/>
        <v>792237.93894632347</v>
      </c>
      <c r="L201" s="35" t="str">
        <f t="shared" si="40"/>
        <v/>
      </c>
      <c r="M201" s="35" t="str">
        <f t="shared" si="42"/>
        <v/>
      </c>
      <c r="N201" s="35" t="str">
        <f t="shared" si="43"/>
        <v/>
      </c>
      <c r="O201" s="35" t="str">
        <f t="shared" si="44"/>
        <v/>
      </c>
      <c r="P201" s="35" t="str">
        <f t="shared" si="45"/>
        <v/>
      </c>
      <c r="Q201" s="35" t="str">
        <f t="shared" si="46"/>
        <v/>
      </c>
      <c r="R201" s="35" t="str">
        <f t="shared" si="47"/>
        <v/>
      </c>
      <c r="S201" s="35" t="str">
        <f t="shared" si="48"/>
        <v/>
      </c>
    </row>
    <row r="202" spans="1:19">
      <c r="A202" s="187">
        <v>250</v>
      </c>
      <c r="B202" s="187">
        <v>560</v>
      </c>
      <c r="C202" s="35">
        <v>30</v>
      </c>
      <c r="D202" s="35">
        <v>40</v>
      </c>
      <c r="E202" s="187">
        <v>2.4</v>
      </c>
      <c r="F202" s="187">
        <v>0.15</v>
      </c>
      <c r="G202" s="187">
        <f t="shared" si="41"/>
        <v>0.35525656940155215</v>
      </c>
      <c r="H202" s="35">
        <f t="shared" si="37"/>
        <v>28.274333882308142</v>
      </c>
      <c r="I202" s="35">
        <f t="shared" si="38"/>
        <v>19.805948473658084</v>
      </c>
      <c r="J202" s="35">
        <f t="shared" si="39"/>
        <v>618935.88980181515</v>
      </c>
      <c r="L202" s="35" t="str">
        <f t="shared" si="40"/>
        <v/>
      </c>
      <c r="M202" s="35" t="str">
        <f t="shared" si="42"/>
        <v/>
      </c>
      <c r="N202" s="35" t="str">
        <f t="shared" si="43"/>
        <v/>
      </c>
      <c r="O202" s="35" t="str">
        <f t="shared" si="44"/>
        <v/>
      </c>
      <c r="P202" s="35" t="str">
        <f t="shared" si="45"/>
        <v/>
      </c>
      <c r="Q202" s="35" t="str">
        <f t="shared" si="46"/>
        <v/>
      </c>
      <c r="R202" s="35" t="str">
        <f t="shared" si="47"/>
        <v/>
      </c>
      <c r="S202" s="35" t="str">
        <f t="shared" si="48"/>
        <v/>
      </c>
    </row>
    <row r="203" spans="1:19">
      <c r="A203" s="187">
        <v>250</v>
      </c>
      <c r="B203" s="187">
        <v>680</v>
      </c>
      <c r="C203" s="35">
        <v>25</v>
      </c>
      <c r="D203" s="35">
        <v>50</v>
      </c>
      <c r="E203" s="187">
        <v>2.68</v>
      </c>
      <c r="F203" s="187">
        <v>0.15</v>
      </c>
      <c r="G203" s="187">
        <f t="shared" si="41"/>
        <v>0.29256423362480766</v>
      </c>
      <c r="H203" s="35">
        <f t="shared" si="37"/>
        <v>24.543692606170257</v>
      </c>
      <c r="I203" s="35">
        <f t="shared" si="38"/>
        <v>27.705692493437144</v>
      </c>
      <c r="J203" s="35">
        <f t="shared" si="39"/>
        <v>865802.89041991078</v>
      </c>
      <c r="L203" s="35" t="str">
        <f t="shared" si="40"/>
        <v/>
      </c>
      <c r="M203" s="35" t="str">
        <f t="shared" si="42"/>
        <v/>
      </c>
      <c r="N203" s="35" t="str">
        <f t="shared" si="43"/>
        <v/>
      </c>
      <c r="O203" s="35" t="str">
        <f t="shared" si="44"/>
        <v/>
      </c>
      <c r="P203" s="35" t="str">
        <f t="shared" si="45"/>
        <v/>
      </c>
      <c r="Q203" s="35" t="str">
        <f t="shared" si="46"/>
        <v/>
      </c>
      <c r="R203" s="35" t="str">
        <f t="shared" si="47"/>
        <v/>
      </c>
      <c r="S203" s="35" t="str">
        <f t="shared" si="48"/>
        <v/>
      </c>
    </row>
    <row r="204" spans="1:19">
      <c r="A204" s="187">
        <v>250</v>
      </c>
      <c r="B204" s="187">
        <v>680</v>
      </c>
      <c r="C204" s="35">
        <v>30</v>
      </c>
      <c r="D204" s="35">
        <v>40</v>
      </c>
      <c r="E204" s="187">
        <v>2.46</v>
      </c>
      <c r="F204" s="187">
        <v>0.15</v>
      </c>
      <c r="G204" s="187">
        <f t="shared" si="41"/>
        <v>0.29256423362480766</v>
      </c>
      <c r="H204" s="35">
        <f t="shared" si="37"/>
        <v>28.274333882308142</v>
      </c>
      <c r="I204" s="35">
        <f t="shared" si="38"/>
        <v>24.050080289441961</v>
      </c>
      <c r="J204" s="35">
        <f t="shared" si="39"/>
        <v>751565.00904506131</v>
      </c>
      <c r="L204" s="35" t="str">
        <f t="shared" si="40"/>
        <v/>
      </c>
      <c r="M204" s="35" t="str">
        <f t="shared" si="42"/>
        <v/>
      </c>
      <c r="N204" s="35" t="str">
        <f t="shared" si="43"/>
        <v/>
      </c>
      <c r="O204" s="35" t="str">
        <f t="shared" si="44"/>
        <v/>
      </c>
      <c r="P204" s="35" t="str">
        <f t="shared" si="45"/>
        <v/>
      </c>
      <c r="Q204" s="35" t="str">
        <f t="shared" si="46"/>
        <v/>
      </c>
      <c r="R204" s="35" t="str">
        <f t="shared" si="47"/>
        <v/>
      </c>
      <c r="S204" s="35" t="str">
        <f t="shared" si="48"/>
        <v/>
      </c>
    </row>
    <row r="205" spans="1:19">
      <c r="A205" s="187">
        <v>250</v>
      </c>
      <c r="B205" s="187">
        <v>820</v>
      </c>
      <c r="C205" s="35">
        <v>30</v>
      </c>
      <c r="D205" s="35">
        <v>45</v>
      </c>
      <c r="E205" s="187">
        <v>3.11</v>
      </c>
      <c r="F205" s="187">
        <v>0.15</v>
      </c>
      <c r="G205" s="187">
        <f t="shared" si="41"/>
        <v>0.24261424251813318</v>
      </c>
      <c r="H205" s="35">
        <f t="shared" si="37"/>
        <v>31.808625617596658</v>
      </c>
      <c r="I205" s="35">
        <f t="shared" si="38"/>
        <v>25.779171029205763</v>
      </c>
      <c r="J205" s="35">
        <f t="shared" si="39"/>
        <v>805599.09466268006</v>
      </c>
      <c r="L205" s="35" t="str">
        <f t="shared" si="40"/>
        <v/>
      </c>
      <c r="M205" s="35" t="str">
        <f t="shared" si="42"/>
        <v/>
      </c>
      <c r="N205" s="35" t="str">
        <f t="shared" si="43"/>
        <v/>
      </c>
      <c r="O205" s="35" t="str">
        <f t="shared" si="44"/>
        <v/>
      </c>
      <c r="P205" s="35" t="str">
        <f t="shared" si="45"/>
        <v/>
      </c>
      <c r="Q205" s="35" t="str">
        <f t="shared" si="46"/>
        <v/>
      </c>
      <c r="R205" s="35" t="str">
        <f t="shared" si="47"/>
        <v/>
      </c>
      <c r="S205" s="35" t="str">
        <f t="shared" si="48"/>
        <v/>
      </c>
    </row>
    <row r="206" spans="1:19">
      <c r="A206" s="187">
        <v>250</v>
      </c>
      <c r="B206" s="187">
        <v>820</v>
      </c>
      <c r="C206" s="35">
        <v>35</v>
      </c>
      <c r="D206" s="35">
        <v>45</v>
      </c>
      <c r="E206" s="187">
        <v>3.1</v>
      </c>
      <c r="F206" s="187">
        <v>0.15</v>
      </c>
      <c r="G206" s="187">
        <f t="shared" si="41"/>
        <v>0.24261424251813318</v>
      </c>
      <c r="H206" s="35">
        <f t="shared" si="37"/>
        <v>43.295073757284335</v>
      </c>
      <c r="I206" s="35">
        <f t="shared" si="38"/>
        <v>18.939799123498112</v>
      </c>
      <c r="J206" s="35">
        <f t="shared" si="39"/>
        <v>591868.722609316</v>
      </c>
      <c r="L206" s="35" t="str">
        <f t="shared" si="40"/>
        <v/>
      </c>
      <c r="M206" s="35" t="str">
        <f t="shared" si="42"/>
        <v/>
      </c>
      <c r="N206" s="35" t="str">
        <f t="shared" si="43"/>
        <v/>
      </c>
      <c r="O206" s="35" t="str">
        <f t="shared" si="44"/>
        <v/>
      </c>
      <c r="P206" s="35" t="str">
        <f t="shared" si="45"/>
        <v/>
      </c>
      <c r="Q206" s="35" t="str">
        <f t="shared" si="46"/>
        <v/>
      </c>
      <c r="R206" s="35" t="str">
        <f t="shared" si="47"/>
        <v/>
      </c>
      <c r="S206" s="35" t="str">
        <f t="shared" si="48"/>
        <v/>
      </c>
    </row>
    <row r="207" spans="1:19">
      <c r="A207" s="187">
        <v>250</v>
      </c>
      <c r="B207" s="186">
        <v>1000</v>
      </c>
      <c r="C207" s="35">
        <v>30</v>
      </c>
      <c r="D207" s="35">
        <v>50</v>
      </c>
      <c r="E207" s="187">
        <v>3.6</v>
      </c>
      <c r="F207" s="187">
        <v>0.15</v>
      </c>
      <c r="G207" s="187">
        <f t="shared" si="41"/>
        <v>0.19894367886486922</v>
      </c>
      <c r="H207" s="35">
        <f t="shared" si="37"/>
        <v>35.342917352885173</v>
      </c>
      <c r="I207" s="35">
        <f t="shared" si="38"/>
        <v>28.294212105225839</v>
      </c>
      <c r="J207" s="35">
        <f t="shared" si="39"/>
        <v>884194.12828830746</v>
      </c>
      <c r="L207" s="35" t="str">
        <f t="shared" si="40"/>
        <v/>
      </c>
      <c r="M207" s="35" t="str">
        <f t="shared" si="42"/>
        <v/>
      </c>
      <c r="N207" s="35" t="str">
        <f t="shared" si="43"/>
        <v/>
      </c>
      <c r="O207" s="35" t="str">
        <f t="shared" si="44"/>
        <v/>
      </c>
      <c r="P207" s="35" t="str">
        <f t="shared" si="45"/>
        <v/>
      </c>
      <c r="Q207" s="35" t="str">
        <f t="shared" si="46"/>
        <v/>
      </c>
      <c r="R207" s="35" t="str">
        <f t="shared" si="47"/>
        <v/>
      </c>
      <c r="S207" s="35" t="str">
        <f t="shared" si="48"/>
        <v/>
      </c>
    </row>
    <row r="208" spans="1:19">
      <c r="A208" s="187">
        <v>250</v>
      </c>
      <c r="B208" s="186">
        <v>1000</v>
      </c>
      <c r="C208" s="35">
        <v>35</v>
      </c>
      <c r="D208" s="35">
        <v>45</v>
      </c>
      <c r="E208" s="187">
        <v>3.4</v>
      </c>
      <c r="F208" s="187">
        <v>0.15</v>
      </c>
      <c r="G208" s="187">
        <f t="shared" si="41"/>
        <v>0.19894367886486922</v>
      </c>
      <c r="H208" s="35">
        <f t="shared" si="37"/>
        <v>43.295073757284335</v>
      </c>
      <c r="I208" s="35">
        <f t="shared" si="38"/>
        <v>23.097316004265991</v>
      </c>
      <c r="J208" s="35">
        <f t="shared" si="39"/>
        <v>721791.12513331219</v>
      </c>
      <c r="L208" s="35" t="str">
        <f t="shared" si="40"/>
        <v/>
      </c>
      <c r="M208" s="35" t="str">
        <f t="shared" si="42"/>
        <v/>
      </c>
      <c r="N208" s="35" t="str">
        <f t="shared" si="43"/>
        <v/>
      </c>
      <c r="O208" s="35" t="str">
        <f t="shared" si="44"/>
        <v/>
      </c>
      <c r="P208" s="35" t="str">
        <f t="shared" si="45"/>
        <v/>
      </c>
      <c r="Q208" s="35" t="str">
        <f t="shared" si="46"/>
        <v/>
      </c>
      <c r="R208" s="35" t="str">
        <f t="shared" si="47"/>
        <v/>
      </c>
      <c r="S208" s="35" t="str">
        <f t="shared" si="48"/>
        <v/>
      </c>
    </row>
    <row r="209" spans="1:19">
      <c r="A209" s="187">
        <v>250</v>
      </c>
      <c r="B209" s="186">
        <v>1200</v>
      </c>
      <c r="C209" s="35">
        <v>35</v>
      </c>
      <c r="D209" s="35">
        <v>46</v>
      </c>
      <c r="E209" s="187">
        <v>4</v>
      </c>
      <c r="F209" s="187">
        <v>0.15</v>
      </c>
      <c r="G209" s="187">
        <f t="shared" si="41"/>
        <v>0.16578639905405765</v>
      </c>
      <c r="H209" s="35">
        <f t="shared" si="37"/>
        <v>44.257186507446214</v>
      </c>
      <c r="I209" s="35">
        <f t="shared" si="38"/>
        <v>27.114240526747029</v>
      </c>
      <c r="J209" s="35">
        <f t="shared" si="39"/>
        <v>847320.01646084466</v>
      </c>
      <c r="L209" s="35" t="str">
        <f t="shared" si="40"/>
        <v/>
      </c>
      <c r="M209" s="35" t="str">
        <f t="shared" si="42"/>
        <v/>
      </c>
      <c r="N209" s="35" t="str">
        <f t="shared" si="43"/>
        <v/>
      </c>
      <c r="O209" s="35" t="str">
        <f t="shared" si="44"/>
        <v/>
      </c>
      <c r="P209" s="35" t="str">
        <f t="shared" si="45"/>
        <v/>
      </c>
      <c r="Q209" s="35" t="str">
        <f t="shared" si="46"/>
        <v/>
      </c>
      <c r="R209" s="35" t="str">
        <f t="shared" si="47"/>
        <v/>
      </c>
      <c r="S209" s="35" t="str">
        <f t="shared" si="48"/>
        <v/>
      </c>
    </row>
    <row r="210" spans="1:19">
      <c r="A210" s="187">
        <v>250</v>
      </c>
      <c r="B210" s="186">
        <v>1500</v>
      </c>
      <c r="C210" s="35">
        <v>35</v>
      </c>
      <c r="D210" s="35">
        <v>62</v>
      </c>
      <c r="E210" s="187">
        <v>5</v>
      </c>
      <c r="F210" s="187">
        <v>0.15</v>
      </c>
      <c r="G210" s="187">
        <f t="shared" si="41"/>
        <v>0.13262911924324614</v>
      </c>
      <c r="H210" s="35">
        <f t="shared" si="37"/>
        <v>59.650990510036195</v>
      </c>
      <c r="I210" s="35">
        <f t="shared" si="38"/>
        <v>25.146271456257331</v>
      </c>
      <c r="J210" s="35">
        <f t="shared" si="39"/>
        <v>785820.98300804163</v>
      </c>
      <c r="L210" s="35" t="str">
        <f t="shared" si="40"/>
        <v/>
      </c>
      <c r="M210" s="35" t="str">
        <f t="shared" si="42"/>
        <v/>
      </c>
      <c r="N210" s="35" t="str">
        <f t="shared" si="43"/>
        <v/>
      </c>
      <c r="O210" s="35" t="str">
        <f t="shared" si="44"/>
        <v/>
      </c>
      <c r="P210" s="35" t="str">
        <f t="shared" si="45"/>
        <v/>
      </c>
      <c r="Q210" s="35" t="str">
        <f t="shared" si="46"/>
        <v/>
      </c>
      <c r="R210" s="35" t="str">
        <f t="shared" si="47"/>
        <v/>
      </c>
      <c r="S210" s="35" t="str">
        <f t="shared" si="48"/>
        <v/>
      </c>
    </row>
    <row r="211" spans="1:19">
      <c r="A211" s="187">
        <v>315</v>
      </c>
      <c r="B211" s="187">
        <v>100</v>
      </c>
      <c r="C211" s="35">
        <v>22</v>
      </c>
      <c r="D211" s="35">
        <v>30</v>
      </c>
      <c r="E211" s="187">
        <v>0.63</v>
      </c>
      <c r="F211" s="187">
        <v>0.2</v>
      </c>
      <c r="G211" s="187">
        <f t="shared" si="41"/>
        <v>2.6525823848649224</v>
      </c>
      <c r="H211" s="35">
        <f t="shared" si="37"/>
        <v>11.403981332530948</v>
      </c>
      <c r="I211" s="35">
        <f t="shared" si="38"/>
        <v>8.7688673879832155</v>
      </c>
      <c r="J211" s="35">
        <f t="shared" si="39"/>
        <v>435045.43328631727</v>
      </c>
      <c r="L211" s="35" t="str">
        <f t="shared" si="40"/>
        <v/>
      </c>
      <c r="M211" s="35" t="str">
        <f t="shared" si="42"/>
        <v/>
      </c>
      <c r="N211" s="35" t="str">
        <f t="shared" si="43"/>
        <v/>
      </c>
      <c r="O211" s="35" t="str">
        <f t="shared" si="44"/>
        <v/>
      </c>
      <c r="P211" s="35" t="str">
        <f t="shared" si="45"/>
        <v/>
      </c>
      <c r="Q211" s="35" t="str">
        <f t="shared" si="46"/>
        <v/>
      </c>
      <c r="R211" s="35" t="str">
        <f t="shared" si="47"/>
        <v/>
      </c>
      <c r="S211" s="35" t="str">
        <f t="shared" si="48"/>
        <v/>
      </c>
    </row>
    <row r="212" spans="1:19">
      <c r="A212" s="187">
        <v>315</v>
      </c>
      <c r="B212" s="187">
        <v>100</v>
      </c>
      <c r="C212" s="35">
        <v>25</v>
      </c>
      <c r="D212" s="35">
        <v>25</v>
      </c>
      <c r="E212" s="187">
        <v>0.57999999999999996</v>
      </c>
      <c r="F212" s="187">
        <v>0.2</v>
      </c>
      <c r="G212" s="187">
        <f t="shared" si="41"/>
        <v>2.6525823848649224</v>
      </c>
      <c r="H212" s="35">
        <f t="shared" si="37"/>
        <v>12.271846303085129</v>
      </c>
      <c r="I212" s="35">
        <f t="shared" si="38"/>
        <v>8.1487330863050413</v>
      </c>
      <c r="J212" s="35">
        <f t="shared" si="39"/>
        <v>404279.02024430886</v>
      </c>
      <c r="L212" s="35">
        <f t="shared" si="40"/>
        <v>101.85916357881301</v>
      </c>
      <c r="M212" s="35">
        <f t="shared" si="42"/>
        <v>4381.0491302013907</v>
      </c>
      <c r="N212" s="35" t="str">
        <f t="shared" si="43"/>
        <v/>
      </c>
      <c r="O212" s="35" t="str">
        <f t="shared" si="44"/>
        <v/>
      </c>
      <c r="P212" s="35" t="str">
        <f t="shared" si="45"/>
        <v/>
      </c>
      <c r="Q212" s="35" t="str">
        <f t="shared" si="46"/>
        <v/>
      </c>
      <c r="R212" s="35" t="str">
        <f t="shared" si="47"/>
        <v/>
      </c>
      <c r="S212" s="35" t="str">
        <f t="shared" si="48"/>
        <v/>
      </c>
    </row>
    <row r="213" spans="1:19">
      <c r="A213" s="187">
        <v>315</v>
      </c>
      <c r="B213" s="187">
        <v>220</v>
      </c>
      <c r="C213" s="35">
        <v>22</v>
      </c>
      <c r="D213" s="35">
        <v>50</v>
      </c>
      <c r="E213" s="187">
        <v>1.38</v>
      </c>
      <c r="F213" s="187">
        <v>0.2</v>
      </c>
      <c r="G213" s="187">
        <f t="shared" si="41"/>
        <v>1.2057192658476923</v>
      </c>
      <c r="H213" s="35">
        <f t="shared" si="37"/>
        <v>19.006635554218249</v>
      </c>
      <c r="I213" s="35">
        <f t="shared" si="38"/>
        <v>11.574904952137842</v>
      </c>
      <c r="J213" s="35">
        <f t="shared" si="39"/>
        <v>574259.97193793871</v>
      </c>
      <c r="L213" s="35" t="str">
        <f t="shared" si="40"/>
        <v/>
      </c>
      <c r="M213" s="35" t="str">
        <f t="shared" si="42"/>
        <v/>
      </c>
      <c r="N213" s="35" t="str">
        <f t="shared" si="43"/>
        <v/>
      </c>
      <c r="O213" s="35" t="str">
        <f t="shared" si="44"/>
        <v/>
      </c>
      <c r="P213" s="35" t="str">
        <f t="shared" si="45"/>
        <v/>
      </c>
      <c r="Q213" s="35" t="str">
        <f t="shared" si="46"/>
        <v/>
      </c>
      <c r="R213" s="35" t="str">
        <f t="shared" si="47"/>
        <v/>
      </c>
      <c r="S213" s="35" t="str">
        <f t="shared" si="48"/>
        <v/>
      </c>
    </row>
    <row r="214" spans="1:19">
      <c r="A214" s="187">
        <v>315</v>
      </c>
      <c r="B214" s="187">
        <v>220</v>
      </c>
      <c r="C214" s="35">
        <v>30</v>
      </c>
      <c r="D214" s="35">
        <v>30</v>
      </c>
      <c r="E214" s="187">
        <v>1.25</v>
      </c>
      <c r="F214" s="187">
        <v>0.2</v>
      </c>
      <c r="G214" s="187">
        <f t="shared" si="41"/>
        <v>1.2057192658476923</v>
      </c>
      <c r="H214" s="35">
        <f t="shared" si="37"/>
        <v>21.205750411731103</v>
      </c>
      <c r="I214" s="35">
        <f t="shared" si="38"/>
        <v>10.374544438582808</v>
      </c>
      <c r="J214" s="35">
        <f t="shared" si="39"/>
        <v>514707.08595918957</v>
      </c>
      <c r="L214" s="35" t="str">
        <f t="shared" si="40"/>
        <v/>
      </c>
      <c r="M214" s="35" t="str">
        <f t="shared" si="42"/>
        <v/>
      </c>
      <c r="N214" s="35" t="str">
        <f t="shared" si="43"/>
        <v/>
      </c>
      <c r="O214" s="35" t="str">
        <f t="shared" si="44"/>
        <v/>
      </c>
      <c r="P214" s="35" t="str">
        <f t="shared" si="45"/>
        <v/>
      </c>
      <c r="Q214" s="35" t="str">
        <f t="shared" si="46"/>
        <v/>
      </c>
      <c r="R214" s="35" t="str">
        <f t="shared" si="47"/>
        <v/>
      </c>
      <c r="S214" s="35" t="str">
        <f t="shared" si="48"/>
        <v/>
      </c>
    </row>
    <row r="215" spans="1:19">
      <c r="A215" s="187">
        <v>315</v>
      </c>
      <c r="B215" s="187">
        <v>330</v>
      </c>
      <c r="C215" s="35">
        <v>25</v>
      </c>
      <c r="D215" s="35">
        <v>50</v>
      </c>
      <c r="E215" s="187">
        <v>2.08</v>
      </c>
      <c r="F215" s="187">
        <v>0.2</v>
      </c>
      <c r="G215" s="187">
        <f t="shared" si="41"/>
        <v>0.80381284389846153</v>
      </c>
      <c r="H215" s="35">
        <f t="shared" si="37"/>
        <v>24.543692606170257</v>
      </c>
      <c r="I215" s="35">
        <f t="shared" si="38"/>
        <v>13.445409592403319</v>
      </c>
      <c r="J215" s="35">
        <f t="shared" si="39"/>
        <v>667060.38340310962</v>
      </c>
      <c r="L215" s="35" t="str">
        <f t="shared" si="40"/>
        <v/>
      </c>
      <c r="M215" s="35" t="str">
        <f t="shared" si="42"/>
        <v/>
      </c>
      <c r="N215" s="35" t="str">
        <f t="shared" si="43"/>
        <v/>
      </c>
      <c r="O215" s="35" t="str">
        <f t="shared" si="44"/>
        <v/>
      </c>
      <c r="P215" s="35" t="str">
        <f t="shared" si="45"/>
        <v/>
      </c>
      <c r="Q215" s="35" t="str">
        <f t="shared" si="46"/>
        <v/>
      </c>
      <c r="R215" s="35" t="str">
        <f t="shared" si="47"/>
        <v/>
      </c>
      <c r="S215" s="35" t="str">
        <f t="shared" si="48"/>
        <v/>
      </c>
    </row>
    <row r="216" spans="1:19">
      <c r="A216" s="187">
        <v>315</v>
      </c>
      <c r="B216" s="187">
        <v>330</v>
      </c>
      <c r="C216" s="35">
        <v>35</v>
      </c>
      <c r="D216" s="35">
        <v>30</v>
      </c>
      <c r="E216" s="187">
        <v>1.85</v>
      </c>
      <c r="F216" s="187">
        <v>0.2</v>
      </c>
      <c r="G216" s="187">
        <f t="shared" si="41"/>
        <v>0.80381284389846153</v>
      </c>
      <c r="H216" s="35">
        <f t="shared" si="37"/>
        <v>28.863382504856222</v>
      </c>
      <c r="I216" s="35">
        <f t="shared" si="38"/>
        <v>11.433171422111666</v>
      </c>
      <c r="J216" s="35">
        <f t="shared" si="39"/>
        <v>567228.21717951505</v>
      </c>
      <c r="L216" s="35" t="str">
        <f t="shared" si="40"/>
        <v/>
      </c>
      <c r="M216" s="35" t="str">
        <f t="shared" si="42"/>
        <v/>
      </c>
      <c r="N216" s="35" t="str">
        <f t="shared" si="43"/>
        <v/>
      </c>
      <c r="O216" s="35" t="str">
        <f t="shared" si="44"/>
        <v/>
      </c>
      <c r="P216" s="35" t="str">
        <f t="shared" si="45"/>
        <v/>
      </c>
      <c r="Q216" s="35" t="str">
        <f t="shared" si="46"/>
        <v/>
      </c>
      <c r="R216" s="35" t="str">
        <f t="shared" si="47"/>
        <v/>
      </c>
      <c r="S216" s="35" t="str">
        <f t="shared" si="48"/>
        <v/>
      </c>
    </row>
    <row r="217" spans="1:19">
      <c r="A217" s="187">
        <v>315</v>
      </c>
      <c r="B217" s="187">
        <v>470</v>
      </c>
      <c r="C217" s="35">
        <v>30</v>
      </c>
      <c r="D217" s="35">
        <v>50</v>
      </c>
      <c r="E217" s="187">
        <v>2.96</v>
      </c>
      <c r="F217" s="187">
        <v>0.2</v>
      </c>
      <c r="G217" s="187">
        <f t="shared" si="41"/>
        <v>0.564379230822324</v>
      </c>
      <c r="H217" s="35">
        <f t="shared" si="37"/>
        <v>35.342917352885173</v>
      </c>
      <c r="I217" s="35">
        <f t="shared" si="38"/>
        <v>13.298279689456145</v>
      </c>
      <c r="J217" s="35">
        <f t="shared" si="39"/>
        <v>659760.90109314292</v>
      </c>
      <c r="L217" s="35" t="str">
        <f t="shared" si="40"/>
        <v/>
      </c>
      <c r="M217" s="35" t="str">
        <f t="shared" si="42"/>
        <v/>
      </c>
      <c r="N217" s="35" t="str">
        <f t="shared" si="43"/>
        <v/>
      </c>
      <c r="O217" s="35" t="str">
        <f t="shared" si="44"/>
        <v/>
      </c>
      <c r="P217" s="35" t="str">
        <f t="shared" si="45"/>
        <v/>
      </c>
      <c r="Q217" s="35" t="str">
        <f t="shared" si="46"/>
        <v/>
      </c>
      <c r="R217" s="35" t="str">
        <f t="shared" si="47"/>
        <v/>
      </c>
      <c r="S217" s="35" t="str">
        <f t="shared" si="48"/>
        <v/>
      </c>
    </row>
    <row r="218" spans="1:19">
      <c r="A218" s="187">
        <v>350</v>
      </c>
      <c r="B218" s="187">
        <v>68</v>
      </c>
      <c r="C218" s="35">
        <v>22</v>
      </c>
      <c r="D218" s="35">
        <v>25</v>
      </c>
      <c r="E218" s="187">
        <v>0.53</v>
      </c>
      <c r="F218" s="187">
        <v>0.2</v>
      </c>
      <c r="G218" s="187">
        <f t="shared" si="41"/>
        <v>3.9008564483307691</v>
      </c>
      <c r="H218" s="35">
        <f t="shared" si="37"/>
        <v>9.5033177771091246</v>
      </c>
      <c r="I218" s="35">
        <f t="shared" si="38"/>
        <v>7.1553957885943023</v>
      </c>
      <c r="J218" s="35">
        <f t="shared" si="39"/>
        <v>438267.992051401</v>
      </c>
      <c r="L218" s="35">
        <f t="shared" si="40"/>
        <v>89.442447357428776</v>
      </c>
      <c r="M218" s="35">
        <f t="shared" si="42"/>
        <v>4989.2418329822904</v>
      </c>
      <c r="N218" s="35" t="str">
        <f t="shared" si="43"/>
        <v/>
      </c>
      <c r="O218" s="35" t="str">
        <f t="shared" si="44"/>
        <v/>
      </c>
      <c r="P218" s="35" t="str">
        <f t="shared" si="45"/>
        <v/>
      </c>
      <c r="Q218" s="35" t="str">
        <f t="shared" si="46"/>
        <v/>
      </c>
      <c r="R218" s="35" t="str">
        <f t="shared" si="47"/>
        <v/>
      </c>
      <c r="S218" s="35" t="str">
        <f t="shared" si="48"/>
        <v/>
      </c>
    </row>
    <row r="219" spans="1:19">
      <c r="A219" s="187">
        <v>350</v>
      </c>
      <c r="B219" s="187">
        <v>82</v>
      </c>
      <c r="C219" s="35">
        <v>22</v>
      </c>
      <c r="D219" s="35">
        <v>25</v>
      </c>
      <c r="E219" s="187">
        <v>0.59</v>
      </c>
      <c r="F219" s="187">
        <v>0.2</v>
      </c>
      <c r="G219" s="187">
        <f t="shared" si="41"/>
        <v>3.2348565669084421</v>
      </c>
      <c r="H219" s="35">
        <f t="shared" si="37"/>
        <v>9.5033177771091246</v>
      </c>
      <c r="I219" s="35">
        <f t="shared" si="38"/>
        <v>8.6285655097754823</v>
      </c>
      <c r="J219" s="35">
        <f t="shared" si="39"/>
        <v>528499.6374737483</v>
      </c>
      <c r="L219" s="35">
        <f t="shared" si="40"/>
        <v>107.85706887219352</v>
      </c>
      <c r="M219" s="35">
        <f t="shared" si="42"/>
        <v>4133.9432330424688</v>
      </c>
      <c r="N219" s="35" t="str">
        <f t="shared" si="43"/>
        <v/>
      </c>
      <c r="O219" s="35" t="str">
        <f t="shared" si="44"/>
        <v/>
      </c>
      <c r="P219" s="35" t="str">
        <f t="shared" si="45"/>
        <v/>
      </c>
      <c r="Q219" s="35" t="str">
        <f t="shared" si="46"/>
        <v/>
      </c>
      <c r="R219" s="35" t="str">
        <f t="shared" si="47"/>
        <v/>
      </c>
      <c r="S219" s="35" t="str">
        <f t="shared" si="48"/>
        <v/>
      </c>
    </row>
    <row r="220" spans="1:19">
      <c r="A220" s="187">
        <v>350</v>
      </c>
      <c r="B220" s="187">
        <v>100</v>
      </c>
      <c r="C220" s="35">
        <v>22</v>
      </c>
      <c r="D220" s="35">
        <v>30</v>
      </c>
      <c r="E220" s="187">
        <v>0.66</v>
      </c>
      <c r="F220" s="187">
        <v>0.2</v>
      </c>
      <c r="G220" s="187">
        <f t="shared" si="41"/>
        <v>2.6525823848649224</v>
      </c>
      <c r="H220" s="35">
        <f t="shared" ref="H220:H266" si="49">0.001*D220*PI()*(C220/2)^2</f>
        <v>11.403981332530948</v>
      </c>
      <c r="I220" s="35">
        <f t="shared" ref="I220:I266" si="50">B220/H220</f>
        <v>8.7688673879832155</v>
      </c>
      <c r="J220" s="35">
        <f t="shared" ref="J220:J266" si="51">0.5*I220*A220^2</f>
        <v>537093.12751397199</v>
      </c>
      <c r="L220" s="35" t="str">
        <f t="shared" ref="L220:L266" si="52">IF(AND($W$9&lt;A220,D220&lt;=$W$14),0.5*I220*$W$7,"")</f>
        <v/>
      </c>
      <c r="M220" s="35" t="str">
        <f t="shared" si="42"/>
        <v/>
      </c>
      <c r="N220" s="35" t="str">
        <f t="shared" si="43"/>
        <v/>
      </c>
      <c r="O220" s="35" t="str">
        <f t="shared" si="44"/>
        <v/>
      </c>
      <c r="P220" s="35" t="str">
        <f t="shared" si="45"/>
        <v/>
      </c>
      <c r="Q220" s="35" t="str">
        <f t="shared" si="46"/>
        <v/>
      </c>
      <c r="R220" s="35" t="str">
        <f t="shared" si="47"/>
        <v/>
      </c>
      <c r="S220" s="35" t="str">
        <f t="shared" si="48"/>
        <v/>
      </c>
    </row>
    <row r="221" spans="1:19">
      <c r="A221" s="187">
        <v>350</v>
      </c>
      <c r="B221" s="187">
        <v>100</v>
      </c>
      <c r="C221" s="35">
        <v>25</v>
      </c>
      <c r="D221" s="35">
        <v>25</v>
      </c>
      <c r="E221" s="187">
        <v>0.63</v>
      </c>
      <c r="F221" s="187">
        <v>0.2</v>
      </c>
      <c r="G221" s="187">
        <f t="shared" ref="G221:G266" si="53">F221/(2*PI()*120*B221*10^-6)</f>
        <v>2.6525823848649224</v>
      </c>
      <c r="H221" s="35">
        <f t="shared" si="49"/>
        <v>12.271846303085129</v>
      </c>
      <c r="I221" s="35">
        <f t="shared" si="50"/>
        <v>8.1487330863050413</v>
      </c>
      <c r="J221" s="35">
        <f t="shared" si="51"/>
        <v>499109.90153618378</v>
      </c>
      <c r="L221" s="35">
        <f t="shared" si="52"/>
        <v>101.85916357881301</v>
      </c>
      <c r="M221" s="35">
        <f t="shared" si="42"/>
        <v>4381.0491302013907</v>
      </c>
      <c r="N221" s="35" t="str">
        <f t="shared" si="43"/>
        <v/>
      </c>
      <c r="O221" s="35" t="str">
        <f t="shared" si="44"/>
        <v/>
      </c>
      <c r="P221" s="35" t="str">
        <f t="shared" si="45"/>
        <v/>
      </c>
      <c r="Q221" s="35" t="str">
        <f t="shared" si="46"/>
        <v/>
      </c>
      <c r="R221" s="35" t="str">
        <f t="shared" si="47"/>
        <v/>
      </c>
      <c r="S221" s="35" t="str">
        <f t="shared" si="48"/>
        <v/>
      </c>
    </row>
    <row r="222" spans="1:19">
      <c r="A222" s="187">
        <v>350</v>
      </c>
      <c r="B222" s="187">
        <v>120</v>
      </c>
      <c r="C222" s="35">
        <v>22</v>
      </c>
      <c r="D222" s="35">
        <v>31</v>
      </c>
      <c r="E222" s="187">
        <v>0.7</v>
      </c>
      <c r="F222" s="187">
        <v>0.2</v>
      </c>
      <c r="G222" s="187">
        <f t="shared" si="53"/>
        <v>2.2104853207207689</v>
      </c>
      <c r="H222" s="35">
        <f t="shared" si="49"/>
        <v>11.784114043615313</v>
      </c>
      <c r="I222" s="35">
        <f t="shared" si="50"/>
        <v>10.183200837657928</v>
      </c>
      <c r="J222" s="35">
        <f t="shared" si="51"/>
        <v>623721.05130654806</v>
      </c>
      <c r="L222" s="35" t="str">
        <f t="shared" si="52"/>
        <v/>
      </c>
      <c r="M222" s="35" t="str">
        <f t="shared" si="42"/>
        <v/>
      </c>
      <c r="N222" s="35" t="str">
        <f t="shared" si="43"/>
        <v/>
      </c>
      <c r="O222" s="35" t="str">
        <f t="shared" si="44"/>
        <v/>
      </c>
      <c r="P222" s="35" t="str">
        <f t="shared" si="45"/>
        <v/>
      </c>
      <c r="Q222" s="35" t="str">
        <f t="shared" si="46"/>
        <v/>
      </c>
      <c r="R222" s="35" t="str">
        <f t="shared" si="47"/>
        <v/>
      </c>
      <c r="S222" s="35" t="str">
        <f t="shared" si="48"/>
        <v/>
      </c>
    </row>
    <row r="223" spans="1:19">
      <c r="A223" s="187">
        <v>350</v>
      </c>
      <c r="B223" s="187">
        <v>120</v>
      </c>
      <c r="C223" s="35">
        <v>25</v>
      </c>
      <c r="D223" s="35">
        <v>26</v>
      </c>
      <c r="E223" s="187">
        <v>0.68</v>
      </c>
      <c r="F223" s="187">
        <v>0.2</v>
      </c>
      <c r="G223" s="187">
        <f t="shared" si="53"/>
        <v>2.2104853207207689</v>
      </c>
      <c r="H223" s="35">
        <f t="shared" si="49"/>
        <v>12.762720155208536</v>
      </c>
      <c r="I223" s="35">
        <f t="shared" si="50"/>
        <v>9.4023843303519694</v>
      </c>
      <c r="J223" s="35">
        <f t="shared" si="51"/>
        <v>575896.04023405816</v>
      </c>
      <c r="L223" s="35" t="str">
        <f t="shared" si="52"/>
        <v/>
      </c>
      <c r="M223" s="35" t="str">
        <f t="shared" si="42"/>
        <v/>
      </c>
      <c r="N223" s="35" t="str">
        <f t="shared" si="43"/>
        <v/>
      </c>
      <c r="O223" s="35" t="str">
        <f t="shared" si="44"/>
        <v/>
      </c>
      <c r="P223" s="35" t="str">
        <f t="shared" si="45"/>
        <v/>
      </c>
      <c r="Q223" s="35" t="str">
        <f t="shared" si="46"/>
        <v/>
      </c>
      <c r="R223" s="35" t="str">
        <f t="shared" si="47"/>
        <v/>
      </c>
      <c r="S223" s="35" t="str">
        <f t="shared" si="48"/>
        <v/>
      </c>
    </row>
    <row r="224" spans="1:19">
      <c r="A224" s="187">
        <v>350</v>
      </c>
      <c r="B224" s="187">
        <v>150</v>
      </c>
      <c r="C224" s="35">
        <v>22</v>
      </c>
      <c r="D224" s="35">
        <v>35</v>
      </c>
      <c r="E224" s="187">
        <v>0.86</v>
      </c>
      <c r="F224" s="187">
        <v>0.2</v>
      </c>
      <c r="G224" s="187">
        <f t="shared" si="53"/>
        <v>1.7683882565766151</v>
      </c>
      <c r="H224" s="35">
        <f t="shared" si="49"/>
        <v>13.304644887952776</v>
      </c>
      <c r="I224" s="35">
        <f t="shared" si="50"/>
        <v>11.274258070264132</v>
      </c>
      <c r="J224" s="35">
        <f t="shared" si="51"/>
        <v>690548.30680367805</v>
      </c>
      <c r="L224" s="35" t="str">
        <f t="shared" si="52"/>
        <v/>
      </c>
      <c r="M224" s="35" t="str">
        <f t="shared" si="42"/>
        <v/>
      </c>
      <c r="N224" s="35" t="str">
        <f t="shared" si="43"/>
        <v/>
      </c>
      <c r="O224" s="35" t="str">
        <f t="shared" si="44"/>
        <v/>
      </c>
      <c r="P224" s="35" t="str">
        <f t="shared" si="45"/>
        <v/>
      </c>
      <c r="Q224" s="35" t="str">
        <f t="shared" si="46"/>
        <v/>
      </c>
      <c r="R224" s="35" t="str">
        <f t="shared" si="47"/>
        <v/>
      </c>
      <c r="S224" s="35" t="str">
        <f t="shared" si="48"/>
        <v/>
      </c>
    </row>
    <row r="225" spans="1:19">
      <c r="A225" s="187">
        <v>350</v>
      </c>
      <c r="B225" s="187">
        <v>150</v>
      </c>
      <c r="C225" s="35">
        <v>25</v>
      </c>
      <c r="D225" s="35">
        <v>31</v>
      </c>
      <c r="E225" s="187">
        <v>0.82</v>
      </c>
      <c r="F225" s="187">
        <v>0.2</v>
      </c>
      <c r="G225" s="187">
        <f t="shared" si="53"/>
        <v>1.7683882565766151</v>
      </c>
      <c r="H225" s="35">
        <f t="shared" si="49"/>
        <v>15.217089415825559</v>
      </c>
      <c r="I225" s="35">
        <f t="shared" si="50"/>
        <v>9.8573384108528739</v>
      </c>
      <c r="J225" s="35">
        <f t="shared" si="51"/>
        <v>603761.97766473854</v>
      </c>
      <c r="L225" s="35" t="str">
        <f t="shared" si="52"/>
        <v/>
      </c>
      <c r="M225" s="35" t="str">
        <f t="shared" si="42"/>
        <v/>
      </c>
      <c r="N225" s="35" t="str">
        <f t="shared" si="43"/>
        <v/>
      </c>
      <c r="O225" s="35" t="str">
        <f t="shared" si="44"/>
        <v/>
      </c>
      <c r="P225" s="35" t="str">
        <f t="shared" si="45"/>
        <v/>
      </c>
      <c r="Q225" s="35" t="str">
        <f t="shared" si="46"/>
        <v/>
      </c>
      <c r="R225" s="35" t="str">
        <f t="shared" si="47"/>
        <v/>
      </c>
      <c r="S225" s="35" t="str">
        <f t="shared" si="48"/>
        <v/>
      </c>
    </row>
    <row r="226" spans="1:19">
      <c r="A226" s="187">
        <v>350</v>
      </c>
      <c r="B226" s="187">
        <v>180</v>
      </c>
      <c r="C226" s="35">
        <v>22</v>
      </c>
      <c r="D226" s="35">
        <v>41</v>
      </c>
      <c r="E226" s="187">
        <v>0.9</v>
      </c>
      <c r="F226" s="187">
        <v>0.2</v>
      </c>
      <c r="G226" s="187">
        <f t="shared" si="53"/>
        <v>1.4736568804805128</v>
      </c>
      <c r="H226" s="35">
        <f t="shared" si="49"/>
        <v>15.585441154458964</v>
      </c>
      <c r="I226" s="35">
        <f t="shared" si="50"/>
        <v>11.549239974416917</v>
      </c>
      <c r="J226" s="35">
        <f t="shared" si="51"/>
        <v>707390.94843303622</v>
      </c>
      <c r="L226" s="35" t="str">
        <f t="shared" si="52"/>
        <v/>
      </c>
      <c r="M226" s="35" t="str">
        <f t="shared" si="42"/>
        <v/>
      </c>
      <c r="N226" s="35" t="str">
        <f t="shared" si="43"/>
        <v/>
      </c>
      <c r="O226" s="35" t="str">
        <f t="shared" si="44"/>
        <v/>
      </c>
      <c r="P226" s="35" t="str">
        <f t="shared" si="45"/>
        <v/>
      </c>
      <c r="Q226" s="35" t="str">
        <f t="shared" si="46"/>
        <v/>
      </c>
      <c r="R226" s="35" t="str">
        <f t="shared" si="47"/>
        <v/>
      </c>
      <c r="S226" s="35" t="str">
        <f t="shared" si="48"/>
        <v/>
      </c>
    </row>
    <row r="227" spans="1:19">
      <c r="A227" s="187">
        <v>350</v>
      </c>
      <c r="B227" s="187">
        <v>180</v>
      </c>
      <c r="C227" s="35">
        <v>25</v>
      </c>
      <c r="D227" s="35">
        <v>36</v>
      </c>
      <c r="E227" s="187">
        <v>0.85</v>
      </c>
      <c r="F227" s="187">
        <v>0.2</v>
      </c>
      <c r="G227" s="187">
        <f t="shared" si="53"/>
        <v>1.4736568804805128</v>
      </c>
      <c r="H227" s="35">
        <f t="shared" si="49"/>
        <v>17.67145867644259</v>
      </c>
      <c r="I227" s="35">
        <f t="shared" si="50"/>
        <v>10.1859163578813</v>
      </c>
      <c r="J227" s="35">
        <f t="shared" si="51"/>
        <v>623887.37692022964</v>
      </c>
      <c r="L227" s="35" t="str">
        <f t="shared" si="52"/>
        <v/>
      </c>
      <c r="M227" s="35" t="str">
        <f t="shared" si="42"/>
        <v/>
      </c>
      <c r="N227" s="35" t="str">
        <f t="shared" si="43"/>
        <v/>
      </c>
      <c r="O227" s="35" t="str">
        <f t="shared" si="44"/>
        <v/>
      </c>
      <c r="P227" s="35" t="str">
        <f t="shared" si="45"/>
        <v/>
      </c>
      <c r="Q227" s="35" t="str">
        <f t="shared" si="46"/>
        <v/>
      </c>
      <c r="R227" s="35" t="str">
        <f t="shared" si="47"/>
        <v/>
      </c>
      <c r="S227" s="35" t="str">
        <f t="shared" si="48"/>
        <v/>
      </c>
    </row>
    <row r="228" spans="1:19">
      <c r="A228" s="187">
        <v>350</v>
      </c>
      <c r="B228" s="187">
        <v>220</v>
      </c>
      <c r="C228" s="35">
        <v>22</v>
      </c>
      <c r="D228" s="35">
        <v>45</v>
      </c>
      <c r="E228" s="187">
        <v>1.17</v>
      </c>
      <c r="F228" s="187">
        <v>0.2</v>
      </c>
      <c r="G228" s="187">
        <f t="shared" si="53"/>
        <v>1.2057192658476923</v>
      </c>
      <c r="H228" s="35">
        <f t="shared" si="49"/>
        <v>17.105971998796424</v>
      </c>
      <c r="I228" s="35">
        <f t="shared" si="50"/>
        <v>12.861005502375381</v>
      </c>
      <c r="J228" s="35">
        <f t="shared" si="51"/>
        <v>787736.58702049206</v>
      </c>
      <c r="L228" s="35" t="str">
        <f t="shared" si="52"/>
        <v/>
      </c>
      <c r="M228" s="35" t="str">
        <f t="shared" si="42"/>
        <v/>
      </c>
      <c r="N228" s="35" t="str">
        <f t="shared" si="43"/>
        <v/>
      </c>
      <c r="O228" s="35" t="str">
        <f t="shared" si="44"/>
        <v/>
      </c>
      <c r="P228" s="35" t="str">
        <f t="shared" si="45"/>
        <v/>
      </c>
      <c r="Q228" s="35" t="str">
        <f t="shared" si="46"/>
        <v/>
      </c>
      <c r="R228" s="35" t="str">
        <f t="shared" si="47"/>
        <v/>
      </c>
      <c r="S228" s="35" t="str">
        <f t="shared" si="48"/>
        <v/>
      </c>
    </row>
    <row r="229" spans="1:19">
      <c r="A229" s="187">
        <v>350</v>
      </c>
      <c r="B229" s="187">
        <v>220</v>
      </c>
      <c r="C229" s="35">
        <v>25</v>
      </c>
      <c r="D229" s="35">
        <v>41</v>
      </c>
      <c r="E229" s="187">
        <v>1.06</v>
      </c>
      <c r="F229" s="187">
        <v>0.2</v>
      </c>
      <c r="G229" s="187">
        <f t="shared" si="53"/>
        <v>1.2057192658476923</v>
      </c>
      <c r="H229" s="35">
        <f t="shared" si="49"/>
        <v>20.125827937059615</v>
      </c>
      <c r="I229" s="35">
        <f t="shared" si="50"/>
        <v>10.931227310897006</v>
      </c>
      <c r="J229" s="35">
        <f t="shared" si="51"/>
        <v>669537.67279244156</v>
      </c>
      <c r="L229" s="35" t="str">
        <f t="shared" si="52"/>
        <v/>
      </c>
      <c r="M229" s="35" t="str">
        <f t="shared" si="42"/>
        <v/>
      </c>
      <c r="N229" s="35" t="str">
        <f t="shared" si="43"/>
        <v/>
      </c>
      <c r="O229" s="35" t="str">
        <f t="shared" si="44"/>
        <v/>
      </c>
      <c r="P229" s="35" t="str">
        <f t="shared" si="45"/>
        <v/>
      </c>
      <c r="Q229" s="35" t="str">
        <f t="shared" si="46"/>
        <v/>
      </c>
      <c r="R229" s="35" t="str">
        <f t="shared" si="47"/>
        <v/>
      </c>
      <c r="S229" s="35" t="str">
        <f t="shared" si="48"/>
        <v/>
      </c>
    </row>
    <row r="230" spans="1:19">
      <c r="A230" s="187">
        <v>350</v>
      </c>
      <c r="B230" s="187">
        <v>270</v>
      </c>
      <c r="C230" s="35">
        <v>25</v>
      </c>
      <c r="D230" s="35">
        <v>46</v>
      </c>
      <c r="E230" s="187">
        <v>1.6</v>
      </c>
      <c r="F230" s="187">
        <v>0.2</v>
      </c>
      <c r="G230" s="187">
        <f t="shared" si="53"/>
        <v>0.98243792032034172</v>
      </c>
      <c r="H230" s="35">
        <f t="shared" si="49"/>
        <v>22.58019719767664</v>
      </c>
      <c r="I230" s="35">
        <f t="shared" si="50"/>
        <v>11.957380072295441</v>
      </c>
      <c r="J230" s="35">
        <f t="shared" si="51"/>
        <v>732389.52942809579</v>
      </c>
      <c r="L230" s="35" t="str">
        <f t="shared" si="52"/>
        <v/>
      </c>
      <c r="M230" s="35" t="str">
        <f t="shared" si="42"/>
        <v/>
      </c>
      <c r="N230" s="35" t="str">
        <f t="shared" si="43"/>
        <v/>
      </c>
      <c r="O230" s="35" t="str">
        <f t="shared" si="44"/>
        <v/>
      </c>
      <c r="P230" s="35" t="str">
        <f t="shared" si="45"/>
        <v/>
      </c>
      <c r="Q230" s="35" t="str">
        <f t="shared" si="46"/>
        <v/>
      </c>
      <c r="R230" s="35" t="str">
        <f t="shared" si="47"/>
        <v/>
      </c>
      <c r="S230" s="35" t="str">
        <f t="shared" si="48"/>
        <v/>
      </c>
    </row>
    <row r="231" spans="1:19">
      <c r="A231" s="187">
        <v>350</v>
      </c>
      <c r="B231" s="187">
        <v>270</v>
      </c>
      <c r="C231" s="35">
        <v>30</v>
      </c>
      <c r="D231" s="35">
        <v>36</v>
      </c>
      <c r="E231" s="187">
        <v>1.4</v>
      </c>
      <c r="F231" s="187">
        <v>0.2</v>
      </c>
      <c r="G231" s="187">
        <f t="shared" si="53"/>
        <v>0.98243792032034172</v>
      </c>
      <c r="H231" s="35">
        <f t="shared" si="49"/>
        <v>25.446900494077326</v>
      </c>
      <c r="I231" s="35">
        <f t="shared" si="50"/>
        <v>10.610329539459689</v>
      </c>
      <c r="J231" s="35">
        <f t="shared" si="51"/>
        <v>649882.68429190596</v>
      </c>
      <c r="L231" s="35" t="str">
        <f t="shared" si="52"/>
        <v/>
      </c>
      <c r="M231" s="35" t="str">
        <f t="shared" si="42"/>
        <v/>
      </c>
      <c r="N231" s="35" t="str">
        <f t="shared" si="43"/>
        <v/>
      </c>
      <c r="O231" s="35" t="str">
        <f t="shared" si="44"/>
        <v/>
      </c>
      <c r="P231" s="35" t="str">
        <f t="shared" si="45"/>
        <v/>
      </c>
      <c r="Q231" s="35" t="str">
        <f t="shared" si="46"/>
        <v/>
      </c>
      <c r="R231" s="35" t="str">
        <f t="shared" si="47"/>
        <v/>
      </c>
      <c r="S231" s="35" t="str">
        <f t="shared" si="48"/>
        <v/>
      </c>
    </row>
    <row r="232" spans="1:19">
      <c r="A232" s="187">
        <v>350</v>
      </c>
      <c r="B232" s="187">
        <v>330</v>
      </c>
      <c r="C232" s="35">
        <v>25</v>
      </c>
      <c r="D232" s="35">
        <v>50</v>
      </c>
      <c r="E232" s="187">
        <v>1.6</v>
      </c>
      <c r="F232" s="187">
        <v>0.2</v>
      </c>
      <c r="G232" s="187">
        <f t="shared" si="53"/>
        <v>0.80381284389846153</v>
      </c>
      <c r="H232" s="35">
        <f t="shared" si="49"/>
        <v>24.543692606170257</v>
      </c>
      <c r="I232" s="35">
        <f t="shared" si="50"/>
        <v>13.445409592403319</v>
      </c>
      <c r="J232" s="35">
        <f t="shared" si="51"/>
        <v>823531.33753470331</v>
      </c>
      <c r="L232" s="35" t="str">
        <f t="shared" si="52"/>
        <v/>
      </c>
      <c r="M232" s="35" t="str">
        <f t="shared" si="42"/>
        <v/>
      </c>
      <c r="N232" s="35" t="str">
        <f t="shared" si="43"/>
        <v/>
      </c>
      <c r="O232" s="35" t="str">
        <f t="shared" si="44"/>
        <v/>
      </c>
      <c r="P232" s="35" t="str">
        <f t="shared" si="45"/>
        <v/>
      </c>
      <c r="Q232" s="35" t="str">
        <f t="shared" si="46"/>
        <v/>
      </c>
      <c r="R232" s="35" t="str">
        <f t="shared" si="47"/>
        <v/>
      </c>
      <c r="S232" s="35" t="str">
        <f t="shared" si="48"/>
        <v/>
      </c>
    </row>
    <row r="233" spans="1:19">
      <c r="A233" s="187">
        <v>350</v>
      </c>
      <c r="B233" s="187">
        <v>330</v>
      </c>
      <c r="C233" s="35">
        <v>30</v>
      </c>
      <c r="D233" s="35">
        <v>41</v>
      </c>
      <c r="E233" s="187">
        <v>1.53</v>
      </c>
      <c r="F233" s="187">
        <v>0.2</v>
      </c>
      <c r="G233" s="187">
        <f t="shared" si="53"/>
        <v>0.80381284389846153</v>
      </c>
      <c r="H233" s="35">
        <f t="shared" si="49"/>
        <v>28.981192229365845</v>
      </c>
      <c r="I233" s="35">
        <f t="shared" si="50"/>
        <v>11.386695115517714</v>
      </c>
      <c r="J233" s="35">
        <f t="shared" si="51"/>
        <v>697435.07582546002</v>
      </c>
      <c r="L233" s="35" t="str">
        <f t="shared" si="52"/>
        <v/>
      </c>
      <c r="M233" s="35" t="str">
        <f t="shared" si="42"/>
        <v/>
      </c>
      <c r="N233" s="35" t="str">
        <f t="shared" si="43"/>
        <v/>
      </c>
      <c r="O233" s="35" t="str">
        <f t="shared" si="44"/>
        <v/>
      </c>
      <c r="P233" s="35" t="str">
        <f t="shared" si="45"/>
        <v/>
      </c>
      <c r="Q233" s="35" t="str">
        <f t="shared" si="46"/>
        <v/>
      </c>
      <c r="R233" s="35" t="str">
        <f t="shared" si="47"/>
        <v/>
      </c>
      <c r="S233" s="35" t="str">
        <f t="shared" si="48"/>
        <v/>
      </c>
    </row>
    <row r="234" spans="1:19">
      <c r="A234" s="187">
        <v>350</v>
      </c>
      <c r="B234" s="187">
        <v>390</v>
      </c>
      <c r="C234" s="35">
        <v>25</v>
      </c>
      <c r="D234" s="35">
        <v>50</v>
      </c>
      <c r="E234" s="187">
        <v>2</v>
      </c>
      <c r="F234" s="187">
        <v>0.2</v>
      </c>
      <c r="G234" s="187">
        <f t="shared" si="53"/>
        <v>0.68014932945254436</v>
      </c>
      <c r="H234" s="35">
        <f t="shared" si="49"/>
        <v>24.543692606170257</v>
      </c>
      <c r="I234" s="35">
        <f t="shared" si="50"/>
        <v>15.890029518294831</v>
      </c>
      <c r="J234" s="35">
        <f t="shared" si="51"/>
        <v>973264.30799555837</v>
      </c>
      <c r="L234" s="35" t="str">
        <f t="shared" si="52"/>
        <v/>
      </c>
      <c r="M234" s="35" t="str">
        <f t="shared" si="42"/>
        <v/>
      </c>
      <c r="N234" s="35" t="str">
        <f t="shared" si="43"/>
        <v/>
      </c>
      <c r="O234" s="35" t="str">
        <f t="shared" si="44"/>
        <v/>
      </c>
      <c r="P234" s="35" t="str">
        <f t="shared" si="45"/>
        <v/>
      </c>
      <c r="Q234" s="35" t="str">
        <f t="shared" si="46"/>
        <v/>
      </c>
      <c r="R234" s="35" t="str">
        <f t="shared" si="47"/>
        <v/>
      </c>
      <c r="S234" s="35" t="str">
        <f t="shared" si="48"/>
        <v/>
      </c>
    </row>
    <row r="235" spans="1:19">
      <c r="A235" s="187">
        <v>350</v>
      </c>
      <c r="B235" s="187">
        <v>390</v>
      </c>
      <c r="C235" s="35">
        <v>30</v>
      </c>
      <c r="D235" s="35">
        <v>46</v>
      </c>
      <c r="E235" s="187">
        <v>1.85</v>
      </c>
      <c r="F235" s="187">
        <v>0.2</v>
      </c>
      <c r="G235" s="187">
        <f t="shared" si="53"/>
        <v>0.68014932945254436</v>
      </c>
      <c r="H235" s="35">
        <f t="shared" si="49"/>
        <v>32.515483964654358</v>
      </c>
      <c r="I235" s="35">
        <f t="shared" si="50"/>
        <v>11.994285566345736</v>
      </c>
      <c r="J235" s="35">
        <f t="shared" si="51"/>
        <v>734649.99093867629</v>
      </c>
      <c r="L235" s="35" t="str">
        <f t="shared" si="52"/>
        <v/>
      </c>
      <c r="M235" s="35" t="str">
        <f t="shared" si="42"/>
        <v/>
      </c>
      <c r="N235" s="35" t="str">
        <f t="shared" si="43"/>
        <v/>
      </c>
      <c r="O235" s="35" t="str">
        <f t="shared" si="44"/>
        <v/>
      </c>
      <c r="P235" s="35" t="str">
        <f t="shared" si="45"/>
        <v/>
      </c>
      <c r="Q235" s="35" t="str">
        <f t="shared" si="46"/>
        <v/>
      </c>
      <c r="R235" s="35" t="str">
        <f t="shared" si="47"/>
        <v/>
      </c>
      <c r="S235" s="35" t="str">
        <f t="shared" si="48"/>
        <v/>
      </c>
    </row>
    <row r="236" spans="1:19">
      <c r="A236" s="187">
        <v>350</v>
      </c>
      <c r="B236" s="187">
        <v>470</v>
      </c>
      <c r="C236" s="35">
        <v>30</v>
      </c>
      <c r="D236" s="35">
        <v>50</v>
      </c>
      <c r="E236" s="187">
        <v>2.0099999999999998</v>
      </c>
      <c r="F236" s="187">
        <v>0.2</v>
      </c>
      <c r="G236" s="187">
        <f t="shared" si="53"/>
        <v>0.564379230822324</v>
      </c>
      <c r="H236" s="35">
        <f t="shared" si="49"/>
        <v>35.342917352885173</v>
      </c>
      <c r="I236" s="35">
        <f t="shared" si="50"/>
        <v>13.298279689456145</v>
      </c>
      <c r="J236" s="35">
        <f t="shared" si="51"/>
        <v>814519.63097918883</v>
      </c>
      <c r="L236" s="35" t="str">
        <f t="shared" si="52"/>
        <v/>
      </c>
      <c r="M236" s="35" t="str">
        <f t="shared" si="42"/>
        <v/>
      </c>
      <c r="N236" s="35" t="str">
        <f t="shared" si="43"/>
        <v/>
      </c>
      <c r="O236" s="35" t="str">
        <f t="shared" si="44"/>
        <v/>
      </c>
      <c r="P236" s="35" t="str">
        <f t="shared" si="45"/>
        <v/>
      </c>
      <c r="Q236" s="35" t="str">
        <f t="shared" si="46"/>
        <v/>
      </c>
      <c r="R236" s="35" t="str">
        <f t="shared" si="47"/>
        <v/>
      </c>
      <c r="S236" s="35" t="str">
        <f t="shared" si="48"/>
        <v/>
      </c>
    </row>
    <row r="237" spans="1:19">
      <c r="A237" s="187">
        <v>350</v>
      </c>
      <c r="B237" s="187">
        <v>470</v>
      </c>
      <c r="C237" s="35">
        <v>35</v>
      </c>
      <c r="D237" s="35">
        <v>40</v>
      </c>
      <c r="E237" s="187">
        <v>1.92</v>
      </c>
      <c r="F237" s="187">
        <v>0.2</v>
      </c>
      <c r="G237" s="187">
        <f t="shared" si="53"/>
        <v>0.564379230822324</v>
      </c>
      <c r="H237" s="35">
        <f t="shared" si="49"/>
        <v>38.48451000647497</v>
      </c>
      <c r="I237" s="35">
        <f t="shared" si="50"/>
        <v>12.212705837255641</v>
      </c>
      <c r="J237" s="35">
        <f t="shared" si="51"/>
        <v>748028.23253190797</v>
      </c>
      <c r="L237" s="35" t="str">
        <f t="shared" si="52"/>
        <v/>
      </c>
      <c r="M237" s="35" t="str">
        <f t="shared" si="42"/>
        <v/>
      </c>
      <c r="N237" s="35" t="str">
        <f t="shared" si="43"/>
        <v/>
      </c>
      <c r="O237" s="35" t="str">
        <f t="shared" si="44"/>
        <v/>
      </c>
      <c r="P237" s="35" t="str">
        <f t="shared" si="45"/>
        <v/>
      </c>
      <c r="Q237" s="35" t="str">
        <f t="shared" si="46"/>
        <v/>
      </c>
      <c r="R237" s="35" t="str">
        <f t="shared" si="47"/>
        <v/>
      </c>
      <c r="S237" s="35" t="str">
        <f t="shared" si="48"/>
        <v/>
      </c>
    </row>
    <row r="238" spans="1:19">
      <c r="A238" s="187">
        <v>350</v>
      </c>
      <c r="B238" s="187">
        <v>560</v>
      </c>
      <c r="C238" s="35">
        <v>35</v>
      </c>
      <c r="D238" s="35">
        <v>45</v>
      </c>
      <c r="E238" s="187">
        <v>2.31</v>
      </c>
      <c r="F238" s="187">
        <v>0.2</v>
      </c>
      <c r="G238" s="187">
        <f t="shared" si="53"/>
        <v>0.47367542586873623</v>
      </c>
      <c r="H238" s="35">
        <f t="shared" si="49"/>
        <v>43.295073757284335</v>
      </c>
      <c r="I238" s="35">
        <f t="shared" si="50"/>
        <v>12.934496962388955</v>
      </c>
      <c r="J238" s="35">
        <f t="shared" si="51"/>
        <v>792237.93894632347</v>
      </c>
      <c r="L238" s="35" t="str">
        <f t="shared" si="52"/>
        <v/>
      </c>
      <c r="M238" s="35" t="str">
        <f t="shared" si="42"/>
        <v/>
      </c>
      <c r="N238" s="35" t="str">
        <f t="shared" si="43"/>
        <v/>
      </c>
      <c r="O238" s="35" t="str">
        <f t="shared" si="44"/>
        <v/>
      </c>
      <c r="P238" s="35" t="str">
        <f t="shared" si="45"/>
        <v/>
      </c>
      <c r="Q238" s="35" t="str">
        <f t="shared" si="46"/>
        <v/>
      </c>
      <c r="R238" s="35" t="str">
        <f t="shared" si="47"/>
        <v/>
      </c>
      <c r="S238" s="35" t="str">
        <f t="shared" si="48"/>
        <v/>
      </c>
    </row>
    <row r="239" spans="1:19">
      <c r="A239" s="187">
        <v>350</v>
      </c>
      <c r="B239" s="187">
        <v>680</v>
      </c>
      <c r="C239" s="35">
        <v>35</v>
      </c>
      <c r="D239" s="35">
        <v>52</v>
      </c>
      <c r="E239" s="187">
        <v>2.9</v>
      </c>
      <c r="F239" s="187">
        <v>0.2</v>
      </c>
      <c r="G239" s="187">
        <f t="shared" si="53"/>
        <v>0.39008564483307689</v>
      </c>
      <c r="H239" s="35">
        <f t="shared" si="49"/>
        <v>50.029863008417465</v>
      </c>
      <c r="I239" s="35">
        <f t="shared" si="50"/>
        <v>13.591882110202677</v>
      </c>
      <c r="J239" s="35">
        <f t="shared" si="51"/>
        <v>832502.77924991399</v>
      </c>
      <c r="L239" s="35" t="str">
        <f t="shared" si="52"/>
        <v/>
      </c>
      <c r="M239" s="35" t="str">
        <f t="shared" si="42"/>
        <v/>
      </c>
      <c r="N239" s="35" t="str">
        <f t="shared" si="43"/>
        <v/>
      </c>
      <c r="O239" s="35" t="str">
        <f t="shared" si="44"/>
        <v/>
      </c>
      <c r="P239" s="35" t="str">
        <f t="shared" si="45"/>
        <v/>
      </c>
      <c r="Q239" s="35" t="str">
        <f t="shared" si="46"/>
        <v/>
      </c>
      <c r="R239" s="35" t="str">
        <f t="shared" si="47"/>
        <v/>
      </c>
      <c r="S239" s="35" t="str">
        <f t="shared" si="48"/>
        <v/>
      </c>
    </row>
    <row r="240" spans="1:19">
      <c r="A240" s="187">
        <v>400</v>
      </c>
      <c r="B240" s="187">
        <v>47</v>
      </c>
      <c r="C240" s="35">
        <v>22</v>
      </c>
      <c r="D240" s="35">
        <v>25</v>
      </c>
      <c r="E240" s="187">
        <v>0.38</v>
      </c>
      <c r="F240" s="187">
        <v>0.2</v>
      </c>
      <c r="G240" s="187">
        <f t="shared" si="53"/>
        <v>5.6437923082232411</v>
      </c>
      <c r="H240" s="35">
        <f t="shared" si="49"/>
        <v>9.5033177771091246</v>
      </c>
      <c r="I240" s="35">
        <f t="shared" si="50"/>
        <v>4.9456412068225326</v>
      </c>
      <c r="J240" s="35">
        <f t="shared" si="51"/>
        <v>395651.29654580262</v>
      </c>
      <c r="L240" s="35">
        <f t="shared" si="52"/>
        <v>61.820515085281656</v>
      </c>
      <c r="M240" s="35">
        <f t="shared" si="42"/>
        <v>7213.0181928258253</v>
      </c>
      <c r="N240" s="35" t="str">
        <f t="shared" si="43"/>
        <v/>
      </c>
      <c r="O240" s="35" t="str">
        <f t="shared" si="44"/>
        <v/>
      </c>
      <c r="P240" s="35" t="str">
        <f t="shared" si="45"/>
        <v/>
      </c>
      <c r="Q240" s="35" t="str">
        <f t="shared" si="46"/>
        <v/>
      </c>
      <c r="R240" s="35" t="str">
        <f t="shared" si="47"/>
        <v/>
      </c>
      <c r="S240" s="35" t="str">
        <f t="shared" si="48"/>
        <v/>
      </c>
    </row>
    <row r="241" spans="1:19">
      <c r="A241" s="187">
        <v>400</v>
      </c>
      <c r="B241" s="187">
        <v>47</v>
      </c>
      <c r="C241" s="35">
        <v>35</v>
      </c>
      <c r="D241" s="35">
        <v>30</v>
      </c>
      <c r="E241" s="187">
        <v>0.28000000000000003</v>
      </c>
      <c r="F241" s="187">
        <v>0.2</v>
      </c>
      <c r="G241" s="187">
        <f t="shared" si="53"/>
        <v>5.6437923082232411</v>
      </c>
      <c r="H241" s="35">
        <f t="shared" si="49"/>
        <v>28.863382504856222</v>
      </c>
      <c r="I241" s="35">
        <f t="shared" si="50"/>
        <v>1.6283607783007525</v>
      </c>
      <c r="J241" s="35">
        <f t="shared" si="51"/>
        <v>130268.8622640602</v>
      </c>
      <c r="L241" s="35" t="str">
        <f t="shared" si="52"/>
        <v/>
      </c>
      <c r="M241" s="35" t="str">
        <f t="shared" si="42"/>
        <v/>
      </c>
      <c r="N241" s="35" t="str">
        <f t="shared" si="43"/>
        <v/>
      </c>
      <c r="O241" s="35" t="str">
        <f t="shared" si="44"/>
        <v/>
      </c>
      <c r="P241" s="35" t="str">
        <f t="shared" si="45"/>
        <v/>
      </c>
      <c r="Q241" s="35" t="str">
        <f t="shared" si="46"/>
        <v/>
      </c>
      <c r="R241" s="35" t="str">
        <f t="shared" si="47"/>
        <v/>
      </c>
      <c r="S241" s="35" t="str">
        <f t="shared" si="48"/>
        <v/>
      </c>
    </row>
    <row r="242" spans="1:19">
      <c r="A242" s="187">
        <v>400</v>
      </c>
      <c r="B242" s="187">
        <v>68</v>
      </c>
      <c r="C242" s="35">
        <v>22</v>
      </c>
      <c r="D242" s="35">
        <v>25</v>
      </c>
      <c r="E242" s="187">
        <v>0.51</v>
      </c>
      <c r="F242" s="187">
        <v>0.2</v>
      </c>
      <c r="G242" s="187">
        <f t="shared" si="53"/>
        <v>3.9008564483307691</v>
      </c>
      <c r="H242" s="35">
        <f t="shared" si="49"/>
        <v>9.5033177771091246</v>
      </c>
      <c r="I242" s="35">
        <f t="shared" si="50"/>
        <v>7.1553957885943023</v>
      </c>
      <c r="J242" s="35">
        <f t="shared" si="51"/>
        <v>572431.66308754415</v>
      </c>
      <c r="L242" s="35">
        <f t="shared" si="52"/>
        <v>89.442447357428776</v>
      </c>
      <c r="M242" s="35">
        <f t="shared" si="42"/>
        <v>4989.2418329822904</v>
      </c>
      <c r="N242" s="35" t="str">
        <f t="shared" si="43"/>
        <v/>
      </c>
      <c r="O242" s="35" t="str">
        <f t="shared" si="44"/>
        <v/>
      </c>
      <c r="P242" s="35" t="str">
        <f t="shared" si="45"/>
        <v/>
      </c>
      <c r="Q242" s="35" t="str">
        <f t="shared" si="46"/>
        <v/>
      </c>
      <c r="R242" s="35" t="str">
        <f t="shared" si="47"/>
        <v/>
      </c>
      <c r="S242" s="35" t="str">
        <f t="shared" si="48"/>
        <v/>
      </c>
    </row>
    <row r="243" spans="1:19">
      <c r="A243" s="187">
        <v>400</v>
      </c>
      <c r="B243" s="187">
        <v>82</v>
      </c>
      <c r="C243" s="35">
        <v>22</v>
      </c>
      <c r="D243" s="35">
        <v>25</v>
      </c>
      <c r="E243" s="187">
        <v>0.6</v>
      </c>
      <c r="F243" s="187">
        <v>0.2</v>
      </c>
      <c r="G243" s="187">
        <f t="shared" si="53"/>
        <v>3.2348565669084421</v>
      </c>
      <c r="H243" s="35">
        <f t="shared" si="49"/>
        <v>9.5033177771091246</v>
      </c>
      <c r="I243" s="35">
        <f t="shared" si="50"/>
        <v>8.6285655097754823</v>
      </c>
      <c r="J243" s="35">
        <f t="shared" si="51"/>
        <v>690285.24078203854</v>
      </c>
      <c r="L243" s="35">
        <f t="shared" si="52"/>
        <v>107.85706887219352</v>
      </c>
      <c r="M243" s="35">
        <f t="shared" si="42"/>
        <v>4133.9432330424688</v>
      </c>
      <c r="N243" s="35" t="str">
        <f t="shared" si="43"/>
        <v/>
      </c>
      <c r="O243" s="35" t="str">
        <f t="shared" si="44"/>
        <v/>
      </c>
      <c r="P243" s="35" t="str">
        <f t="shared" si="45"/>
        <v/>
      </c>
      <c r="Q243" s="35" t="str">
        <f t="shared" si="46"/>
        <v/>
      </c>
      <c r="R243" s="35" t="str">
        <f t="shared" si="47"/>
        <v/>
      </c>
      <c r="S243" s="35" t="str">
        <f t="shared" si="48"/>
        <v/>
      </c>
    </row>
    <row r="244" spans="1:19">
      <c r="A244" s="187">
        <v>400</v>
      </c>
      <c r="B244" s="187">
        <v>100</v>
      </c>
      <c r="C244" s="35">
        <v>22</v>
      </c>
      <c r="D244" s="35">
        <v>30</v>
      </c>
      <c r="E244" s="187">
        <v>0.68</v>
      </c>
      <c r="F244" s="187">
        <v>0.2</v>
      </c>
      <c r="G244" s="187">
        <f t="shared" si="53"/>
        <v>2.6525823848649224</v>
      </c>
      <c r="H244" s="35">
        <f t="shared" si="49"/>
        <v>11.403981332530948</v>
      </c>
      <c r="I244" s="35">
        <f t="shared" si="50"/>
        <v>8.7688673879832155</v>
      </c>
      <c r="J244" s="35">
        <f t="shared" si="51"/>
        <v>701509.39103865728</v>
      </c>
      <c r="L244" s="35" t="str">
        <f t="shared" si="52"/>
        <v/>
      </c>
      <c r="M244" s="35" t="str">
        <f t="shared" si="42"/>
        <v/>
      </c>
      <c r="N244" s="35" t="str">
        <f t="shared" si="43"/>
        <v/>
      </c>
      <c r="O244" s="35" t="str">
        <f t="shared" si="44"/>
        <v/>
      </c>
      <c r="P244" s="35" t="str">
        <f t="shared" si="45"/>
        <v/>
      </c>
      <c r="Q244" s="35" t="str">
        <f t="shared" si="46"/>
        <v/>
      </c>
      <c r="R244" s="35" t="str">
        <f t="shared" si="47"/>
        <v/>
      </c>
      <c r="S244" s="35" t="str">
        <f t="shared" si="48"/>
        <v/>
      </c>
    </row>
    <row r="245" spans="1:19">
      <c r="A245" s="187">
        <v>400</v>
      </c>
      <c r="B245" s="187">
        <v>100</v>
      </c>
      <c r="C245" s="35">
        <v>25</v>
      </c>
      <c r="D245" s="35">
        <v>25</v>
      </c>
      <c r="E245" s="187">
        <v>0.65</v>
      </c>
      <c r="F245" s="187">
        <v>0.2</v>
      </c>
      <c r="G245" s="187">
        <f t="shared" si="53"/>
        <v>2.6525823848649224</v>
      </c>
      <c r="H245" s="35">
        <f t="shared" si="49"/>
        <v>12.271846303085129</v>
      </c>
      <c r="I245" s="35">
        <f t="shared" si="50"/>
        <v>8.1487330863050413</v>
      </c>
      <c r="J245" s="35">
        <f t="shared" si="51"/>
        <v>651898.64690440334</v>
      </c>
      <c r="L245" s="35">
        <f t="shared" si="52"/>
        <v>101.85916357881301</v>
      </c>
      <c r="M245" s="35">
        <f t="shared" si="42"/>
        <v>4381.0491302013907</v>
      </c>
      <c r="N245" s="35" t="str">
        <f t="shared" si="43"/>
        <v/>
      </c>
      <c r="O245" s="35" t="str">
        <f t="shared" si="44"/>
        <v/>
      </c>
      <c r="P245" s="35" t="str">
        <f t="shared" si="45"/>
        <v/>
      </c>
      <c r="Q245" s="35" t="str">
        <f t="shared" si="46"/>
        <v/>
      </c>
      <c r="R245" s="35" t="str">
        <f t="shared" si="47"/>
        <v/>
      </c>
      <c r="S245" s="35" t="str">
        <f t="shared" si="48"/>
        <v/>
      </c>
    </row>
    <row r="246" spans="1:19">
      <c r="A246" s="187">
        <v>400</v>
      </c>
      <c r="B246" s="187">
        <v>120</v>
      </c>
      <c r="C246" s="35">
        <v>22</v>
      </c>
      <c r="D246" s="35">
        <v>31</v>
      </c>
      <c r="E246" s="187">
        <v>0.9</v>
      </c>
      <c r="F246" s="187">
        <v>0.2</v>
      </c>
      <c r="G246" s="187">
        <f t="shared" si="53"/>
        <v>2.2104853207207689</v>
      </c>
      <c r="H246" s="35">
        <f t="shared" si="49"/>
        <v>11.784114043615313</v>
      </c>
      <c r="I246" s="35">
        <f t="shared" si="50"/>
        <v>10.183200837657928</v>
      </c>
      <c r="J246" s="35">
        <f t="shared" si="51"/>
        <v>814656.06701263424</v>
      </c>
      <c r="L246" s="35" t="str">
        <f t="shared" si="52"/>
        <v/>
      </c>
      <c r="M246" s="35" t="str">
        <f t="shared" si="42"/>
        <v/>
      </c>
      <c r="N246" s="35" t="str">
        <f t="shared" si="43"/>
        <v/>
      </c>
      <c r="O246" s="35" t="str">
        <f t="shared" si="44"/>
        <v/>
      </c>
      <c r="P246" s="35" t="str">
        <f t="shared" si="45"/>
        <v/>
      </c>
      <c r="Q246" s="35" t="str">
        <f t="shared" si="46"/>
        <v/>
      </c>
      <c r="R246" s="35" t="str">
        <f t="shared" si="47"/>
        <v/>
      </c>
      <c r="S246" s="35" t="str">
        <f t="shared" si="48"/>
        <v/>
      </c>
    </row>
    <row r="247" spans="1:19">
      <c r="A247" s="187">
        <v>400</v>
      </c>
      <c r="B247" s="187">
        <v>120</v>
      </c>
      <c r="C247" s="35">
        <v>25</v>
      </c>
      <c r="D247" s="35">
        <v>30</v>
      </c>
      <c r="E247" s="187">
        <v>0.9</v>
      </c>
      <c r="F247" s="187">
        <v>0.2</v>
      </c>
      <c r="G247" s="187">
        <f t="shared" si="53"/>
        <v>2.2104853207207689</v>
      </c>
      <c r="H247" s="35">
        <f t="shared" si="49"/>
        <v>14.726215563702155</v>
      </c>
      <c r="I247" s="35">
        <f t="shared" si="50"/>
        <v>8.1487330863050413</v>
      </c>
      <c r="J247" s="35">
        <f t="shared" si="51"/>
        <v>651898.64690440334</v>
      </c>
      <c r="L247" s="35" t="str">
        <f t="shared" si="52"/>
        <v/>
      </c>
      <c r="M247" s="35" t="str">
        <f t="shared" si="42"/>
        <v/>
      </c>
      <c r="N247" s="35" t="str">
        <f t="shared" si="43"/>
        <v/>
      </c>
      <c r="O247" s="35" t="str">
        <f t="shared" si="44"/>
        <v/>
      </c>
      <c r="P247" s="35" t="str">
        <f t="shared" si="45"/>
        <v/>
      </c>
      <c r="Q247" s="35" t="str">
        <f t="shared" si="46"/>
        <v/>
      </c>
      <c r="R247" s="35" t="str">
        <f t="shared" si="47"/>
        <v/>
      </c>
      <c r="S247" s="35" t="str">
        <f t="shared" si="48"/>
        <v/>
      </c>
    </row>
    <row r="248" spans="1:19">
      <c r="A248" s="187">
        <v>400</v>
      </c>
      <c r="B248" s="187">
        <v>150</v>
      </c>
      <c r="C248" s="35">
        <v>22</v>
      </c>
      <c r="D248" s="35">
        <v>41</v>
      </c>
      <c r="E248" s="187">
        <v>0.95</v>
      </c>
      <c r="F248" s="187">
        <v>0.2</v>
      </c>
      <c r="G248" s="187">
        <f t="shared" si="53"/>
        <v>1.7683882565766151</v>
      </c>
      <c r="H248" s="35">
        <f t="shared" si="49"/>
        <v>15.585441154458964</v>
      </c>
      <c r="I248" s="35">
        <f t="shared" si="50"/>
        <v>9.6243666453474308</v>
      </c>
      <c r="J248" s="35">
        <f t="shared" si="51"/>
        <v>769949.33162779443</v>
      </c>
      <c r="L248" s="35" t="str">
        <f t="shared" si="52"/>
        <v/>
      </c>
      <c r="M248" s="35" t="str">
        <f t="shared" si="42"/>
        <v/>
      </c>
      <c r="N248" s="35" t="str">
        <f t="shared" si="43"/>
        <v/>
      </c>
      <c r="O248" s="35" t="str">
        <f t="shared" si="44"/>
        <v/>
      </c>
      <c r="P248" s="35" t="str">
        <f t="shared" si="45"/>
        <v/>
      </c>
      <c r="Q248" s="35" t="str">
        <f t="shared" si="46"/>
        <v/>
      </c>
      <c r="R248" s="35" t="str">
        <f t="shared" si="47"/>
        <v/>
      </c>
      <c r="S248" s="35" t="str">
        <f t="shared" si="48"/>
        <v/>
      </c>
    </row>
    <row r="249" spans="1:19">
      <c r="A249" s="187">
        <v>400</v>
      </c>
      <c r="B249" s="187">
        <v>150</v>
      </c>
      <c r="C249" s="35">
        <v>25</v>
      </c>
      <c r="D249" s="35">
        <v>31</v>
      </c>
      <c r="E249" s="187">
        <v>0.85</v>
      </c>
      <c r="F249" s="187">
        <v>0.2</v>
      </c>
      <c r="G249" s="187">
        <f t="shared" si="53"/>
        <v>1.7683882565766151</v>
      </c>
      <c r="H249" s="35">
        <f t="shared" si="49"/>
        <v>15.217089415825559</v>
      </c>
      <c r="I249" s="35">
        <f t="shared" si="50"/>
        <v>9.8573384108528739</v>
      </c>
      <c r="J249" s="35">
        <f t="shared" si="51"/>
        <v>788587.07286822994</v>
      </c>
      <c r="L249" s="35" t="str">
        <f t="shared" si="52"/>
        <v/>
      </c>
      <c r="M249" s="35" t="str">
        <f t="shared" si="42"/>
        <v/>
      </c>
      <c r="N249" s="35" t="str">
        <f t="shared" si="43"/>
        <v/>
      </c>
      <c r="O249" s="35" t="str">
        <f t="shared" si="44"/>
        <v/>
      </c>
      <c r="P249" s="35" t="str">
        <f t="shared" si="45"/>
        <v/>
      </c>
      <c r="Q249" s="35" t="str">
        <f t="shared" si="46"/>
        <v/>
      </c>
      <c r="R249" s="35" t="str">
        <f t="shared" si="47"/>
        <v/>
      </c>
      <c r="S249" s="35" t="str">
        <f t="shared" si="48"/>
        <v/>
      </c>
    </row>
    <row r="250" spans="1:19">
      <c r="A250" s="187">
        <v>400</v>
      </c>
      <c r="B250" s="187">
        <v>220</v>
      </c>
      <c r="C250" s="35">
        <v>22</v>
      </c>
      <c r="D250" s="35">
        <v>50</v>
      </c>
      <c r="E250" s="187">
        <v>1.27</v>
      </c>
      <c r="F250" s="187">
        <v>0.2</v>
      </c>
      <c r="G250" s="187">
        <f t="shared" si="53"/>
        <v>1.2057192658476923</v>
      </c>
      <c r="H250" s="35">
        <f t="shared" si="49"/>
        <v>19.006635554218249</v>
      </c>
      <c r="I250" s="35">
        <f t="shared" si="50"/>
        <v>11.574904952137842</v>
      </c>
      <c r="J250" s="35">
        <f t="shared" si="51"/>
        <v>925992.39617102745</v>
      </c>
      <c r="L250" s="35" t="str">
        <f t="shared" si="52"/>
        <v/>
      </c>
      <c r="M250" s="35" t="str">
        <f t="shared" si="42"/>
        <v/>
      </c>
      <c r="N250" s="35" t="str">
        <f t="shared" si="43"/>
        <v/>
      </c>
      <c r="O250" s="35" t="str">
        <f t="shared" si="44"/>
        <v/>
      </c>
      <c r="P250" s="35" t="str">
        <f t="shared" si="45"/>
        <v/>
      </c>
      <c r="Q250" s="35" t="str">
        <f t="shared" si="46"/>
        <v/>
      </c>
      <c r="R250" s="35" t="str">
        <f t="shared" si="47"/>
        <v/>
      </c>
      <c r="S250" s="35" t="str">
        <f t="shared" si="48"/>
        <v/>
      </c>
    </row>
    <row r="251" spans="1:19">
      <c r="A251" s="187">
        <v>400</v>
      </c>
      <c r="B251" s="187">
        <v>220</v>
      </c>
      <c r="C251" s="35">
        <v>26</v>
      </c>
      <c r="D251" s="35">
        <v>40</v>
      </c>
      <c r="E251" s="187">
        <v>1.17</v>
      </c>
      <c r="F251" s="187">
        <v>0.2</v>
      </c>
      <c r="G251" s="187">
        <f t="shared" si="53"/>
        <v>1.2057192658476923</v>
      </c>
      <c r="H251" s="35">
        <f t="shared" si="49"/>
        <v>21.237166338267002</v>
      </c>
      <c r="I251" s="35">
        <f t="shared" si="50"/>
        <v>10.359197479354135</v>
      </c>
      <c r="J251" s="35">
        <f t="shared" si="51"/>
        <v>828735.79834833078</v>
      </c>
      <c r="L251" s="35" t="str">
        <f t="shared" si="52"/>
        <v/>
      </c>
      <c r="M251" s="35" t="str">
        <f t="shared" si="42"/>
        <v/>
      </c>
      <c r="N251" s="35" t="str">
        <f t="shared" si="43"/>
        <v/>
      </c>
      <c r="O251" s="35" t="str">
        <f t="shared" si="44"/>
        <v/>
      </c>
      <c r="P251" s="35" t="str">
        <f t="shared" si="45"/>
        <v/>
      </c>
      <c r="Q251" s="35" t="str">
        <f t="shared" si="46"/>
        <v/>
      </c>
      <c r="R251" s="35" t="str">
        <f t="shared" si="47"/>
        <v/>
      </c>
      <c r="S251" s="35" t="str">
        <f t="shared" si="48"/>
        <v/>
      </c>
    </row>
    <row r="252" spans="1:19">
      <c r="A252" s="187">
        <v>400</v>
      </c>
      <c r="B252" s="187">
        <v>270</v>
      </c>
      <c r="C252" s="35">
        <v>25</v>
      </c>
      <c r="D252" s="35">
        <v>46</v>
      </c>
      <c r="E252" s="187">
        <v>1.65</v>
      </c>
      <c r="F252" s="187">
        <v>0.2</v>
      </c>
      <c r="G252" s="187">
        <f t="shared" si="53"/>
        <v>0.98243792032034172</v>
      </c>
      <c r="H252" s="35">
        <f t="shared" si="49"/>
        <v>22.58019719767664</v>
      </c>
      <c r="I252" s="35">
        <f t="shared" si="50"/>
        <v>11.957380072295441</v>
      </c>
      <c r="J252" s="35">
        <f t="shared" si="51"/>
        <v>956590.40578363533</v>
      </c>
      <c r="L252" s="35" t="str">
        <f t="shared" si="52"/>
        <v/>
      </c>
      <c r="M252" s="35" t="str">
        <f t="shared" si="42"/>
        <v/>
      </c>
      <c r="N252" s="35" t="str">
        <f t="shared" si="43"/>
        <v/>
      </c>
      <c r="O252" s="35" t="str">
        <f t="shared" si="44"/>
        <v/>
      </c>
      <c r="P252" s="35" t="str">
        <f t="shared" si="45"/>
        <v/>
      </c>
      <c r="Q252" s="35" t="str">
        <f t="shared" si="46"/>
        <v/>
      </c>
      <c r="R252" s="35" t="str">
        <f t="shared" si="47"/>
        <v/>
      </c>
      <c r="S252" s="35" t="str">
        <f t="shared" si="48"/>
        <v/>
      </c>
    </row>
    <row r="253" spans="1:19">
      <c r="A253" s="187">
        <v>400</v>
      </c>
      <c r="B253" s="187">
        <v>270</v>
      </c>
      <c r="C253" s="35">
        <v>30</v>
      </c>
      <c r="D253" s="35">
        <v>36</v>
      </c>
      <c r="E253" s="187">
        <v>1.59</v>
      </c>
      <c r="F253" s="187">
        <v>0.2</v>
      </c>
      <c r="G253" s="187">
        <f t="shared" si="53"/>
        <v>0.98243792032034172</v>
      </c>
      <c r="H253" s="35">
        <f t="shared" si="49"/>
        <v>25.446900494077326</v>
      </c>
      <c r="I253" s="35">
        <f t="shared" si="50"/>
        <v>10.610329539459689</v>
      </c>
      <c r="J253" s="35">
        <f t="shared" si="51"/>
        <v>848826.36315677513</v>
      </c>
      <c r="L253" s="35" t="str">
        <f t="shared" si="52"/>
        <v/>
      </c>
      <c r="M253" s="35" t="str">
        <f t="shared" si="42"/>
        <v/>
      </c>
      <c r="N253" s="35" t="str">
        <f t="shared" si="43"/>
        <v/>
      </c>
      <c r="O253" s="35" t="str">
        <f t="shared" si="44"/>
        <v/>
      </c>
      <c r="P253" s="35" t="str">
        <f t="shared" si="45"/>
        <v/>
      </c>
      <c r="Q253" s="35" t="str">
        <f t="shared" si="46"/>
        <v/>
      </c>
      <c r="R253" s="35" t="str">
        <f t="shared" si="47"/>
        <v/>
      </c>
      <c r="S253" s="35" t="str">
        <f t="shared" si="48"/>
        <v/>
      </c>
    </row>
    <row r="254" spans="1:19">
      <c r="A254" s="187">
        <v>400</v>
      </c>
      <c r="B254" s="187">
        <v>330</v>
      </c>
      <c r="C254" s="35">
        <v>30</v>
      </c>
      <c r="D254" s="35">
        <v>41</v>
      </c>
      <c r="E254" s="187">
        <v>1.9</v>
      </c>
      <c r="F254" s="187">
        <v>0.2</v>
      </c>
      <c r="G254" s="187">
        <f t="shared" si="53"/>
        <v>0.80381284389846153</v>
      </c>
      <c r="H254" s="35">
        <f t="shared" si="49"/>
        <v>28.981192229365845</v>
      </c>
      <c r="I254" s="35">
        <f t="shared" si="50"/>
        <v>11.386695115517714</v>
      </c>
      <c r="J254" s="35">
        <f t="shared" si="51"/>
        <v>910935.60924141714</v>
      </c>
      <c r="L254" s="35" t="str">
        <f t="shared" si="52"/>
        <v/>
      </c>
      <c r="M254" s="35" t="str">
        <f t="shared" si="42"/>
        <v/>
      </c>
      <c r="N254" s="35" t="str">
        <f t="shared" si="43"/>
        <v/>
      </c>
      <c r="O254" s="35" t="str">
        <f t="shared" si="44"/>
        <v/>
      </c>
      <c r="P254" s="35" t="str">
        <f t="shared" si="45"/>
        <v/>
      </c>
      <c r="Q254" s="35" t="str">
        <f t="shared" si="46"/>
        <v/>
      </c>
      <c r="R254" s="35" t="str">
        <f t="shared" si="47"/>
        <v/>
      </c>
      <c r="S254" s="35" t="str">
        <f t="shared" si="48"/>
        <v/>
      </c>
    </row>
    <row r="255" spans="1:19">
      <c r="A255" s="187">
        <v>400</v>
      </c>
      <c r="B255" s="187">
        <v>330</v>
      </c>
      <c r="C255" s="35">
        <v>35</v>
      </c>
      <c r="D255" s="35">
        <v>37</v>
      </c>
      <c r="E255" s="187">
        <v>1.75</v>
      </c>
      <c r="F255" s="187">
        <v>0.2</v>
      </c>
      <c r="G255" s="187">
        <f t="shared" si="53"/>
        <v>0.80381284389846153</v>
      </c>
      <c r="H255" s="35">
        <f t="shared" si="49"/>
        <v>35.598171755989341</v>
      </c>
      <c r="I255" s="35">
        <f t="shared" si="50"/>
        <v>9.2701389909013514</v>
      </c>
      <c r="J255" s="35">
        <f t="shared" si="51"/>
        <v>741611.11927210807</v>
      </c>
      <c r="L255" s="35" t="str">
        <f t="shared" si="52"/>
        <v/>
      </c>
      <c r="M255" s="35" t="str">
        <f t="shared" si="42"/>
        <v/>
      </c>
      <c r="N255" s="35" t="str">
        <f t="shared" si="43"/>
        <v/>
      </c>
      <c r="O255" s="35" t="str">
        <f t="shared" si="44"/>
        <v/>
      </c>
      <c r="P255" s="35" t="str">
        <f t="shared" si="45"/>
        <v/>
      </c>
      <c r="Q255" s="35" t="str">
        <f t="shared" si="46"/>
        <v/>
      </c>
      <c r="R255" s="35" t="str">
        <f t="shared" si="47"/>
        <v/>
      </c>
      <c r="S255" s="35" t="str">
        <f t="shared" si="48"/>
        <v/>
      </c>
    </row>
    <row r="256" spans="1:19">
      <c r="A256" s="187">
        <v>400</v>
      </c>
      <c r="B256" s="187">
        <v>390</v>
      </c>
      <c r="C256" s="35">
        <v>30</v>
      </c>
      <c r="D256" s="35">
        <v>45</v>
      </c>
      <c r="E256" s="187">
        <v>2.2999999999999998</v>
      </c>
      <c r="F256" s="187">
        <v>0.2</v>
      </c>
      <c r="G256" s="187">
        <f t="shared" si="53"/>
        <v>0.68014932945254436</v>
      </c>
      <c r="H256" s="35">
        <f t="shared" si="49"/>
        <v>31.808625617596658</v>
      </c>
      <c r="I256" s="35">
        <f t="shared" si="50"/>
        <v>12.260825245597863</v>
      </c>
      <c r="J256" s="35">
        <f t="shared" si="51"/>
        <v>980866.019647829</v>
      </c>
      <c r="L256" s="35" t="str">
        <f t="shared" si="52"/>
        <v/>
      </c>
      <c r="M256" s="35" t="str">
        <f t="shared" si="42"/>
        <v/>
      </c>
      <c r="N256" s="35" t="str">
        <f t="shared" si="43"/>
        <v/>
      </c>
      <c r="O256" s="35" t="str">
        <f t="shared" si="44"/>
        <v/>
      </c>
      <c r="P256" s="35" t="str">
        <f t="shared" si="45"/>
        <v/>
      </c>
      <c r="Q256" s="35" t="str">
        <f t="shared" si="46"/>
        <v/>
      </c>
      <c r="R256" s="35" t="str">
        <f t="shared" si="47"/>
        <v/>
      </c>
      <c r="S256" s="35" t="str">
        <f t="shared" si="48"/>
        <v/>
      </c>
    </row>
    <row r="257" spans="1:19">
      <c r="A257" s="187">
        <v>400</v>
      </c>
      <c r="B257" s="187">
        <v>470</v>
      </c>
      <c r="C257" s="35">
        <v>35</v>
      </c>
      <c r="D257" s="35">
        <v>40</v>
      </c>
      <c r="E257" s="187">
        <v>2.4</v>
      </c>
      <c r="F257" s="187">
        <v>0.2</v>
      </c>
      <c r="G257" s="187">
        <f t="shared" si="53"/>
        <v>0.564379230822324</v>
      </c>
      <c r="H257" s="35">
        <f t="shared" si="49"/>
        <v>38.48451000647497</v>
      </c>
      <c r="I257" s="35">
        <f t="shared" si="50"/>
        <v>12.212705837255641</v>
      </c>
      <c r="J257" s="35">
        <f t="shared" si="51"/>
        <v>977016.46698045125</v>
      </c>
      <c r="L257" s="35" t="str">
        <f t="shared" si="52"/>
        <v/>
      </c>
      <c r="M257" s="35" t="str">
        <f t="shared" si="42"/>
        <v/>
      </c>
      <c r="N257" s="35" t="str">
        <f t="shared" si="43"/>
        <v/>
      </c>
      <c r="O257" s="35" t="str">
        <f t="shared" si="44"/>
        <v/>
      </c>
      <c r="P257" s="35" t="str">
        <f t="shared" si="45"/>
        <v/>
      </c>
      <c r="Q257" s="35" t="str">
        <f t="shared" si="46"/>
        <v/>
      </c>
      <c r="R257" s="35" t="str">
        <f t="shared" si="47"/>
        <v/>
      </c>
      <c r="S257" s="35" t="str">
        <f t="shared" si="48"/>
        <v/>
      </c>
    </row>
    <row r="258" spans="1:19">
      <c r="A258" s="187">
        <v>400</v>
      </c>
      <c r="B258" s="187">
        <v>560</v>
      </c>
      <c r="C258" s="35">
        <v>35</v>
      </c>
      <c r="D258" s="35">
        <v>52</v>
      </c>
      <c r="E258" s="187">
        <v>2.79</v>
      </c>
      <c r="F258" s="187">
        <v>0.2</v>
      </c>
      <c r="G258" s="187">
        <f t="shared" si="53"/>
        <v>0.47367542586873623</v>
      </c>
      <c r="H258" s="35">
        <f t="shared" si="49"/>
        <v>50.029863008417465</v>
      </c>
      <c r="I258" s="35">
        <f t="shared" si="50"/>
        <v>11.19331467899044</v>
      </c>
      <c r="J258" s="35">
        <f t="shared" si="51"/>
        <v>895465.17431923514</v>
      </c>
      <c r="L258" s="35" t="str">
        <f t="shared" si="52"/>
        <v/>
      </c>
      <c r="M258" s="35" t="str">
        <f t="shared" si="42"/>
        <v/>
      </c>
      <c r="N258" s="35" t="str">
        <f t="shared" si="43"/>
        <v/>
      </c>
      <c r="O258" s="35" t="str">
        <f t="shared" si="44"/>
        <v/>
      </c>
      <c r="P258" s="35" t="str">
        <f t="shared" si="45"/>
        <v/>
      </c>
      <c r="Q258" s="35" t="str">
        <f t="shared" si="46"/>
        <v/>
      </c>
      <c r="R258" s="35" t="str">
        <f t="shared" si="47"/>
        <v/>
      </c>
      <c r="S258" s="35" t="str">
        <f t="shared" si="48"/>
        <v/>
      </c>
    </row>
    <row r="259" spans="1:19">
      <c r="A259" s="187">
        <v>450</v>
      </c>
      <c r="B259" s="187">
        <v>47</v>
      </c>
      <c r="C259" s="35">
        <v>22</v>
      </c>
      <c r="D259" s="35">
        <v>26</v>
      </c>
      <c r="E259" s="187">
        <v>0.36</v>
      </c>
      <c r="F259" s="187">
        <v>0.2</v>
      </c>
      <c r="G259" s="187">
        <f t="shared" si="53"/>
        <v>5.6437923082232411</v>
      </c>
      <c r="H259" s="35">
        <f t="shared" si="49"/>
        <v>9.8834504881934908</v>
      </c>
      <c r="I259" s="35">
        <f t="shared" si="50"/>
        <v>4.7554242373293576</v>
      </c>
      <c r="J259" s="35">
        <f t="shared" si="51"/>
        <v>481486.70402959746</v>
      </c>
      <c r="L259" s="35" t="str">
        <f t="shared" si="52"/>
        <v/>
      </c>
      <c r="M259" s="35" t="str">
        <f t="shared" si="42"/>
        <v/>
      </c>
      <c r="N259" s="35" t="str">
        <f t="shared" si="43"/>
        <v/>
      </c>
      <c r="O259" s="35" t="str">
        <f t="shared" si="44"/>
        <v/>
      </c>
      <c r="P259" s="35" t="str">
        <f t="shared" si="45"/>
        <v/>
      </c>
      <c r="Q259" s="35" t="str">
        <f t="shared" si="46"/>
        <v/>
      </c>
      <c r="R259" s="35" t="str">
        <f t="shared" si="47"/>
        <v/>
      </c>
      <c r="S259" s="35" t="str">
        <f t="shared" si="48"/>
        <v/>
      </c>
    </row>
    <row r="260" spans="1:19">
      <c r="A260" s="187">
        <v>450</v>
      </c>
      <c r="B260" s="187">
        <v>100</v>
      </c>
      <c r="C260" s="35">
        <v>22</v>
      </c>
      <c r="D260" s="35">
        <v>36</v>
      </c>
      <c r="E260" s="187">
        <v>0.61</v>
      </c>
      <c r="F260" s="187">
        <v>0.2</v>
      </c>
      <c r="G260" s="187">
        <f t="shared" si="53"/>
        <v>2.6525823848649224</v>
      </c>
      <c r="H260" s="35">
        <f t="shared" si="49"/>
        <v>13.68477759903714</v>
      </c>
      <c r="I260" s="35">
        <f t="shared" si="50"/>
        <v>7.3073894899860115</v>
      </c>
      <c r="J260" s="35">
        <f t="shared" si="51"/>
        <v>739873.18586108368</v>
      </c>
      <c r="L260" s="35" t="str">
        <f t="shared" si="52"/>
        <v/>
      </c>
      <c r="M260" s="35" t="str">
        <f t="shared" si="42"/>
        <v/>
      </c>
      <c r="N260" s="35" t="str">
        <f t="shared" si="43"/>
        <v/>
      </c>
      <c r="O260" s="35" t="str">
        <f t="shared" si="44"/>
        <v/>
      </c>
      <c r="P260" s="35" t="str">
        <f t="shared" si="45"/>
        <v/>
      </c>
      <c r="Q260" s="35" t="str">
        <f t="shared" si="46"/>
        <v/>
      </c>
      <c r="R260" s="35" t="str">
        <f t="shared" si="47"/>
        <v/>
      </c>
      <c r="S260" s="35" t="str">
        <f t="shared" si="48"/>
        <v/>
      </c>
    </row>
    <row r="261" spans="1:19">
      <c r="A261" s="187">
        <v>450</v>
      </c>
      <c r="B261" s="187">
        <v>100</v>
      </c>
      <c r="C261" s="35">
        <v>25</v>
      </c>
      <c r="D261" s="35">
        <v>31</v>
      </c>
      <c r="E261" s="187">
        <v>0.35</v>
      </c>
      <c r="F261" s="187">
        <v>0.2</v>
      </c>
      <c r="G261" s="187">
        <f t="shared" si="53"/>
        <v>2.6525823848649224</v>
      </c>
      <c r="H261" s="35">
        <f t="shared" si="49"/>
        <v>15.217089415825559</v>
      </c>
      <c r="I261" s="35">
        <f t="shared" si="50"/>
        <v>6.5715589405685826</v>
      </c>
      <c r="J261" s="35">
        <f t="shared" si="51"/>
        <v>665370.34273256897</v>
      </c>
      <c r="L261" s="35" t="str">
        <f t="shared" si="52"/>
        <v/>
      </c>
      <c r="M261" s="35" t="str">
        <f t="shared" ref="M261:M266" si="54">IF(L261&lt;&gt;"",ROUNDUP($W$12/B261,0)*H261,"")</f>
        <v/>
      </c>
      <c r="N261" s="35" t="str">
        <f t="shared" ref="N261:N266" si="55">IF(M261=MIN($M$4:$M$266),M261,"")</f>
        <v/>
      </c>
      <c r="O261" s="35" t="str">
        <f t="shared" ref="O261:O266" si="56">IF($N261=MIN($M$4:$M$266),A261,"")</f>
        <v/>
      </c>
      <c r="P261" s="35" t="str">
        <f t="shared" ref="P261:P266" si="57">IF($N261=MIN($M$4:$M$266),B261,"")</f>
        <v/>
      </c>
      <c r="Q261" s="35" t="str">
        <f t="shared" ref="Q261:Q266" si="58">IF($N261=MIN($M$4:$M$266),C261,"")</f>
        <v/>
      </c>
      <c r="R261" s="35" t="str">
        <f t="shared" ref="R261:R266" si="59">IF($N261=MIN($M$4:$M$266),D261,"")</f>
        <v/>
      </c>
      <c r="S261" s="35" t="str">
        <f t="shared" ref="S261:S266" si="60">IF($N261=MIN($M$4:$M$266),G261,"")</f>
        <v/>
      </c>
    </row>
    <row r="262" spans="1:19">
      <c r="A262" s="187">
        <v>450</v>
      </c>
      <c r="B262" s="187">
        <v>150</v>
      </c>
      <c r="C262" s="35">
        <v>22</v>
      </c>
      <c r="D262" s="35">
        <v>50</v>
      </c>
      <c r="E262" s="187">
        <v>0.88</v>
      </c>
      <c r="F262" s="187">
        <v>0.2</v>
      </c>
      <c r="G262" s="187">
        <f t="shared" si="53"/>
        <v>1.7683882565766151</v>
      </c>
      <c r="H262" s="35">
        <f t="shared" si="49"/>
        <v>19.006635554218249</v>
      </c>
      <c r="I262" s="35">
        <f t="shared" si="50"/>
        <v>7.8919806491848927</v>
      </c>
      <c r="J262" s="35">
        <f t="shared" si="51"/>
        <v>799063.04072997044</v>
      </c>
      <c r="L262" s="35" t="str">
        <f t="shared" si="52"/>
        <v/>
      </c>
      <c r="M262" s="35" t="str">
        <f t="shared" si="54"/>
        <v/>
      </c>
      <c r="N262" s="35" t="str">
        <f t="shared" si="55"/>
        <v/>
      </c>
      <c r="O262" s="35" t="str">
        <f t="shared" si="56"/>
        <v/>
      </c>
      <c r="P262" s="35" t="str">
        <f t="shared" si="57"/>
        <v/>
      </c>
      <c r="Q262" s="35" t="str">
        <f t="shared" si="58"/>
        <v/>
      </c>
      <c r="R262" s="35" t="str">
        <f t="shared" si="59"/>
        <v/>
      </c>
      <c r="S262" s="35" t="str">
        <f t="shared" si="60"/>
        <v/>
      </c>
    </row>
    <row r="263" spans="1:19">
      <c r="A263" s="187">
        <v>450</v>
      </c>
      <c r="B263" s="187">
        <v>150</v>
      </c>
      <c r="C263" s="35">
        <v>25</v>
      </c>
      <c r="D263" s="35">
        <v>40</v>
      </c>
      <c r="E263" s="187">
        <v>0.59</v>
      </c>
      <c r="F263" s="187">
        <v>0.2</v>
      </c>
      <c r="G263" s="187">
        <f t="shared" si="53"/>
        <v>1.7683882565766151</v>
      </c>
      <c r="H263" s="35">
        <f t="shared" si="49"/>
        <v>19.634954084936208</v>
      </c>
      <c r="I263" s="35">
        <f t="shared" si="50"/>
        <v>7.6394372684109761</v>
      </c>
      <c r="J263" s="35">
        <f t="shared" si="51"/>
        <v>773493.02342661133</v>
      </c>
      <c r="L263" s="35" t="str">
        <f t="shared" si="52"/>
        <v/>
      </c>
      <c r="M263" s="35" t="str">
        <f t="shared" si="54"/>
        <v/>
      </c>
      <c r="N263" s="35" t="str">
        <f t="shared" si="55"/>
        <v/>
      </c>
      <c r="O263" s="35" t="str">
        <f t="shared" si="56"/>
        <v/>
      </c>
      <c r="P263" s="35" t="str">
        <f t="shared" si="57"/>
        <v/>
      </c>
      <c r="Q263" s="35" t="str">
        <f t="shared" si="58"/>
        <v/>
      </c>
      <c r="R263" s="35" t="str">
        <f t="shared" si="59"/>
        <v/>
      </c>
      <c r="S263" s="35" t="str">
        <f t="shared" si="60"/>
        <v/>
      </c>
    </row>
    <row r="264" spans="1:19">
      <c r="A264" s="187">
        <v>450</v>
      </c>
      <c r="B264" s="187">
        <v>220</v>
      </c>
      <c r="C264" s="35">
        <v>25</v>
      </c>
      <c r="D264" s="35">
        <v>50</v>
      </c>
      <c r="E264" s="187">
        <v>1.06</v>
      </c>
      <c r="F264" s="187">
        <v>0.2</v>
      </c>
      <c r="G264" s="187">
        <f t="shared" si="53"/>
        <v>1.2057192658476923</v>
      </c>
      <c r="H264" s="35">
        <f t="shared" si="49"/>
        <v>24.543692606170257</v>
      </c>
      <c r="I264" s="35">
        <f t="shared" si="50"/>
        <v>8.963606394935546</v>
      </c>
      <c r="J264" s="35">
        <f t="shared" si="51"/>
        <v>907565.14748722408</v>
      </c>
      <c r="L264" s="35" t="str">
        <f t="shared" si="52"/>
        <v/>
      </c>
      <c r="M264" s="35" t="str">
        <f t="shared" si="54"/>
        <v/>
      </c>
      <c r="N264" s="35" t="str">
        <f t="shared" si="55"/>
        <v/>
      </c>
      <c r="O264" s="35" t="str">
        <f t="shared" si="56"/>
        <v/>
      </c>
      <c r="P264" s="35" t="str">
        <f t="shared" si="57"/>
        <v/>
      </c>
      <c r="Q264" s="35" t="str">
        <f t="shared" si="58"/>
        <v/>
      </c>
      <c r="R264" s="35" t="str">
        <f t="shared" si="59"/>
        <v/>
      </c>
      <c r="S264" s="35" t="str">
        <f t="shared" si="60"/>
        <v/>
      </c>
    </row>
    <row r="265" spans="1:19">
      <c r="A265" s="187">
        <v>450</v>
      </c>
      <c r="B265" s="187">
        <v>220</v>
      </c>
      <c r="C265" s="35">
        <v>35</v>
      </c>
      <c r="D265" s="35">
        <v>37</v>
      </c>
      <c r="E265" s="187">
        <v>0.97</v>
      </c>
      <c r="F265" s="187">
        <v>0.2</v>
      </c>
      <c r="G265" s="187">
        <f t="shared" si="53"/>
        <v>1.2057192658476923</v>
      </c>
      <c r="H265" s="35">
        <f t="shared" si="49"/>
        <v>35.598171755989341</v>
      </c>
      <c r="I265" s="35">
        <f t="shared" si="50"/>
        <v>6.1800926606009003</v>
      </c>
      <c r="J265" s="35">
        <f t="shared" si="51"/>
        <v>625734.38188584114</v>
      </c>
      <c r="L265" s="35" t="str">
        <f t="shared" si="52"/>
        <v/>
      </c>
      <c r="M265" s="35" t="str">
        <f t="shared" si="54"/>
        <v/>
      </c>
      <c r="N265" s="35" t="str">
        <f t="shared" si="55"/>
        <v/>
      </c>
      <c r="O265" s="35" t="str">
        <f t="shared" si="56"/>
        <v/>
      </c>
      <c r="P265" s="35" t="str">
        <f t="shared" si="57"/>
        <v/>
      </c>
      <c r="Q265" s="35" t="str">
        <f t="shared" si="58"/>
        <v/>
      </c>
      <c r="R265" s="35" t="str">
        <f t="shared" si="59"/>
        <v/>
      </c>
      <c r="S265" s="35" t="str">
        <f t="shared" si="60"/>
        <v/>
      </c>
    </row>
    <row r="266" spans="1:19">
      <c r="A266" s="187">
        <v>450</v>
      </c>
      <c r="B266" s="187">
        <v>330</v>
      </c>
      <c r="C266" s="35">
        <v>35</v>
      </c>
      <c r="D266" s="35">
        <v>47</v>
      </c>
      <c r="E266" s="187">
        <v>1.1299999999999999</v>
      </c>
      <c r="F266" s="187">
        <v>0.2</v>
      </c>
      <c r="G266" s="187">
        <f t="shared" si="53"/>
        <v>0.80381284389846153</v>
      </c>
      <c r="H266" s="35">
        <f t="shared" si="49"/>
        <v>45.219299257608085</v>
      </c>
      <c r="I266" s="35">
        <f t="shared" si="50"/>
        <v>7.2977689928372333</v>
      </c>
      <c r="J266" s="35">
        <f t="shared" si="51"/>
        <v>738899.11052476987</v>
      </c>
      <c r="L266" s="35" t="str">
        <f t="shared" si="52"/>
        <v/>
      </c>
      <c r="M266" s="35" t="str">
        <f t="shared" si="54"/>
        <v/>
      </c>
      <c r="N266" s="35" t="str">
        <f t="shared" si="55"/>
        <v/>
      </c>
      <c r="O266" s="35" t="str">
        <f t="shared" si="56"/>
        <v/>
      </c>
      <c r="P266" s="35" t="str">
        <f t="shared" si="57"/>
        <v/>
      </c>
      <c r="Q266" s="35" t="str">
        <f t="shared" si="58"/>
        <v/>
      </c>
      <c r="R266" s="35" t="str">
        <f t="shared" si="59"/>
        <v/>
      </c>
      <c r="S266" s="35" t="str">
        <f t="shared" si="60"/>
        <v/>
      </c>
    </row>
  </sheetData>
  <conditionalFormatting sqref="J4:K266">
    <cfRule type="colorScale" priority="4">
      <colorScale>
        <cfvo type="min"/>
        <cfvo type="percentile" val="50"/>
        <cfvo type="max"/>
        <color rgb="FFFF0000"/>
        <color rgb="FFFFEB84"/>
        <color rgb="FF00B050"/>
      </colorScale>
    </cfRule>
  </conditionalFormatting>
  <conditionalFormatting sqref="L4:L266">
    <cfRule type="colorScale" priority="6">
      <colorScale>
        <cfvo type="min"/>
        <cfvo type="percentile" val="50"/>
        <cfvo type="max"/>
        <color rgb="FFFF0000"/>
        <color rgb="FFFFEB84"/>
        <color rgb="FF00B050"/>
      </colorScale>
    </cfRule>
  </conditionalFormatting>
  <conditionalFormatting sqref="M4:M26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copies="5" r:id="rId1"/>
  <customProperties>
    <customPr name="IbpWorksheetKeyString_GU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B0032DB6E4C141A8A9FE019A172803" ma:contentTypeVersion="3" ma:contentTypeDescription="Create a new document." ma:contentTypeScope="" ma:versionID="8b0a05e3bf926d5ffad2fb6d3944f7a9">
  <xsd:schema xmlns:xsd="http://www.w3.org/2001/XMLSchema" xmlns:xs="http://www.w3.org/2001/XMLSchema" xmlns:p="http://schemas.microsoft.com/office/2006/metadata/properties" xmlns:ns2="9836c1f9-2370-4215-8ad6-f53a92893a16" targetNamespace="http://schemas.microsoft.com/office/2006/metadata/properties" ma:root="true" ma:fieldsID="ac24f127327ecb204cca1c2bd222c0ba" ns2:_="">
    <xsd:import namespace="9836c1f9-2370-4215-8ad6-f53a92893a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6c1f9-2370-4215-8ad6-f53a92893a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77A837-6331-44A0-8E30-09C28C132D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6E17966-FCA2-410F-9777-A41C99BDE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6c1f9-2370-4215-8ad6-f53a92893a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5566F6-95F2-46E2-8EFA-0C26BFC3A5F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Design Spec</vt:lpstr>
      <vt:lpstr>Preliminary Calculation</vt:lpstr>
      <vt:lpstr>Res. Tank Design</vt:lpstr>
      <vt:lpstr>Power Components</vt:lpstr>
      <vt:lpstr>Device Setting</vt:lpstr>
      <vt:lpstr>CompensationNet&amp;Check</vt:lpstr>
      <vt:lpstr>BOM&amp;Schematics</vt:lpstr>
      <vt:lpstr>RTC</vt:lpstr>
      <vt:lpstr>CC</vt:lpstr>
      <vt:lpstr>OutCap_Sel_DB</vt:lpstr>
    </vt:vector>
  </TitlesOfParts>
  <Manager/>
  <Company>STMicroelectronics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Federico LEVATI</dc:creator>
  <cp:keywords/>
  <dc:description/>
  <cp:lastModifiedBy>Frank KWON</cp:lastModifiedBy>
  <cp:revision/>
  <dcterms:created xsi:type="dcterms:W3CDTF">2025-07-01T11:30:36Z</dcterms:created>
  <dcterms:modified xsi:type="dcterms:W3CDTF">2026-09-08T02:48:44Z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0x01010072B0032DB6E4C141A8A9FE019A172803</vt:lpwstr>
  </property>
  <property fmtid="{D5CDD505-2E9C-101B-9397-08002B2CF9AE}" pid="3" name="IbpWorkbookKeyString_GUID">
    <vt:lpwstr>53293b8f-5b72-451c-af9e-6ad616f0b0e4</vt:lpwstr>
  </property>
</Properties>
</file>