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<sst xmlns="http://schemas.openxmlformats.org/spreadsheetml/2006/main" count="2127" uniqueCount="1232">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</sst>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77-166: the working (gate_budget.py model).</t>
        </is>
      </c>
    </row>
    <row r="153">
      <c r="B153" s="8" t="inlineStr">
        <is>
          <t xml:space="preserve">Power Components</t>
        </is>
      </c>
      <c r="C153" s="8" t="inlineStr">
        <is>
          <t xml:space="preserve">B76:E83</t>
        </is>
      </c>
      <c r="F153" s="8" t="inlineStr">
        <is>
          <t xml:space="preserve">switch gate data (yellow)</t>
        </is>
      </c>
    </row>
    <row r="154">
      <c r="B154" s="8" t="inlineStr">
        <is>
          <t xml:space="preserve">Power Components</t>
        </is>
      </c>
      <c r="C154" s="8" t="inlineStr">
        <is>
          <t xml:space="preserve">B89:G174</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B77:D166</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CC!$C$81</f>
      </c>
      <c r="E97" s="26" t="inlineStr">
        <is>
          <t xml:space="preserve">Ω</t>
        </is>
      </c>
      <c r="F97" s="2"/>
    </row>
    <row r="98">
      <c r="B98" s="1" t="inlineStr">
        <is>
          <t xml:space="preserve">Output resistance, sink: Value = V.test / I.si; type the datasheet value if it gives one</t>
        </is>
      </c>
      <c r="C98" s="1" t="inlineStr">
        <is>
          <t xml:space="preserve">R.o.sink</t>
        </is>
      </c>
      <c r="D98" s="49">
        <f>CC!$C$82</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CC!$C$87</f>
      </c>
      <c r="E125" s="26" t="inlineStr">
        <is>
          <t xml:space="preserve">V</t>
        </is>
      </c>
    </row>
    <row r="126">
      <c r="B126" s="1" t="inlineStr">
        <is>
          <t xml:space="preserve">Minimum gate drive voltage (10 V at the high-side gate)</t>
        </is>
      </c>
      <c r="C126" s="1" t="inlineStr">
        <is>
          <t xml:space="preserve">V.drv.min</t>
        </is>
      </c>
      <c r="D126" s="49">
        <f>CC!$C$86</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start-up pulse)</t>
        </is>
      </c>
      <c r="C128" s="1" t="inlineStr">
        <is>
          <t xml:space="preserve">R.on.max</t>
        </is>
      </c>
      <c r="D128" s="49">
        <f>CC!$C$110</f>
      </c>
      <c r="E128" s="26" t="inlineStr">
        <is>
          <t xml:space="preserve">Ω</t>
        </is>
      </c>
    </row>
    <row r="129">
      <c r="B129" s="1" t="inlineStr">
        <is>
          <t xml:space="preserve">Minimum turn-on resistor: driver temperature, source current (0 = R.so alone covers them)</t>
        </is>
      </c>
      <c r="C129" s="1" t="inlineStr">
        <is>
          <t xml:space="preserve">R.on.min</t>
        </is>
      </c>
      <c r="D129" s="49">
        <f>CC!$C$109</f>
      </c>
      <c r="E129" s="26" t="inlineStr">
        <is>
          <t xml:space="preserve">Ω</t>
        </is>
      </c>
    </row>
    <row r="130">
      <c r="B130" s="1" t="inlineStr">
        <is>
          <t xml:space="preserve">Select R.on between R.on.min and R.on.max (Value: E12)</t>
        </is>
      </c>
      <c r="C130" s="1" t="inlineStr">
        <is>
          <t xml:space="preserve">R.on</t>
        </is>
      </c>
      <c r="D130" s="49">
        <f>CC!$C$112</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CC!$C$140</f>
      </c>
      <c r="E131" s="26" t="inlineStr">
        <is>
          <t xml:space="preserve">Ω</t>
        </is>
      </c>
    </row>
    <row r="132">
      <c r="B132" s="1" t="inlineStr">
        <is>
          <t xml:space="preserve">Minimum turn-off resistor: sink current, D.off surge (0 = R.si alone covers them)</t>
        </is>
      </c>
      <c r="C132" s="1" t="inlineStr">
        <is>
          <t xml:space="preserve">R.off.min</t>
        </is>
      </c>
      <c r="D132" s="49">
        <f>CC!$C$149</f>
      </c>
      <c r="E132" s="26" t="inlineStr">
        <is>
          <t xml:space="preserve">Ω</t>
        </is>
      </c>
    </row>
    <row r="133">
      <c r="B133" s="1" t="inlineStr">
        <is>
          <t xml:space="preserve">Select R.off: with D.off || R.on, or alone on GOFF (Value: E12)</t>
        </is>
      </c>
      <c r="C133" s="1" t="inlineStr">
        <is>
          <t xml:space="preserve">R.off</t>
        </is>
      </c>
      <c r="D133" s="49">
        <f>CC!$C$142</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CC!$C$111</f>
      </c>
      <c r="E134" s="26" t="inlineStr">
        <is>
          <t xml:space="preserve">nF</t>
        </is>
      </c>
    </row>
    <row r="135">
      <c r="B135" s="1" t="inlineStr">
        <is>
          <t xml:space="preserve">Minimum gate-source capacitor against the Miller kick (0 = the turn-off path alone holds)</t>
        </is>
      </c>
      <c r="C135" s="1" t="inlineStr">
        <is>
          <t xml:space="preserve">C.gs.min</t>
        </is>
      </c>
      <c r="D135" s="49">
        <f>CC!$C$119</f>
      </c>
      <c r="E135" s="26" t="inlineStr">
        <is>
          <t xml:space="preserve">nF</t>
        </is>
      </c>
    </row>
    <row r="136">
      <c r="B136" s="1" t="inlineStr">
        <is>
          <t xml:space="preserve">Select C.gs (Value: E6)</t>
        </is>
      </c>
      <c r="C136" s="1" t="inlineStr">
        <is>
          <t xml:space="preserve">C.gs</t>
        </is>
      </c>
      <c r="D136" s="49">
        <f>CC!$C$120</f>
      </c>
      <c r="E136" s="26" t="inlineStr">
        <is>
          <t xml:space="preserve">nF</t>
        </is>
      </c>
      <c r="F136" s="2">
        <v>0</v>
      </c>
    </row>
    <row r="137">
      <c r="B137" s="1" t="inlineStr">
        <is>
          <t xml:space="preserve">Maximum bootstrap capacitor (first LOUT pulse charges it to V.bo.min)</t>
        </is>
      </c>
      <c r="C137" s="1" t="inlineStr">
        <is>
          <t xml:space="preserve">C.boot.max</t>
        </is>
      </c>
      <c r="D137" s="49">
        <f>CC!$C$151</f>
      </c>
      <c r="E137" s="26" t="inlineStr">
        <is>
          <t xml:space="preserve">nF</t>
        </is>
      </c>
    </row>
    <row r="138">
      <c r="B138" s="1" t="inlineStr">
        <is>
          <t xml:space="preserve">Minimum bootstrap capacitor (10 x gate capacitance)</t>
        </is>
      </c>
      <c r="C138" s="1" t="inlineStr">
        <is>
          <t xml:space="preserve">C.boot.min</t>
        </is>
      </c>
      <c r="D138" s="49">
        <f>CC!$C$150</f>
      </c>
      <c r="E138" s="26" t="inlineStr">
        <is>
          <t xml:space="preserve">nF</t>
        </is>
      </c>
    </row>
    <row r="139">
      <c r="B139" s="1" t="inlineStr">
        <is>
          <t xml:space="preserve">Select C.boot between C.boot.min and C.boot.max (Value: E6)</t>
        </is>
      </c>
      <c r="C139" s="1" t="inlineStr">
        <is>
          <t xml:space="preserve">C.boot</t>
        </is>
      </c>
      <c r="D139" s="49">
        <f>CC!$C$152</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CC!$C$154</f>
      </c>
      <c r="E140" s="26" t="inlineStr">
        <is>
          <t xml:space="preserve">Ω</t>
        </is>
      </c>
    </row>
    <row r="141">
      <c r="B141" s="1" t="inlineStr">
        <is>
          <t xml:space="preserve">Minimum bootstrap resistor (D.boot surge into an empty C.boot)</t>
        </is>
      </c>
      <c r="C141" s="1" t="inlineStr">
        <is>
          <t xml:space="preserve">R.boot.min</t>
        </is>
      </c>
      <c r="D141" s="49">
        <f>CC!$C$156</f>
      </c>
      <c r="E141" s="26" t="inlineStr">
        <is>
          <t xml:space="preserve">Ω</t>
        </is>
      </c>
    </row>
    <row r="142">
      <c r="B142" s="1" t="inlineStr">
        <is>
          <t xml:space="preserve">Select R.boot between R.boot.min and R.boot.max (Value: E12)</t>
        </is>
      </c>
      <c r="C142" s="1" t="inlineStr">
        <is>
          <t xml:space="preserve">R.boot</t>
        </is>
      </c>
      <c r="D142" s="49">
        <f>CC!$C$155</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CC!$C$143</f>
      </c>
      <c r="E144" s="26" t="inlineStr">
        <is>
          <t xml:space="preserve">A</t>
        </is>
      </c>
    </row>
    <row r="145">
      <c r="B145" s="1" t="inlineStr">
        <is>
          <t xml:space="preserve">Peak gate current, turn-off</t>
        </is>
      </c>
      <c r="C145" s="1" t="inlineStr">
        <is>
          <t xml:space="preserve">I.G.off.pk</t>
        </is>
      </c>
      <c r="D145" s="49">
        <f>CC!$C$144</f>
      </c>
      <c r="E145" s="26" t="inlineStr">
        <is>
          <t xml:space="preserve">A</t>
        </is>
      </c>
    </row>
    <row r="146">
      <c r="B146" s="1" t="inlineStr">
        <is>
          <t xml:space="preserve">Driver current margin: I.so / I.G.on.pk and I.si / I.G.off.pk (&gt;1)</t>
        </is>
      </c>
      <c r="C146" s="1" t="inlineStr">
        <is>
          <t xml:space="preserve">k.IG</t>
        </is>
      </c>
      <c r="D146" s="49">
        <f>CC!$C$145</f>
      </c>
      <c r="E146" s="26" t="inlineStr">
        <is>
          <t xml:space="preserve">-</t>
        </is>
      </c>
      <c r="F146" s="1">
        <f>IF(D146&gt;=1,"OK","CHECK")</f>
      </c>
    </row>
    <row r="147">
      <c r="B147" s="1" t="inlineStr">
        <is>
          <t xml:space="preserve">Turn-off path resistance (&lt;= R.off.eff.max)</t>
        </is>
      </c>
      <c r="C147" s="1" t="inlineStr">
        <is>
          <t xml:space="preserve">R.off.eff</t>
        </is>
      </c>
      <c r="D147" s="49">
        <f>CC!$C$91</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CC!$C$125</f>
      </c>
      <c r="E148" s="26" t="inlineStr">
        <is>
          <t xml:space="preserve">ns</t>
        </is>
      </c>
    </row>
    <row r="149">
      <c r="B149" s="1" t="inlineStr">
        <is>
          <t xml:space="preserve">Dead time allowed in run (gate on before the current reverses)</t>
        </is>
      </c>
      <c r="C149" s="1" t="inlineStr">
        <is>
          <t xml:space="preserve">t.D.max</t>
        </is>
      </c>
      <c r="D149" s="49">
        <f>CC!$C$126</f>
      </c>
      <c r="E149" s="26" t="inlineStr">
        <is>
          <t xml:space="preserve">ns</t>
        </is>
      </c>
    </row>
    <row r="150">
      <c r="B150" s="1" t="inlineStr">
        <is>
          <t xml:space="preserve">Dead time margin in run (&gt;1)</t>
        </is>
      </c>
      <c r="C150" s="1" t="inlineStr">
        <is>
          <t xml:space="preserve">k.tD</t>
        </is>
      </c>
      <c r="D150" s="49">
        <f>CC!$C$127</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CC!$C$131</f>
      </c>
      <c r="E151" s="26" t="inlineStr">
        <is>
          <t xml:space="preserve">ns</t>
        </is>
      </c>
    </row>
    <row r="152">
      <c r="B152" s="1" t="inlineStr">
        <is>
          <t xml:space="preserve">Start-up dead time allowed (channel on before the current reverses, T/4 at f.SU)</t>
        </is>
      </c>
      <c r="C152" s="1" t="inlineStr">
        <is>
          <t xml:space="preserve">t.D.su.max</t>
        </is>
      </c>
      <c r="D152" s="49">
        <f>CC!$C$132</f>
      </c>
      <c r="E152" s="26" t="inlineStr">
        <is>
          <t xml:space="preserve">ns</t>
        </is>
      </c>
    </row>
    <row r="153">
      <c r="B153" s="1" t="inlineStr">
        <is>
          <t xml:space="preserve">Start-up dead time margin at the IC 420 ns (CC) or the driver t.DT (&gt;1)</t>
        </is>
      </c>
      <c r="C153" s="1" t="inlineStr">
        <is>
          <t xml:space="preserve">k.tD.su</t>
        </is>
      </c>
      <c r="D153" s="49">
        <f>CC!$C$134</f>
      </c>
      <c r="E153" s="26" t="inlineStr">
        <is>
          <t xml:space="preserve">-</t>
        </is>
      </c>
      <c r="F153" s="1">
        <f>IF(D153&gt;=1,"OK","CHECK")</f>
      </c>
    </row>
    <row r="154">
      <c r="B154" s="1" t="inlineStr">
        <is>
          <t xml:space="preserve">Gate voltage at the end of the start-up pulse (&gt;= 10 V)</t>
        </is>
      </c>
      <c r="C154" s="1" t="inlineStr">
        <is>
          <t xml:space="preserve">V.g.su</t>
        </is>
      </c>
      <c r="D154" s="49">
        <f>CC!$C$97</f>
      </c>
      <c r="E154" s="26" t="inlineStr">
        <is>
          <t xml:space="preserve">V</t>
        </is>
      </c>
      <c r="F154" s="1">
        <f>IF(D154&gt;=10,"OK","CHECK")</f>
      </c>
    </row>
    <row r="155">
      <c r="B155" s="1" t="inlineStr">
        <is>
          <t xml:space="preserve">V.BS after the first LOUT pulse (&gt;= V.bo.min)</t>
        </is>
      </c>
      <c r="C155" s="1" t="inlineStr">
        <is>
          <t xml:space="preserve">V.bs.1</t>
        </is>
      </c>
      <c r="D155" s="49">
        <f>CC!$C$161</f>
      </c>
      <c r="E155" s="26" t="inlineStr">
        <is>
          <t xml:space="preserve">V</t>
        </is>
      </c>
      <c r="F155" s="1">
        <f>IF(D155&gt;=D108,"OK","CHECK")</f>
      </c>
    </row>
    <row r="156">
      <c r="B156" s="1" t="inlineStr">
        <is>
          <t xml:space="preserve">V.BS lowest, steady at f.SU</t>
        </is>
      </c>
      <c r="C156" s="1" t="inlineStr">
        <is>
          <t xml:space="preserve">V.bs.min</t>
        </is>
      </c>
      <c r="D156" s="49">
        <f>CC!$C$163</f>
      </c>
      <c r="E156" s="26" t="inlineStr">
        <is>
          <t xml:space="preserve">V</t>
        </is>
      </c>
    </row>
    <row r="157">
      <c r="B157" s="1" t="inlineStr">
        <is>
          <t xml:space="preserve">Gate-off margin against the Miller kick (&gt;1)</t>
        </is>
      </c>
      <c r="C157" s="1" t="inlineStr">
        <is>
          <t xml:space="preserve">k.Miller</t>
        </is>
      </c>
      <c r="D157" s="49">
        <f>CC!$C$118</f>
      </c>
      <c r="E157" s="26" t="inlineStr">
        <is>
          <t xml:space="preserve">-</t>
        </is>
      </c>
      <c r="F157" s="1">
        <f>IF(D157&gt;=1,"OK","CHECK")</f>
      </c>
    </row>
    <row r="158">
      <c r="B158" s="1" t="inlineStr">
        <is>
          <t xml:space="preserve">Midpoint dv/dt at start-up (I.su / c.HB)</t>
        </is>
      </c>
      <c r="C158" s="1" t="inlineStr">
        <is>
          <t xml:space="preserve">dv/dt.su</t>
        </is>
      </c>
      <c r="D158" s="49">
        <f>CC!$C$135</f>
      </c>
      <c r="E158" s="26" t="inlineStr">
        <is>
          <t xml:space="preserve">V/ns</t>
        </is>
      </c>
    </row>
    <row r="159">
      <c r="B159" s="1" t="inlineStr">
        <is>
          <t xml:space="preserve">Driver ratings margin: dV/dt, HS pin voltage, L6790A V.OH 4 V vs V.IH.max (&gt;1)</t>
        </is>
      </c>
      <c r="C159" s="1" t="inlineStr">
        <is>
          <t xml:space="preserve">k.drv</t>
        </is>
      </c>
      <c r="D159" s="49">
        <f>CC!$C$136</f>
      </c>
      <c r="E159" s="26" t="inlineStr">
        <is>
          <t xml:space="preserve">-</t>
        </is>
      </c>
      <c r="F159" s="1">
        <f>IF(D159&gt;=1,"OK","CHECK")</f>
      </c>
    </row>
    <row r="160">
      <c r="B160" s="1" t="inlineStr">
        <is>
          <t xml:space="preserve">Maximum driver dissipation at Ta.drv: (Tj.max - Ta.drv) / Rth</t>
        </is>
      </c>
      <c r="C160" s="1" t="inlineStr">
        <is>
          <t xml:space="preserve">P.drv.max</t>
        </is>
      </c>
      <c r="D160" s="49">
        <f>CC!$C$104</f>
      </c>
      <c r="E160" s="26" t="inlineStr">
        <is>
          <t xml:space="preserve">W</t>
        </is>
      </c>
    </row>
    <row r="161">
      <c r="B161" s="1" t="inlineStr">
        <is>
          <t xml:space="preserve">Driver dissipation at f.Max, both sides (&lt;= P.drv.max)</t>
        </is>
      </c>
      <c r="C161" s="1" t="inlineStr">
        <is>
          <t xml:space="preserve">P.drv</t>
        </is>
      </c>
      <c r="D161" s="49">
        <f>CC!$C$103</f>
      </c>
      <c r="E161" s="26" t="inlineStr">
        <is>
          <t xml:space="preserve">W</t>
        </is>
      </c>
      <c r="F161" s="1">
        <f>IF(D161&lt;=D160,"OK","CHECK")</f>
      </c>
    </row>
    <row r="162">
      <c r="B162" s="1" t="inlineStr">
        <is>
          <t xml:space="preserve">Driver junction temperature at f.Max and Ta.drv</t>
        </is>
      </c>
      <c r="C162" s="1" t="inlineStr">
        <is>
          <t xml:space="preserve">Tj.drv</t>
        </is>
      </c>
      <c r="D162" s="49">
        <f>CC!$C$166</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IF(D163&lt;=MIN(D104,CC!$C$79),"OK","CHECK")</f>
      </c>
    </row>
    <row r="164">
      <c r="B164" s="1" t="inlineStr">
        <is>
          <t xml:space="preserve">R.on dissipation at f.Max (package rating &gt;= 2x)</t>
        </is>
      </c>
      <c r="C164" s="1" t="inlineStr">
        <is>
          <t xml:space="preserve">P.Ron</t>
        </is>
      </c>
      <c r="D164" s="49">
        <f>CC!$C$164</f>
      </c>
      <c r="E164" s="26" t="inlineStr">
        <is>
          <t xml:space="preserve">W</t>
        </is>
      </c>
    </row>
    <row r="165">
      <c r="B165" s="1" t="inlineStr">
        <is>
          <t xml:space="preserve">R.off dissipation at f.Max (package rating &gt;= 2x)</t>
        </is>
      </c>
      <c r="C165" s="1" t="inlineStr">
        <is>
          <t xml:space="preserve">P.Roff</t>
        </is>
      </c>
      <c r="D165" s="49">
        <f>CC!$C$165</f>
      </c>
      <c r="E165" s="26" t="inlineStr">
        <is>
          <t xml:space="preserve">W</t>
        </is>
      </c>
    </row>
    <row r="166">
      <c r="B166" s="1" t="inlineStr">
        <is>
          <t xml:space="preserve">D.boot peak current into an empty C.boot</t>
        </is>
      </c>
      <c r="C166" s="1" t="inlineStr">
        <is>
          <t xml:space="preserve">I.boot.pk</t>
        </is>
      </c>
      <c r="D166" s="49">
        <f>CC!$C$157</f>
      </c>
      <c r="E166" s="26" t="inlineStr">
        <is>
          <t xml:space="preserve">A</t>
        </is>
      </c>
    </row>
    <row r="167">
      <c r="B167" s="1" t="inlineStr">
        <is>
          <t xml:space="preserve">D.boot average current at f.Max</t>
        </is>
      </c>
      <c r="C167" s="1" t="inlineStr">
        <is>
          <t xml:space="preserve">I.boot.avg</t>
        </is>
      </c>
      <c r="D167" s="49">
        <f>CC!$C$158</f>
      </c>
      <c r="E167" s="26" t="inlineStr">
        <is>
          <t xml:space="preserve">mA</t>
        </is>
      </c>
    </row>
    <row r="168">
      <c r="B168" s="1" t="inlineStr">
        <is>
          <t xml:space="preserve">D.boot reverse voltage seen: V.bus.max + V.drv</t>
        </is>
      </c>
      <c r="C168" s="1" t="inlineStr">
        <is>
          <t xml:space="preserve">V.RRM.need</t>
        </is>
      </c>
      <c r="D168" s="49">
        <f>CC!$C$159</f>
      </c>
      <c r="E168" s="26" t="inlineStr">
        <is>
          <t xml:space="preserve">V</t>
        </is>
      </c>
    </row>
    <row r="169">
      <c r="B169" s="1" t="inlineStr">
        <is>
          <t xml:space="preserve">D.boot margin: V.RRM, I.FSM / I.boot.pk, I.F / I.boot.avg (&gt;1)</t>
        </is>
      </c>
      <c r="C169" s="1" t="inlineStr">
        <is>
          <t xml:space="preserve">k.D.boot</t>
        </is>
      </c>
      <c r="D169" s="49">
        <f>CC!$C$160</f>
      </c>
      <c r="E169" s="26" t="inlineStr">
        <is>
          <t xml:space="preserve">-</t>
        </is>
      </c>
      <c r="F169" s="1">
        <f>IF(D169&gt;=1,"OK","CHECK")</f>
      </c>
    </row>
    <row r="170">
      <c r="B170" s="1" t="inlineStr">
        <is>
          <t xml:space="preserve">D.off peak current (gate at V.drv through R.off)</t>
        </is>
      </c>
      <c r="C170" s="1" t="inlineStr">
        <is>
          <t xml:space="preserve">I.off.pk</t>
        </is>
      </c>
      <c r="D170" s="49">
        <f>CC!$C$146</f>
      </c>
      <c r="E170" s="26" t="inlineStr">
        <is>
          <t xml:space="preserve">A</t>
        </is>
      </c>
    </row>
    <row r="171">
      <c r="B171" s="1" t="inlineStr">
        <is>
          <t xml:space="preserve">D.off average current at f.Max</t>
        </is>
      </c>
      <c r="C171" s="1" t="inlineStr">
        <is>
          <t xml:space="preserve">I.off.avg</t>
        </is>
      </c>
      <c r="D171" s="49">
        <f>CC!$C$147</f>
      </c>
      <c r="E171" s="26" t="inlineStr">
        <is>
          <t xml:space="preserve">mA</t>
        </is>
      </c>
    </row>
    <row r="172">
      <c r="B172" s="1" t="inlineStr">
        <is>
          <t xml:space="preserve">D.off margin: I.FSM / I.off.pk, I.F / I.off.avg (&gt;1; "-" without D.off)</t>
        </is>
      </c>
      <c r="C172" s="1" t="inlineStr">
        <is>
          <t xml:space="preserve">k.D.off</t>
        </is>
      </c>
      <c r="D172" s="49">
        <f>CC!$C$148</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STL160N10F8</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0.0032</v>
      </c>
      <c r="E190" s="26" t="s">
        <v>175</v>
      </c>
    </row>
    <row r="191" spans="2:5" ht="15" customHeight="1">
      <c r="B191" s="1" t="s">
        <v>423</v>
      </c>
      <c r="C191" s="1" t="s">
        <v>424</v>
      </c>
      <c r="D191" s="2">
        <v>25</v>
      </c>
      <c r="E191" s="26" t="s">
        <v>425</v>
      </c>
    </row>
    <row r="192" spans="2:5" ht="15">
      <c r="B192" s="1" t="s">
        <v>1217</v>
      </c>
      <c r="C192" s="1" t="s">
        <v>1098</v>
      </c>
      <c r="D192" s="2">
        <v>1.5</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6"/>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from the short-circuit current: V.test / I.so</t>
        </is>
      </c>
      <c r="C81" s="87">
        <f>'Power Components'!$D$96/'Power Components'!$D$94</f>
      </c>
      <c r="D81" s="10" t="inlineStr">
        <is>
          <t xml:space="preserve">Ω</t>
        </is>
      </c>
    </row>
    <row r="82">
      <c r="B82" s="10" t="inlineStr">
        <is>
          <t xml:space="preserve">Driver sink resistance from the short-circuit current: V.test / I.si</t>
        </is>
      </c>
      <c r="C82" s="87">
        <f>'Power Components'!$D$96/'Power Components'!$D$95</f>
      </c>
      <c r="D82" s="10" t="inlineStr">
        <is>
          <t xml:space="preserve">Ω</t>
        </is>
      </c>
    </row>
    <row r="83">
      <c r="B83" s="10" t="inlineStr">
        <is>
          <t xml:space="preserve">Driver source resistance in use: the typed datasheet value, else V.test / I.so</t>
        </is>
      </c>
      <c r="C83" s="87">
        <f>IF(ISNUMBER('Power Components'!$F$97),'Power Components'!$F$97,C81)</f>
      </c>
      <c r="D83" s="10" t="inlineStr">
        <is>
          <t xml:space="preserve">Ω</t>
        </is>
      </c>
    </row>
    <row r="84">
      <c r="B84" s="10" t="inlineStr">
        <is>
          <t xml:space="preserve">Driver sink resistance in use: the typed datasheet value, else V.test / I.si</t>
        </is>
      </c>
      <c r="C84" s="87">
        <f>IF(ISNUMBER('Power Components'!$F$98),'Power Components'!$F$98,C82)</f>
      </c>
      <c r="D84" s="10" t="inlineStr">
        <is>
          <t xml:space="preserve">Ω</t>
        </is>
      </c>
    </row>
    <row r="85">
      <c r="B85" s="10" t="inlineStr">
        <is>
          <t xml:space="preserve">V.drv (selected)</t>
        </is>
      </c>
      <c r="C85" s="87">
        <f>'Power Components'!$F$127</f>
      </c>
      <c r="D85" s="10" t="inlineStr">
        <is>
          <t xml:space="preserve">V</t>
        </is>
      </c>
    </row>
    <row r="86">
      <c r="B86" s="10" t="inlineStr">
        <is>
          <t xml:space="preserve">V.drv min: driver range, and 10 V at the high-side gate after D.boot</t>
        </is>
      </c>
      <c r="C86" s="87">
        <f>MAX('Power Components'!$D$99,10+'Power Components'!$D$115)</f>
      </c>
      <c r="D86" s="10" t="inlineStr">
        <is>
          <t xml:space="preserve">V</t>
        </is>
      </c>
    </row>
    <row r="87">
      <c r="B87" s="10" t="inlineStr">
        <is>
          <t xml:space="preserve">V.drv max: driver range and the MOSFET V.gs rating</t>
        </is>
      </c>
      <c r="C87" s="87">
        <f>MIN('Power Components'!$D$100,'Power Components'!$D$83)</f>
      </c>
      <c r="D87" s="10" t="inlineStr">
        <is>
          <t xml:space="preserve">V</t>
        </is>
      </c>
    </row>
    <row r="88">
      <c r="B88" s="10" t="inlineStr">
        <is>
          <t xml:space="preserve">Highest bus: sqrt(2) x VAC.max</t>
        </is>
      </c>
      <c r="C88" s="87">
        <f>SQRT(2)*'Design Spec'!$D$14</f>
      </c>
      <c r="D88" s="10" t="inlineStr">
        <is>
          <t xml:space="preserve">V</t>
        </is>
      </c>
    </row>
    <row r="89">
      <c r="B89" s="10" t="inlineStr">
        <is>
          <t xml:space="preserve">Gate capacitance per position: n.par x C.g + C.gs</t>
        </is>
      </c>
      <c r="C89" s="87">
        <f>'Power Components'!$D$68*'Power Components'!$D$76+'Power Components'!$F$136</f>
      </c>
      <c r="D89" s="10" t="inlineStr">
        <is>
          <t xml:space="preserve">nF</t>
        </is>
      </c>
    </row>
    <row r="90">
      <c r="B90" s="10" t="inlineStr">
        <is>
          <t xml:space="preserve">Internal gate resistance per position</t>
        </is>
      </c>
      <c r="C90" s="87">
        <f>'Power Components'!$D$78/'Power Components'!$D$68</f>
      </c>
      <c r="D90" s="10" t="inlineStr">
        <is>
          <t xml:space="preserve">Ω</t>
        </is>
      </c>
    </row>
    <row r="91">
      <c r="B91" s="10" t="inlineStr">
        <is>
          <t xml:space="preserve">Turn-off path resistance</t>
        </is>
      </c>
      <c r="C91" s="87">
        <f>IF('Power Components'!$D$121=0,'Power Components'!$F$133,IF('Power Components'!$F$133&gt;0,'Power Components'!$F$133*'Power Components'!$F$130/('Power Components'!$F$133+'Power Components'!$F$130),'Power Components'!$F$130))</f>
      </c>
      <c r="D91" s="10" t="inlineStr">
        <is>
          <t xml:space="preserve">Ω</t>
        </is>
      </c>
    </row>
    <row r="92">
      <c r="B92" s="10" t="inlineStr">
        <is>
          <t xml:space="preserve">Turn-off path offset (D.off)</t>
        </is>
      </c>
      <c r="C92" s="87">
        <f>IF(AND('Power Components'!$D$121&gt;0,'Power Components'!$F$133&gt;0),'Power Components'!$D$121*'Power Components'!$F$130/('Power Components'!$F$133+'Power Components'!$F$130),0)</f>
      </c>
      <c r="D92" s="10" t="inlineStr">
        <is>
          <t xml:space="preserve">V</t>
        </is>
      </c>
    </row>
    <row r="93">
      <c r="B93" s="10" t="inlineStr">
        <is>
          <t xml:space="preserve">τ.on = (R.so + R.on + R.gi) C.G</t>
        </is>
      </c>
      <c r="C93" s="87">
        <f>(C83+'Power Components'!$F$130+C90)*C89</f>
      </c>
      <c r="D93" s="10" t="inlineStr">
        <is>
          <t xml:space="preserve">ns</t>
        </is>
      </c>
    </row>
    <row r="94">
      <c r="B94" s="10" t="inlineStr">
        <is>
          <t xml:space="preserve">τ.off = (R.si + R.off.eff + R.gi) C.G</t>
        </is>
      </c>
      <c r="C94" s="87">
        <f>(C84+C91+C90)*C89</f>
      </c>
      <c r="D94" s="10" t="inlineStr">
        <is>
          <t xml:space="preserve">ns</t>
        </is>
      </c>
    </row>
    <row r="95">
      <c r="B95" s="10" t="inlineStr">
        <is>
          <t xml:space="preserve">Start-up pulse T/2 - max(t.D.su, t.DT) (also the first LOUT pulse)</t>
        </is>
      </c>
      <c r="C95" s="87">
        <f>10^6/(2*'Device Setting'!$D$29)-MAX(C78,'Power Components'!$D$103)</f>
      </c>
      <c r="D95" s="10" t="inlineStr">
        <is>
          <t xml:space="preserve">ns</t>
        </is>
      </c>
    </row>
    <row r="96">
      <c r="B96" s="10" t="inlineStr">
        <is>
          <t xml:space="preserve">Pulse at f.Max: T/2 - t.D</t>
        </is>
      </c>
      <c r="C96" s="87">
        <f>10^6/(2*'Device Setting'!$D$27)-MAX('Design Spec'!$D$47,'Power Components'!$D$103)</f>
      </c>
      <c r="D96" s="10" t="inlineStr">
        <is>
          <t xml:space="preserve">ns</t>
        </is>
      </c>
    </row>
    <row r="97">
      <c r="B97" s="10" t="inlineStr">
        <is>
          <t xml:space="preserve">Gate voltage at the end of the start-up pulse</t>
        </is>
      </c>
      <c r="C97" s="87">
        <f>C85*(1-EXP(-C95/C93))</f>
      </c>
      <c r="D97" s="10" t="inlineStr">
        <is>
          <t xml:space="preserve">V</t>
        </is>
      </c>
    </row>
    <row r="98">
      <c r="B98" s="10" t="inlineStr">
        <is>
          <t xml:space="preserve">Gate voltage at the end of the f.Max pulse</t>
        </is>
      </c>
      <c r="C98" s="87">
        <f>C85*(1-EXP(-C96/C93))</f>
      </c>
      <c r="D98" s="10" t="inlineStr">
        <is>
          <t xml:space="preserve">V</t>
        </is>
      </c>
    </row>
    <row r="99">
      <c r="B99" s="10" t="inlineStr">
        <is>
          <t xml:space="preserve">Energy per turn-on at f.Max</t>
        </is>
      </c>
      <c r="C99" s="87">
        <f>C89*C98*(C85-C98/2)</f>
      </c>
      <c r="D99" s="10" t="inlineStr">
        <is>
          <t xml:space="preserve">nJ</t>
        </is>
      </c>
    </row>
    <row r="100">
      <c r="B100" s="10" t="inlineStr">
        <is>
          <t xml:space="preserve">Energy per turn-off at f.Max</t>
        </is>
      </c>
      <c r="C100" s="87">
        <f>C89*C98^2/2</f>
      </c>
      <c r="D100" s="10" t="inlineStr">
        <is>
          <t xml:space="preserve">nJ</t>
        </is>
      </c>
    </row>
    <row r="101">
      <c r="B101" s="10" t="inlineStr">
        <is>
          <t xml:space="preserve">Driver share of the turn-on energy</t>
        </is>
      </c>
      <c r="C101" s="87">
        <f>C83/(C83+'Power Components'!$F$130+C90)</f>
      </c>
      <c r="D101" s="10" t="inlineStr">
        <is>
          <t xml:space="preserve">-</t>
        </is>
      </c>
    </row>
    <row r="102">
      <c r="B102" s="10" t="inlineStr">
        <is>
          <t xml:space="preserve">Driver share of the turn-off energy</t>
        </is>
      </c>
      <c r="C102" s="87">
        <f>C84/(C84+C91+C90)</f>
      </c>
      <c r="D102" s="10" t="inlineStr">
        <is>
          <t xml:space="preserve">-</t>
        </is>
      </c>
    </row>
    <row r="103">
      <c r="B103" s="10" t="inlineStr">
        <is>
          <t xml:space="preserve">Driver power at f.Max, both positions + quiescent</t>
        </is>
      </c>
      <c r="C103" s="87">
        <f>2*(C99*C101+C100*C102)*'Device Setting'!$D$27*10^-6+'Power Components'!$D$105*C85/1000</f>
      </c>
      <c r="D103" s="10" t="inlineStr">
        <is>
          <t xml:space="preserve">W</t>
        </is>
      </c>
    </row>
    <row r="104">
      <c r="B104" s="10" t="inlineStr">
        <is>
          <t xml:space="preserve">Driver power allowed: (Tj.max - Ta.drv) / Rth</t>
        </is>
      </c>
      <c r="C104" s="87">
        <f>('Power Components'!$D$107-'Power Components'!$D$112)/'Power Components'!$D$106</f>
      </c>
      <c r="D104" s="10" t="inlineStr">
        <is>
          <t xml:space="preserve">W</t>
        </is>
      </c>
    </row>
    <row r="105">
      <c r="B105" s="10" t="inlineStr">
        <is>
          <t xml:space="preserve">Driver gate-power budget: allowed - quiescent</t>
        </is>
      </c>
      <c r="C105" s="87">
        <f>C104-'Power Components'!$D$105*C85/1000</f>
      </c>
      <c r="D105" s="10" t="inlineStr">
        <is>
          <t xml:space="preserve">W</t>
        </is>
      </c>
    </row>
    <row r="106">
      <c r="B106" s="10" t="inlineStr">
        <is>
          <t xml:space="preserve">Turn-on share the budget allows</t>
        </is>
      </c>
      <c r="C106" s="87">
        <f>(C105-2*C100*C102*'Device Setting'!$D$27*10^-6)/(2*C99*'Device Setting'!$D$27*10^-6)</f>
      </c>
      <c r="D106" s="10" t="inlineStr">
        <is>
          <t xml:space="preserve">-</t>
        </is>
      </c>
    </row>
    <row r="107">
      <c r="B107" s="10" t="inlineStr">
        <is>
          <t xml:space="preserve">R.on min for the driver temperature</t>
        </is>
      </c>
      <c r="C107" s="87">
        <f>IF(C106&lt;=0,"lower V.drv",MAX(0,C83/C106-C83-C90))</f>
      </c>
      <c r="D107" s="10" t="inlineStr">
        <is>
          <t xml:space="preserve">Ω</t>
        </is>
      </c>
    </row>
    <row r="108">
      <c r="B108" s="10" t="inlineStr">
        <is>
          <t xml:space="preserve">R.on min for the driver source current: V.drv / I.so - R.so - R.gi</t>
        </is>
      </c>
      <c r="C108" s="87">
        <f>MAX(0,C85/'Power Components'!$D$94-C83-C90)</f>
      </c>
      <c r="D108" s="10" t="inlineStr">
        <is>
          <t xml:space="preserve">Ω</t>
        </is>
      </c>
    </row>
    <row r="109">
      <c r="B109" s="10" t="inlineStr">
        <is>
          <t xml:space="preserve">R.on min: the larger of the two</t>
        </is>
      </c>
      <c r="C109" s="87">
        <f>IF(ISNUMBER(C107),MAX(C107,C108),C107)</f>
      </c>
      <c r="D109" s="10" t="inlineStr">
        <is>
          <t xml:space="preserve">Ω</t>
        </is>
      </c>
    </row>
    <row r="110">
      <c r="B110" s="10" t="inlineStr">
        <is>
          <t xml:space="preserve">R.on max: the gate reaches 10 V within the shorter pulse (start-up, f.Max)</t>
        </is>
      </c>
      <c r="C110" s="87">
        <f>IF(C85&gt;10,MIN(C95,C96)/(C89*LN(C85/(C85-10)))-C83-C90,0)</f>
      </c>
      <c r="D110" s="10" t="inlineStr">
        <is>
          <t xml:space="preserve">Ω</t>
        </is>
      </c>
    </row>
    <row r="111">
      <c r="B111" s="10" t="inlineStr">
        <is>
          <t xml:space="preserve">C.gs max: the gate still reaches 10 V within that pulse with the selected R.on</t>
        </is>
      </c>
      <c r="C111" s="87">
        <f>IF(C85&gt;10,MAX(0,MIN(C95,C96)/((C83+'Power Components'!$F$130+C90)*LN(C85/(C85-10)))-'Power Components'!$D$68*'Power Components'!$D$76),0)</f>
      </c>
      <c r="D111" s="10" t="inlineStr">
        <is>
          <t xml:space="preserve">nF</t>
        </is>
      </c>
    </row>
    <row r="112">
      <c r="B112" s="10" t="inlineStr">
        <is>
          <t xml:space="preserve">R.on recommended: the log middle of min .. max, E12 below</t>
        </is>
      </c>
      <c r="C112" s="87">
        <f>IF(ISNUMBER(C109),IF((SQRT(MAX(C109,1)*MAX(C110,1)))&lt;=0,0,10^INT(LOG10((SQRT(MAX(C109,1)*MAX(C110,1)))*1.000001))*LOOKUP((SQRT(MAX(C109,1)*MAX(C110,1)))*1.000001/10^INT(LOG10((SQRT(MAX(C109,1)*MAX(C110,1)))*1.000001)),{1,1.2,1.5,1.8,2.2,2.7,3.3,3.9,4.7,5.6,6.8,8.2})),C109)</f>
      </c>
      <c r="D112" s="10" t="inlineStr">
        <is>
          <t xml:space="preserve">Ω</t>
        </is>
      </c>
    </row>
    <row r="113">
      <c r="B113" s="10" t="inlineStr">
        <is>
          <t xml:space="preserve">Midpoint swing in run: c.HB V.bus,max / I.Lm.pk</t>
        </is>
      </c>
      <c r="C113" s="87">
        <f>'Design Spec'!$D$46*SQRT(2)*'Design Spec'!$D$14/'Res. Tank Design'!$D$73/1000</f>
      </c>
      <c r="D113" s="10" t="inlineStr">
        <is>
          <t xml:space="preserve">ns</t>
        </is>
      </c>
    </row>
    <row r="114">
      <c r="B114" s="10" t="inlineStr">
        <is>
          <t xml:space="preserve">Midpoint swing at start-up: c.HB V.bus,FB / I.su</t>
        </is>
      </c>
      <c r="C114" s="87">
        <f>'Design Spec'!$D$46*C80/'Res. Tank Design'!$D$84/1000</f>
      </c>
      <c r="D114" s="10" t="inlineStr">
        <is>
          <t xml:space="preserve">ns</t>
        </is>
      </c>
    </row>
    <row r="115">
      <c r="B115" s="10" t="inlineStr">
        <is>
          <t xml:space="preserve">Miller current into an off gate during the faster swing</t>
        </is>
      </c>
      <c r="C115" s="87">
        <f>'Power Components'!$D$68*'Power Components'!$D$82/MIN(C113,C114)</f>
      </c>
      <c r="D115" s="10" t="inlineStr">
        <is>
          <t xml:space="preserve">A</t>
        </is>
      </c>
    </row>
    <row r="116">
      <c r="B116" s="10" t="inlineStr">
        <is>
          <t xml:space="preserve">Gate kick, resistive estimate: i.M x sink path</t>
        </is>
      </c>
      <c r="C116" s="87">
        <f>C115*(C84+C91+C90)</f>
      </c>
      <c r="D116" s="10" t="inlineStr">
        <is>
          <t xml:space="preserve">V</t>
        </is>
      </c>
    </row>
    <row r="117">
      <c r="B117" s="10" t="inlineStr">
        <is>
          <t xml:space="preserve">Gate kick, capacitive bound: Q.gd / (C.gs + C.gs option)</t>
        </is>
      </c>
      <c r="C117" s="87">
        <f>'Power Components'!$D$68*'Power Components'!$D$82/('Power Components'!$D$68*'Power Components'!$D$77+'Power Components'!$F$136)</f>
      </c>
      <c r="D117" s="10" t="inlineStr">
        <is>
          <t xml:space="preserve">V</t>
        </is>
      </c>
    </row>
    <row r="118">
      <c r="B118" s="10" t="inlineStr">
        <is>
          <t xml:space="preserve">k.Miller = V.th min / the smaller kick</t>
        </is>
      </c>
      <c r="C118" s="87">
        <f>'Power Components'!$D$81/MIN(C116,C117)</f>
      </c>
      <c r="D118" s="10" t="inlineStr">
        <is>
          <t xml:space="preserve">-</t>
        </is>
      </c>
    </row>
    <row r="119">
      <c r="B119" s="10" t="inlineStr">
        <is>
          <t xml:space="preserve">C.gs needed (0 if the gate holds without it)</t>
        </is>
      </c>
      <c r="C119" s="87">
        <f>IF(MIN(C116,C117)&lt;='Power Components'!$D$81,0,MAX(0,'Power Components'!$D$68*('Power Components'!$D$82/'Power Components'!$D$81-'Power Components'!$D$77)))</f>
      </c>
      <c r="D119" s="10" t="inlineStr">
        <is>
          <t xml:space="preserve">nF</t>
        </is>
      </c>
    </row>
    <row r="120">
      <c r="B120" s="10" t="inlineStr">
        <is>
          <t xml:space="preserve">C.gs suggested: E6 above the need</t>
        </is>
      </c>
      <c r="C120" s="87">
        <f>IF(C119=0,0,IF((C119)&lt;=0,0,-10^INT(LOG10((C119)*0.999999))*LOOKUP(-(C119)*0.999999/10^INT(LOG10((C119)*0.999999)),{-10,-6.8,-4.7,-3.3,-2.2,-1.5,-1})))</f>
      </c>
      <c r="D120" s="10" t="inlineStr">
        <is>
          <t xml:space="preserve">nF</t>
        </is>
      </c>
    </row>
    <row r="121">
      <c r="B121" s="10" t="inlineStr">
        <is>
          <t xml:space="preserve">t.on: IC edge -&gt; V.th</t>
        </is>
      </c>
      <c r="C121" s="87">
        <f>'Power Components'!$D$101+C93*LN(C85/(C85-'Power Components'!$D$80))</f>
      </c>
      <c r="D121" s="10" t="inlineStr">
        <is>
          <t xml:space="preserve">ns</t>
        </is>
      </c>
    </row>
    <row r="122">
      <c r="B122" s="10" t="inlineStr">
        <is>
          <t xml:space="preserve">IC edge -&gt; plateau on the way up</t>
        </is>
      </c>
      <c r="C122" s="87">
        <f>'Power Components'!$D$101+C93*LN(C85/(C85-'Power Components'!$D$79))</f>
      </c>
      <c r="D122" s="10" t="inlineStr">
        <is>
          <t xml:space="preserve">ns</t>
        </is>
      </c>
    </row>
    <row r="123">
      <c r="B123" s="10" t="inlineStr">
        <is>
          <t xml:space="preserve">t.off: IC edge -&gt; below V.th min</t>
        </is>
      </c>
      <c r="C123" s="87">
        <f>IF('Power Components'!$D$81&gt;C92,'Power Components'!$D$101+C94*LN((C85-C92)/('Power Components'!$D$81-C92)),"never")</f>
      </c>
      <c r="D123" s="10" t="inlineStr">
        <is>
          <t xml:space="preserve">ns</t>
        </is>
      </c>
    </row>
    <row r="124">
      <c r="B124" s="10" t="inlineStr">
        <is>
          <t xml:space="preserve">IC edge -&gt; plateau on the way down</t>
        </is>
      </c>
      <c r="C124" s="87">
        <f>'Power Components'!$D$101+C94*LN((C85-C92)/('Power Components'!$D$79-C92))</f>
      </c>
      <c r="D124" s="10" t="inlineStr">
        <is>
          <t xml:space="preserve">ns</t>
        </is>
      </c>
    </row>
    <row r="125">
      <c r="B125" s="10" t="inlineStr">
        <is>
          <t xml:space="preserve">t.D.need = (t.off.pl - t.pd) + swing - (t.on - t.pd) + MT</t>
        </is>
      </c>
      <c r="C125" s="87">
        <f>C124-C121+C113+'Power Components'!$D$102</f>
      </c>
      <c r="D125" s="10" t="inlineStr">
        <is>
          <t xml:space="preserve">ns</t>
        </is>
      </c>
    </row>
    <row r="126">
      <c r="B126" s="10" t="inlineStr">
        <is>
          <t xml:space="preserve">t.D.max = T/4 at f.Max + (t.off.pl - t.on.pl) - MT: on at the plateau before the reversal</t>
        </is>
      </c>
      <c r="C126" s="87">
        <f>10^6/(4*'Device Setting'!$D$27)+C124-C122-'Power Components'!$D$102</f>
      </c>
      <c r="D126" s="10" t="inlineStr">
        <is>
          <t xml:space="preserve">ns</t>
        </is>
      </c>
    </row>
    <row r="127">
      <c r="B127" s="10" t="inlineStr">
        <is>
          <t xml:space="preserve">k.tD = min(max(420, t.DT) / need, t.D.max / max(need, t.DT))</t>
        </is>
      </c>
      <c r="C127" s="87">
        <f>MIN(MAX(420,'Power Components'!$D$103)/C125,C126/MAX(C125,'Power Components'!$D$103))</f>
      </c>
      <c r="D127" s="10" t="inlineStr">
        <is>
          <t xml:space="preserve">-</t>
        </is>
      </c>
    </row>
    <row r="128">
      <c r="B128" s="10" t="inlineStr">
        <is>
          <t xml:space="preserve">Start-up edge current, HB on V.bus.max / 2</t>
        </is>
      </c>
      <c r="C128" s="87">
        <f>(C88/2)/'Res. Tank Design'!$D$52*TAN(PI()*'Res. Tank Design'!$D$55/(2*'Device Setting'!$D$29))</f>
      </c>
      <c r="D128" s="10" t="inlineStr">
        <is>
          <t xml:space="preserve">A</t>
        </is>
      </c>
    </row>
    <row r="129">
      <c r="B129" s="10" t="inlineStr">
        <is>
          <t xml:space="preserve">Midpoint swing at start-up, HB: c.HB V.bus.max / I.su.HB</t>
        </is>
      </c>
      <c r="C129" s="87">
        <f>'Design Spec'!$D$46*C88/C128/1000</f>
      </c>
      <c r="D129" s="10" t="inlineStr">
        <is>
          <t xml:space="preserve">ns</t>
        </is>
      </c>
    </row>
    <row r="130">
      <c r="B130" s="10" t="inlineStr">
        <is>
          <t xml:space="preserve">Turn-off delay to the plateau from V.g.su (no t.pd)</t>
        </is>
      </c>
      <c r="C130" s="87">
        <f>C94*LN((C97-C92)/('Power Components'!$D$79-C92))</f>
      </c>
      <c r="D130" s="10" t="inlineStr">
        <is>
          <t xml:space="preserve">ns</t>
        </is>
      </c>
    </row>
    <row r="131">
      <c r="B131" s="10" t="inlineStr">
        <is>
          <t xml:space="preserve">t.D.su.min = t.off.su + max(T.T.su FB, HB) - (t.on - t.pd) + MT</t>
        </is>
      </c>
      <c r="C131" s="87">
        <f>C130+MAX(C114,C129)-(C121-'Power Components'!$D$101)+'Power Components'!$D$102</f>
      </c>
      <c r="D131" s="10" t="inlineStr">
        <is>
          <t xml:space="preserve">ns</t>
        </is>
      </c>
    </row>
    <row r="132">
      <c r="B132" s="10" t="inlineStr">
        <is>
          <t xml:space="preserve">t.D.su.max = t.off.su + T/4 at f.SU - (t.on.pl - t.pd) - MT</t>
        </is>
      </c>
      <c r="C132" s="87">
        <f>C130+10^6/(4*'Device Setting'!$D$29)-(C122-'Power Components'!$D$101)-'Power Components'!$D$102</f>
      </c>
      <c r="D132" s="10" t="inlineStr">
        <is>
          <t xml:space="preserve">ns</t>
        </is>
      </c>
    </row>
    <row r="133">
      <c r="B133" s="10" t="inlineStr">
        <is>
          <t xml:space="preserve">Start-up dead time in force: max(IC 420 ns assumed, driver t.DT)</t>
        </is>
      </c>
      <c r="C133" s="87">
        <f>MAX(C78,'Power Components'!$D$103)</f>
      </c>
      <c r="D133" s="10" t="inlineStr">
        <is>
          <t xml:space="preserve">ns</t>
        </is>
      </c>
    </row>
    <row r="134">
      <c r="B134" s="10" t="inlineStr">
        <is>
          <t xml:space="preserve">k.tD.su = min(t.D.su / t.D.su.min, t.D.su.max / t.D.su)</t>
        </is>
      </c>
      <c r="C134" s="87">
        <f>MIN(C133/C131,C132/C133)</f>
      </c>
      <c r="D134" s="10" t="inlineStr">
        <is>
          <t xml:space="preserve">-</t>
        </is>
      </c>
    </row>
    <row r="135">
      <c r="B135" s="10" t="inlineStr">
        <is>
          <t xml:space="preserve">Midpoint dv/dt at start-up: max(I.su FB, HB) / c.HB</t>
        </is>
      </c>
      <c r="C135" s="87">
        <f>MAX('Res. Tank Design'!$D$84,C128)/'Design Spec'!$D$46*1000</f>
      </c>
      <c r="D135" s="10" t="inlineStr">
        <is>
          <t xml:space="preserve">V/ns</t>
        </is>
      </c>
    </row>
    <row r="136">
      <c r="B136" s="10" t="inlineStr">
        <is>
          <t xml:space="preserve">k.drv = min(dV/dt.max / dv/dt.su, V.hs.max / V.bus.max, 4 V / V.IH.max)</t>
        </is>
      </c>
      <c r="C136" s="87">
        <f>MIN('Power Components'!$D$109/C135,'Power Components'!$D$110/C88,4/'Power Components'!$D$111)</f>
      </c>
      <c r="D136" s="10" t="inlineStr">
        <is>
          <t xml:space="preserve">-</t>
        </is>
      </c>
    </row>
    <row r="137">
      <c r="B137" s="10" t="inlineStr">
        <is>
          <t xml:space="preserve">Turn-off path that holds the gate below V.th min against the Miller current</t>
        </is>
      </c>
      <c r="C137" s="87">
        <f>'Power Components'!$D$81/C115-C84-C90</f>
      </c>
      <c r="D137" s="10" t="inlineStr">
        <is>
          <t xml:space="preserve">Ω</t>
        </is>
      </c>
    </row>
    <row r="138">
      <c r="B138" s="10" t="inlineStr">
        <is>
          <t xml:space="preserve">Turn-off path that has the gate below V.th min before the other side reaches V.th min (t.D + its delay)</t>
        </is>
      </c>
      <c r="C138" s="87">
        <f>(MAX('Design Spec'!$D$47,'Power Components'!$D$103)+C93*LN(C85/(C85-'Power Components'!$D$81)))/(LN((C85-C92)/('Power Components'!$D$81-C92))*C89)-C84-C90</f>
      </c>
      <c r="D138" s="10" t="inlineStr">
        <is>
          <t xml:space="preserve">Ω</t>
        </is>
      </c>
    </row>
    <row r="139">
      <c r="B139" s="10" t="inlineStr">
        <is>
          <t xml:space="preserve">Turn-off path that lets the channel go (V.pl -&gt; V.th) within the run swing T.T.run</t>
        </is>
      </c>
      <c r="C139" s="87">
        <f>C113/(LN(('Power Components'!$D$79-C92)/('Power Components'!$D$80-C92))*C89)-C84-C90</f>
      </c>
      <c r="D139" s="10" t="inlineStr">
        <is>
          <t xml:space="preserve">Ω</t>
        </is>
      </c>
    </row>
    <row r="140">
      <c r="B140" s="10" t="inlineStr">
        <is>
          <t xml:space="preserve">Turn-off path max: overlap and soft turn-off, and Miller unless C.gs alone holds</t>
        </is>
      </c>
      <c r="C140" s="87">
        <f>MIN(C138,C139,IF(C117&lt;='Power Components'!$D$81,1E+9,C137))</f>
      </c>
      <c r="D140" s="10" t="inlineStr">
        <is>
          <t xml:space="preserve">Ω</t>
        </is>
      </c>
    </row>
    <row r="141">
      <c r="B141" s="10" t="inlineStr">
        <is>
          <t xml:space="preserve">R.off that brings the path to half its max (in parallel with R.on unless V.F = 0)</t>
        </is>
      </c>
      <c r="C141" s="87">
        <f>IF('Power Components'!$D$121=0,C140/2,IF(C140/2&gt;='Power Components'!$F$130,1E+9,1/(2/C140-1/'Power Components'!$F$130)))</f>
      </c>
      <c r="D141" s="10" t="inlineStr">
        <is>
          <t xml:space="preserve">Ω</t>
        </is>
      </c>
    </row>
    <row r="142">
      <c r="B142" s="10" t="inlineStr">
        <is>
          <t xml:space="preserve">R.off suggested: GOFF - half the max; with D.off - min(R.on / 2, that need), E12 below</t>
        </is>
      </c>
      <c r="C142" s="87">
        <f>IF(C140&lt;=0,0,IF((IF('Power Components'!$D$121=0,C141,MIN('Power Components'!$F$130/2,C141)))&lt;=0,0,10^INT(LOG10((IF('Power Components'!$D$121=0,C141,MIN('Power Components'!$F$130/2,C141)))*1.000001))*LOOKUP((IF('Power Components'!$D$121=0,C141,MIN('Power Components'!$F$130/2,C141)))*1.000001/10^INT(LOG10((IF('Power Components'!$D$121=0,C141,MIN('Power Components'!$F$130/2,C141)))*1.000001)),{1,1.2,1.5,1.8,2.2,2.7,3.3,3.9,4.7,5.6,6.8,8.2})))</f>
      </c>
      <c r="D142" s="10" t="inlineStr">
        <is>
          <t xml:space="preserve">Ω</t>
        </is>
      </c>
    </row>
    <row r="143">
      <c r="B143" s="10" t="inlineStr">
        <is>
          <t xml:space="preserve">Peak gate current, turn-on: V.drv / (R.so + R.on + R.gi)</t>
        </is>
      </c>
      <c r="C143" s="87">
        <f>C85/(C83+'Power Components'!$F$130+C90)</f>
      </c>
      <c r="D143" s="10" t="inlineStr">
        <is>
          <t xml:space="preserve">A</t>
        </is>
      </c>
    </row>
    <row r="144">
      <c r="B144" s="10" t="inlineStr">
        <is>
          <t xml:space="preserve">Peak gate current, turn-off: (V.drv - V.off.eff) / (R.si + R.off.eff + R.gi)</t>
        </is>
      </c>
      <c r="C144" s="87">
        <f>(C85-C92)/(C84+C91+C90)</f>
      </c>
      <c r="D144" s="10" t="inlineStr">
        <is>
          <t xml:space="preserve">A</t>
        </is>
      </c>
    </row>
    <row r="145">
      <c r="B145" s="10" t="inlineStr">
        <is>
          <t xml:space="preserve">k.IG = min(I.so / I.on, I.si / I.off)</t>
        </is>
      </c>
      <c r="C145" s="87">
        <f>MIN('Power Components'!$D$94/C143,'Power Components'!$D$95/C144)</f>
      </c>
      <c r="D145" s="10" t="inlineStr">
        <is>
          <t xml:space="preserve">-</t>
        </is>
      </c>
    </row>
    <row r="146">
      <c r="B146" s="10" t="inlineStr">
        <is>
          <t xml:space="preserve">D.off peak current: (V.drv - V.F) / (R.si + R.off + R.gi), upper bound</t>
        </is>
      </c>
      <c r="C146" s="87">
        <f>IF('Power Components'!$D$121=0,0,(C85-'Power Components'!$D$121)/(C84+'Power Components'!$F$133+C90))</f>
      </c>
      <c r="D146" s="10" t="inlineStr">
        <is>
          <t xml:space="preserve">A</t>
        </is>
      </c>
    </row>
    <row r="147">
      <c r="B147" s="10" t="inlineStr">
        <is>
          <t xml:space="preserve">D.off average current at f.Max: C.G V.g f x R.on / (R.on + R.off)</t>
        </is>
      </c>
      <c r="C147" s="87">
        <f>IF('Power Components'!$D$121=0,0,C89*C98*'Device Setting'!$D$27*'Power Components'!$F$130/('Power Components'!$F$130+'Power Components'!$F$133)/1000)</f>
      </c>
      <c r="D147" s="10" t="inlineStr">
        <is>
          <t xml:space="preserve">mA</t>
        </is>
      </c>
    </row>
    <row r="148">
      <c r="B148" s="10" t="inlineStr">
        <is>
          <t xml:space="preserve">k.D.off = min(I.FSM / I.off.pk, I.F / I.off.avg)</t>
        </is>
      </c>
      <c r="C148" s="87">
        <f>IF('Power Components'!$D$121=0,"-",MIN('Power Components'!$D$123/C146,'Power Components'!$D$122*1000/C147))</f>
      </c>
      <c r="D148" s="10" t="inlineStr">
        <is>
          <t xml:space="preserve">-</t>
        </is>
      </c>
    </row>
    <row r="149">
      <c r="B149" s="10" t="inlineStr">
        <is>
          <t xml:space="preserve">R.off min: sink current and D.off surge: (V.drv - V.F) / min(I.si, I.FSM) - R.si - R.gi</t>
        </is>
      </c>
      <c r="C149" s="87">
        <f>MAX(0,(C85-'Power Components'!$D$121)/IF('Power Components'!$D$121=0,'Power Components'!$D$95,MIN('Power Components'!$D$95,'Power Components'!$D$123))-C84-C90)</f>
      </c>
      <c r="D149" s="10" t="inlineStr">
        <is>
          <t xml:space="preserve">Ω</t>
        </is>
      </c>
    </row>
    <row r="150">
      <c r="B150" s="10" t="inlineStr">
        <is>
          <t xml:space="preserve">C.boot min: 10 x C.G</t>
        </is>
      </c>
      <c r="C150" s="87">
        <f>10*C89</f>
      </c>
      <c r="D150" s="10" t="inlineStr">
        <is>
          <t xml:space="preserve">nF</t>
        </is>
      </c>
    </row>
    <row r="151">
      <c r="B151" s="10" t="inlineStr">
        <is>
          <t xml:space="preserve">C.boot max: the first LOUT pulse still charges it to V.bo.min (with R.boot)</t>
        </is>
      </c>
      <c r="C151" s="87">
        <f>IF(C85-'Power Components'!$D$115&gt;'Power Components'!$D$108,C95/(MAX('Power Components'!$F$142,0.5)*LN((C85-'Power Components'!$D$115)/(C85-'Power Components'!$D$115-'Power Components'!$D$108))),0)</f>
      </c>
      <c r="D151" s="10" t="inlineStr">
        <is>
          <t xml:space="preserve">nF</t>
        </is>
      </c>
    </row>
    <row r="152">
      <c r="B152" s="10" t="inlineStr">
        <is>
          <t xml:space="preserve">C.boot recommended: E6 above the min</t>
        </is>
      </c>
      <c r="C152" s="87">
        <f>IF((C150)&lt;=0,0,-10^INT(LOG10((C150)*0.999999))*LOOKUP(-(C150)*0.999999/10^INT(LOG10((C150)*0.999999)),{-10,-6.8,-4.7,-3.3,-2.2,-1.5,-1}))</f>
      </c>
      <c r="D152" s="10" t="inlineStr">
        <is>
          <t xml:space="preserve">nF</t>
        </is>
      </c>
    </row>
    <row r="153">
      <c r="B153" s="10" t="inlineStr">
        <is>
          <t xml:space="preserve">τ.boot (a diode alone taken as 0.5 Ω)</t>
        </is>
      </c>
      <c r="C153" s="87">
        <f>MAX('Power Components'!$F$142,0.5)*'Power Components'!$F$139</f>
      </c>
      <c r="D153" s="10" t="inlineStr">
        <is>
          <t xml:space="preserve">ns</t>
        </is>
      </c>
    </row>
    <row r="154">
      <c r="B154" s="10" t="inlineStr">
        <is>
          <t xml:space="preserve">R.boot max: the first LOUT pulse reaches V.bo.min (with C.boot)</t>
        </is>
      </c>
      <c r="C154" s="87">
        <f>IF(C85-'Power Components'!$D$115&gt;'Power Components'!$D$108,C95/('Power Components'!$F$139*LN((C85-'Power Components'!$D$115)/(C85-'Power Components'!$D$115-'Power Components'!$D$108))),"V.drv too low")</f>
      </c>
      <c r="D154" s="10" t="inlineStr">
        <is>
          <t xml:space="preserve">Ω</t>
        </is>
      </c>
    </row>
    <row r="155">
      <c r="B155" s="10" t="inlineStr">
        <is>
          <t xml:space="preserve">R.boot suggested: half the max, E12 below</t>
        </is>
      </c>
      <c r="C155" s="87">
        <f>IF(ISNUMBER(C154),IF((C154/2)&lt;=0,0,10^INT(LOG10((C154/2)*1.000001))*LOOKUP((C154/2)*1.000001/10^INT(LOG10((C154/2)*1.000001)),{1,1.2,1.5,1.8,2.2,2.7,3.3,3.9,4.7,5.6,6.8,8.2})),0)</f>
      </c>
      <c r="D155" s="10" t="inlineStr">
        <is>
          <t xml:space="preserve">Ω</t>
        </is>
      </c>
    </row>
    <row r="156">
      <c r="B156" s="10" t="inlineStr">
        <is>
          <t xml:space="preserve">R.boot min: D.boot surge into an empty C.boot: (V.drv - V.F.boot) / I.FSM</t>
        </is>
      </c>
      <c r="C156" s="87">
        <f>MAX(0,(C85-'Power Components'!$D$115)/'Power Components'!$D$118)</f>
      </c>
      <c r="D156" s="10" t="inlineStr">
        <is>
          <t xml:space="preserve">Ω</t>
        </is>
      </c>
    </row>
    <row r="157">
      <c r="B157" s="10" t="inlineStr">
        <is>
          <t xml:space="preserve">D.boot peak current into an empty C.boot</t>
        </is>
      </c>
      <c r="C157" s="87">
        <f>(C85-'Power Components'!$D$115)/MAX('Power Components'!$F$142,0.5)</f>
      </c>
      <c r="D157" s="10" t="inlineStr">
        <is>
          <t xml:space="preserve">A</t>
        </is>
      </c>
    </row>
    <row r="158">
      <c r="B158" s="10" t="inlineStr">
        <is>
          <t xml:space="preserve">D.boot average current at f.Max: C.G V.g f + I.QBO</t>
        </is>
      </c>
      <c r="C158" s="87">
        <f>(C89*C98*'Device Setting'!$D$27/1000)+0.12</f>
      </c>
      <c r="D158" s="10" t="inlineStr">
        <is>
          <t xml:space="preserve">mA</t>
        </is>
      </c>
    </row>
    <row r="159">
      <c r="B159" s="10" t="inlineStr">
        <is>
          <t xml:space="preserve">D.boot reverse voltage: V.bus.max + V.drv</t>
        </is>
      </c>
      <c r="C159" s="87">
        <f>C88+C85</f>
      </c>
      <c r="D159" s="10" t="inlineStr">
        <is>
          <t xml:space="preserve">V</t>
        </is>
      </c>
    </row>
    <row r="160">
      <c r="B160" s="10" t="inlineStr">
        <is>
          <t xml:space="preserve">k.D.boot = min(V.RRM / need, I.FSM / I.boot.pk, I.F / I.boot.avg)</t>
        </is>
      </c>
      <c r="C160" s="87">
        <f>MIN('Power Components'!$D$116/C159,'Power Components'!$D$118/C157,'Power Components'!$D$117*1000/C158)</f>
      </c>
      <c r="D160" s="10" t="inlineStr">
        <is>
          <t xml:space="preserve">-</t>
        </is>
      </c>
    </row>
    <row r="161">
      <c r="B161" s="10" t="inlineStr">
        <is>
          <t xml:space="preserve">V.BS after the first LOUT pulse</t>
        </is>
      </c>
      <c r="C161" s="87">
        <f>(C85-'Power Components'!$D$115)*(1-EXP(-C95/C153))</f>
      </c>
      <c r="D161" s="10" t="inlineStr">
        <is>
          <t xml:space="preserve">V</t>
        </is>
      </c>
    </row>
    <row r="162">
      <c r="B162" s="10" t="inlineStr">
        <is>
          <t xml:space="preserve">V.BS drop per high-side pulse at f.SU (gate charge + floating quiescent 120 uA)</t>
        </is>
      </c>
      <c r="C162" s="87">
        <f>C89*C97/'Power Components'!$F$139+0.00012*C95/'Power Components'!$F$139</f>
      </c>
      <c r="D162" s="10" t="inlineStr">
        <is>
          <t xml:space="preserve">V</t>
        </is>
      </c>
    </row>
    <row r="163">
      <c r="B163" s="10" t="inlineStr">
        <is>
          <t xml:space="preserve">V.BS lowest, steady at f.SU</t>
        </is>
      </c>
      <c r="C163" s="87">
        <f>C85-'Power Components'!$D$115-C162*EXP(-C95/C153)/(1-EXP(-C95/C153))-C162</f>
      </c>
      <c r="D163" s="10" t="inlineStr">
        <is>
          <t xml:space="preserve">V</t>
        </is>
      </c>
    </row>
    <row r="164">
      <c r="B164" s="10" t="inlineStr">
        <is>
          <t xml:space="preserve">P.Ron at f.Max</t>
        </is>
      </c>
      <c r="C164" s="87">
        <f>(C99*'Power Components'!$F$130/(C83+'Power Components'!$F$130+C90)+IF('Power Components'!$D$121=0,0,C100*C91/(C84+C91+C90)*C91/'Power Components'!$F$130))*'Device Setting'!$D$27*10^-6</f>
      </c>
      <c r="D164" s="10" t="inlineStr">
        <is>
          <t xml:space="preserve">W</t>
        </is>
      </c>
    </row>
    <row r="165">
      <c r="B165" s="10" t="inlineStr">
        <is>
          <t xml:space="preserve">P.Roff at f.Max</t>
        </is>
      </c>
      <c r="C165" s="87">
        <f>IF('Power Components'!$F$133&gt;0,C100*C91/(C84+C91+C90)*IF('Power Components'!$D$121=0,1,C91/'Power Components'!$F$133)*'Device Setting'!$D$27*10^-6,0)</f>
      </c>
      <c r="D165" s="10" t="inlineStr">
        <is>
          <t xml:space="preserve">W</t>
        </is>
      </c>
    </row>
    <row r="166">
      <c r="B166" s="10" t="inlineStr">
        <is>
          <t xml:space="preserve">Driver junction at f.Max and Ta.drv</t>
        </is>
      </c>
      <c r="C166" s="87">
        <f>'Power Components'!$D$112+C103*'Power Components'!$D$106</f>
      </c>
      <c r="D166"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